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gif" ContentType="image/gi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drawings/drawing6.xml" ContentType="application/vnd.openxmlformats-officedocument.drawing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drawings/drawing7.xml" ContentType="application/vnd.openxmlformats-officedocument.drawing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/>
  <mc:AlternateContent xmlns:mc="http://schemas.openxmlformats.org/markup-compatibility/2006">
    <mc:Choice Requires="x15">
      <x15ac:absPath xmlns:x15ac="http://schemas.microsoft.com/office/spreadsheetml/2010/11/ac" url="C:\Users\David Zhang\Documents\GitHub\multiples\Use this folder\"/>
    </mc:Choice>
  </mc:AlternateContent>
  <xr:revisionPtr revIDLastSave="0" documentId="13_ncr:1_{DC8BEA86-4147-4277-A529-48B7C59CBF65}" xr6:coauthVersionLast="40" xr6:coauthVersionMax="40" xr10:uidLastSave="{00000000-0000-0000-0000-000000000000}"/>
  <bookViews>
    <workbookView xWindow="0" yWindow="0" windowWidth="24000" windowHeight="9465" firstSheet="11" activeTab="23" xr2:uid="{00000000-000D-0000-FFFF-FFFF00000000}"/>
  </bookViews>
  <sheets>
    <sheet name="Model 8" sheetId="80" state="hidden" r:id="rId1"/>
    <sheet name="Model 9" sheetId="82" state="hidden" r:id="rId2"/>
    <sheet name="Model 10" sheetId="97" state="hidden" r:id="rId3"/>
    <sheet name="Model 11" sheetId="99" state="hidden" r:id="rId4"/>
    <sheet name="Model 13" sheetId="112" state="hidden" r:id="rId5"/>
    <sheet name="Model 12" sheetId="101" state="hidden" r:id="rId6"/>
    <sheet name="Model 14" sheetId="122" state="hidden" r:id="rId7"/>
    <sheet name="Model Summaries" sheetId="95" state="hidden" r:id="rId8"/>
    <sheet name="Filtered Output" sheetId="16" state="hidden" r:id="rId9"/>
    <sheet name="Filtered Sample" sheetId="13" state="hidden" r:id="rId10"/>
    <sheet name="Full Sample Output" sheetId="5" state="hidden" r:id="rId11"/>
    <sheet name="Combined Full Sample" sheetId="14" r:id="rId12"/>
    <sheet name="HC (9)" sheetId="193" state="hidden" r:id="rId13"/>
    <sheet name="HC (8)" sheetId="192" state="hidden" r:id="rId14"/>
    <sheet name="HC (7)" sheetId="191" state="hidden" r:id="rId15"/>
    <sheet name="HC (6)" sheetId="187" state="hidden" r:id="rId16"/>
    <sheet name="HC (5)" sheetId="186" state="hidden" r:id="rId17"/>
    <sheet name="HC (4)" sheetId="185" state="hidden" r:id="rId18"/>
    <sheet name="HC (3)" sheetId="184" state="hidden" r:id="rId19"/>
    <sheet name="HC (2)" sheetId="183" state="hidden" r:id="rId20"/>
    <sheet name="126 (3)" sheetId="190" state="hidden" r:id="rId21"/>
    <sheet name="126 (2)" sheetId="189" state="hidden" r:id="rId22"/>
    <sheet name="126" sheetId="188" state="hidden" r:id="rId23"/>
    <sheet name="Full Sample" sheetId="2" r:id="rId24"/>
    <sheet name="Raw (2)" sheetId="12" state="hidden" r:id="rId25"/>
    <sheet name="HC" sheetId="182" r:id="rId26"/>
    <sheet name="Live Data" sheetId="4" r:id="rId27"/>
  </sheets>
  <definedNames>
    <definedName name="___autoF" localSheetId="2" hidden="1">0</definedName>
    <definedName name="___autoF" localSheetId="3" hidden="1">0</definedName>
    <definedName name="___autoF" localSheetId="5" hidden="1">1</definedName>
    <definedName name="___autoF" localSheetId="4" hidden="1">0</definedName>
    <definedName name="___autoF" localSheetId="6" hidden="1">0</definedName>
    <definedName name="___autoF" localSheetId="0" hidden="1">1</definedName>
    <definedName name="___autoF" localSheetId="1" hidden="1">1</definedName>
    <definedName name="___rsumm___EV" localSheetId="7" hidden="1">'Model Summaries'!$A$3</definedName>
    <definedName name="___rsumm___EV_Rev" localSheetId="7" hidden="1">'Model Summaries'!$A$33</definedName>
    <definedName name="__nSelect_" hidden="1">0</definedName>
    <definedName name="_xlnm._FilterDatabase" localSheetId="11" hidden="1">'Combined Full Sample'!$B$3:$AB$3</definedName>
    <definedName name="_xlnm._FilterDatabase" localSheetId="9" hidden="1">'Filtered Sample'!$A$1:$I$1</definedName>
    <definedName name="_xlnm._FilterDatabase" localSheetId="23" hidden="1">#REF!</definedName>
    <definedName name="_xlnm._FilterDatabase" localSheetId="25" hidden="1">HC!$A$1:$AC$1</definedName>
    <definedName name="_xlnm._FilterDatabase" localSheetId="19" hidden="1">'HC (2)'!$A$1:$Z$1</definedName>
    <definedName name="_xlnm._FilterDatabase" localSheetId="18" hidden="1">'HC (3)'!$A$1:$W$198</definedName>
    <definedName name="_xlnm._FilterDatabase" localSheetId="17" hidden="1">'HC (4)'!$A$1:$W$152</definedName>
    <definedName name="_xlnm._FilterDatabase" localSheetId="16" hidden="1">'HC (5)'!$A$1:$P$193</definedName>
    <definedName name="_xlnm._FilterDatabase" localSheetId="15" hidden="1">'HC (6)'!$A$1:$P$145</definedName>
    <definedName name="_xlnm._FilterDatabase" localSheetId="14" hidden="1">'HC (7)'!$A$1:$P$145</definedName>
    <definedName name="_xlnm._FilterDatabase" localSheetId="13" hidden="1">'HC (8)'!$A$1:$I$129</definedName>
    <definedName name="_xlnm._FilterDatabase" localSheetId="12" hidden="1">'HC (9)'!$A$1:$X$134</definedName>
    <definedName name="_xlnm._FilterDatabase" localSheetId="26" hidden="1">'Live Data'!$AK$13:$AK$50</definedName>
    <definedName name="_xlnm._FilterDatabase" localSheetId="24" hidden="1">'Raw (2)'!$AK$13:$AK$50</definedName>
    <definedName name="ActiveRegModel" hidden="1">"Model 19"</definedName>
    <definedName name="Company">#REF!</definedName>
    <definedName name="EBITDA_Margin">#REF!</definedName>
    <definedName name="EV_Rev">#REF!</definedName>
    <definedName name="FirstForecastRow" localSheetId="2" hidden="1">-1</definedName>
    <definedName name="FirstForecastRow" localSheetId="3" hidden="1">-1</definedName>
    <definedName name="FirstForecastRow" localSheetId="5" hidden="1">45</definedName>
    <definedName name="FirstForecastRow" localSheetId="4" hidden="1">-1</definedName>
    <definedName name="FirstForecastRow" localSheetId="6" hidden="1">-1</definedName>
    <definedName name="FirstForecastRow" localSheetId="0" hidden="1">43</definedName>
    <definedName name="FirstForecastRow" localSheetId="1" hidden="1">51</definedName>
    <definedName name="GP_Margin">#REF!</definedName>
    <definedName name="LastAnalysisModel" hidden="1">"Stats 1"</definedName>
    <definedName name="nDataAnalysis" hidden="1">1</definedName>
    <definedName name="nRegMod" hidden="1">19</definedName>
    <definedName name="OKtoForecast" hidden="1">1</definedName>
    <definedName name="Profit_Margin">#REF!</definedName>
    <definedName name="R_D_Margin">#REF!</definedName>
    <definedName name="Rev_Growth">#REF!</definedName>
    <definedName name="S_M_Margin">#REF!</definedName>
    <definedName name="SpreadsheetBuilder_1" localSheetId="21" hidden="1">#REF!</definedName>
    <definedName name="SpreadsheetBuilder_1" localSheetId="20" hidden="1">#REF!</definedName>
    <definedName name="SpreadsheetBuilder_1" localSheetId="11" hidden="1">#REF!</definedName>
    <definedName name="SpreadsheetBuilder_1" localSheetId="9" hidden="1">#REF!</definedName>
    <definedName name="SpreadsheetBuilder_1" localSheetId="19" hidden="1">#REF!</definedName>
    <definedName name="SpreadsheetBuilder_1" localSheetId="18" hidden="1">#REF!</definedName>
    <definedName name="SpreadsheetBuilder_1" localSheetId="17" hidden="1">#REF!</definedName>
    <definedName name="SpreadsheetBuilder_1" localSheetId="16" hidden="1">#REF!</definedName>
    <definedName name="SpreadsheetBuilder_1" localSheetId="15" hidden="1">#REF!</definedName>
    <definedName name="SpreadsheetBuilder_1" localSheetId="14" hidden="1">#REF!</definedName>
    <definedName name="SpreadsheetBuilder_1" localSheetId="13" hidden="1">#REF!</definedName>
    <definedName name="SpreadsheetBuilder_1" localSheetId="12" hidden="1">#REF!</definedName>
    <definedName name="SpreadsheetBuilder_1" localSheetId="24" hidden="1">#REF!</definedName>
    <definedName name="SpreadsheetBuilder_1" hidden="1">#REF!</definedName>
    <definedName name="SpreadsheetBuilder_2" localSheetId="21" hidden="1">#REF!</definedName>
    <definedName name="SpreadsheetBuilder_2" localSheetId="20" hidden="1">#REF!</definedName>
    <definedName name="SpreadsheetBuilder_2" localSheetId="19" hidden="1">#REF!</definedName>
    <definedName name="SpreadsheetBuilder_2" localSheetId="18" hidden="1">#REF!</definedName>
    <definedName name="SpreadsheetBuilder_2" localSheetId="17" hidden="1">#REF!</definedName>
    <definedName name="SpreadsheetBuilder_2" localSheetId="16" hidden="1">#REF!</definedName>
    <definedName name="SpreadsheetBuilder_2" localSheetId="15" hidden="1">#REF!</definedName>
    <definedName name="SpreadsheetBuilder_2" localSheetId="14" hidden="1">#REF!</definedName>
    <definedName name="SpreadsheetBuilder_2" localSheetId="13" hidden="1">#REF!</definedName>
    <definedName name="SpreadsheetBuilder_2" localSheetId="12" hidden="1">#REF!</definedName>
    <definedName name="SpreadsheetBuilder_2" hidden="1">#REF!</definedName>
    <definedName name="SpreadsheetBuilder_3" hidden="1">#REF!</definedName>
    <definedName name="SpreadsheetBuilder_4" hidden="1">#REF!</definedName>
    <definedName name="SpreadsheetBuilder_5" hidden="1">#REF!</definedName>
    <definedName name="TTM_Rev">#REF!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11" i="191" l="1"/>
  <c r="M10" i="191"/>
  <c r="G134" i="190"/>
  <c r="G129" i="190"/>
  <c r="M10" i="187"/>
  <c r="M11" i="187"/>
  <c r="M171" i="186"/>
  <c r="M166" i="186"/>
  <c r="J3" i="183"/>
  <c r="K3" i="183"/>
  <c r="K2" i="183"/>
  <c r="H2" i="183"/>
  <c r="H39" i="185"/>
  <c r="G39" i="185"/>
  <c r="F39" i="185"/>
  <c r="H125" i="185"/>
  <c r="G125" i="185"/>
  <c r="F125" i="185"/>
  <c r="H139" i="185"/>
  <c r="G139" i="185"/>
  <c r="F139" i="185"/>
  <c r="H4" i="185"/>
  <c r="G4" i="185"/>
  <c r="F4" i="185"/>
  <c r="H107" i="185"/>
  <c r="G107" i="185"/>
  <c r="F107" i="185"/>
  <c r="H120" i="185"/>
  <c r="G120" i="185"/>
  <c r="F120" i="185"/>
  <c r="H92" i="185"/>
  <c r="G92" i="185"/>
  <c r="F92" i="185"/>
  <c r="H23" i="185"/>
  <c r="G23" i="185"/>
  <c r="F23" i="185"/>
  <c r="H18" i="185"/>
  <c r="G18" i="185"/>
  <c r="F18" i="185"/>
  <c r="H136" i="185"/>
  <c r="G136" i="185"/>
  <c r="F136" i="185"/>
  <c r="H22" i="185"/>
  <c r="G22" i="185"/>
  <c r="F22" i="185"/>
  <c r="H97" i="185"/>
  <c r="G97" i="185"/>
  <c r="F97" i="185"/>
  <c r="H73" i="185"/>
  <c r="G73" i="185"/>
  <c r="F73" i="185"/>
  <c r="H15" i="185"/>
  <c r="G15" i="185"/>
  <c r="F15" i="185"/>
  <c r="H32" i="185"/>
  <c r="G32" i="185"/>
  <c r="F32" i="185"/>
  <c r="H128" i="185"/>
  <c r="G128" i="185"/>
  <c r="F128" i="185"/>
  <c r="H110" i="185"/>
  <c r="G110" i="185"/>
  <c r="F110" i="185"/>
  <c r="H62" i="185"/>
  <c r="G62" i="185"/>
  <c r="F62" i="185"/>
  <c r="H11" i="185"/>
  <c r="G11" i="185"/>
  <c r="F11" i="185"/>
  <c r="H84" i="185"/>
  <c r="G84" i="185"/>
  <c r="F84" i="185"/>
  <c r="H21" i="185"/>
  <c r="G21" i="185"/>
  <c r="F21" i="185"/>
  <c r="H3" i="185"/>
  <c r="G3" i="185"/>
  <c r="F3" i="185"/>
  <c r="H74" i="185"/>
  <c r="G74" i="185"/>
  <c r="F74" i="185"/>
  <c r="H37" i="185"/>
  <c r="G37" i="185"/>
  <c r="F37" i="185"/>
  <c r="H114" i="185"/>
  <c r="G114" i="185"/>
  <c r="F114" i="185"/>
  <c r="H41" i="185"/>
  <c r="G41" i="185"/>
  <c r="F41" i="185"/>
  <c r="H61" i="185"/>
  <c r="G61" i="185"/>
  <c r="F61" i="185"/>
  <c r="H86" i="185"/>
  <c r="G86" i="185"/>
  <c r="F86" i="185"/>
  <c r="H90" i="185"/>
  <c r="G90" i="185"/>
  <c r="F90" i="185"/>
  <c r="H24" i="185"/>
  <c r="G24" i="185"/>
  <c r="F24" i="185"/>
  <c r="H104" i="185"/>
  <c r="G104" i="185"/>
  <c r="F104" i="185"/>
  <c r="H148" i="185"/>
  <c r="G148" i="185"/>
  <c r="F148" i="185"/>
  <c r="H152" i="185"/>
  <c r="G152" i="185"/>
  <c r="F152" i="185"/>
  <c r="H145" i="185"/>
  <c r="G145" i="185"/>
  <c r="F145" i="185"/>
  <c r="H111" i="185"/>
  <c r="G111" i="185"/>
  <c r="F111" i="185"/>
  <c r="H70" i="185"/>
  <c r="G70" i="185"/>
  <c r="F70" i="185"/>
  <c r="H105" i="185"/>
  <c r="G105" i="185"/>
  <c r="F105" i="185"/>
  <c r="H138" i="185"/>
  <c r="G138" i="185"/>
  <c r="F138" i="185"/>
  <c r="H144" i="185"/>
  <c r="G144" i="185"/>
  <c r="F144" i="185"/>
  <c r="H149" i="185"/>
  <c r="G149" i="185"/>
  <c r="F149" i="185"/>
  <c r="H72" i="185"/>
  <c r="G72" i="185"/>
  <c r="F72" i="185"/>
  <c r="H30" i="185"/>
  <c r="G30" i="185"/>
  <c r="F30" i="185"/>
  <c r="H140" i="185"/>
  <c r="G140" i="185"/>
  <c r="F140" i="185"/>
  <c r="H109" i="185"/>
  <c r="G109" i="185"/>
  <c r="F109" i="185"/>
  <c r="H69" i="185"/>
  <c r="G69" i="185"/>
  <c r="F69" i="185"/>
  <c r="H68" i="185"/>
  <c r="G68" i="185"/>
  <c r="F68" i="185"/>
  <c r="H16" i="185"/>
  <c r="G16" i="185"/>
  <c r="F16" i="185"/>
  <c r="H80" i="185"/>
  <c r="G80" i="185"/>
  <c r="F80" i="185"/>
  <c r="H7" i="185"/>
  <c r="G7" i="185"/>
  <c r="F7" i="185"/>
  <c r="H60" i="185"/>
  <c r="G60" i="185"/>
  <c r="F60" i="185"/>
  <c r="H19" i="185"/>
  <c r="G19" i="185"/>
  <c r="F19" i="185"/>
  <c r="H48" i="185"/>
  <c r="G48" i="185"/>
  <c r="F48" i="185"/>
  <c r="H131" i="185"/>
  <c r="G131" i="185"/>
  <c r="F131" i="185"/>
  <c r="H83" i="185"/>
  <c r="G83" i="185"/>
  <c r="F83" i="185"/>
  <c r="H52" i="185"/>
  <c r="G52" i="185"/>
  <c r="F52" i="185"/>
  <c r="H94" i="185"/>
  <c r="G94" i="185"/>
  <c r="F94" i="185"/>
  <c r="H40" i="185"/>
  <c r="G40" i="185"/>
  <c r="F40" i="185"/>
  <c r="H141" i="185"/>
  <c r="G141" i="185"/>
  <c r="F141" i="185"/>
  <c r="H127" i="185"/>
  <c r="G127" i="185"/>
  <c r="F127" i="185"/>
  <c r="H77" i="185"/>
  <c r="G77" i="185"/>
  <c r="F77" i="185"/>
  <c r="H29" i="185"/>
  <c r="G29" i="185"/>
  <c r="F29" i="185"/>
  <c r="H10" i="185"/>
  <c r="G10" i="185"/>
  <c r="F10" i="185"/>
  <c r="H53" i="185"/>
  <c r="G53" i="185"/>
  <c r="F53" i="185"/>
  <c r="H67" i="185"/>
  <c r="G67" i="185"/>
  <c r="F67" i="185"/>
  <c r="H33" i="185"/>
  <c r="G33" i="185"/>
  <c r="F33" i="185"/>
  <c r="H99" i="185"/>
  <c r="G99" i="185"/>
  <c r="F99" i="185"/>
  <c r="H88" i="185"/>
  <c r="G88" i="185"/>
  <c r="F88" i="185"/>
  <c r="H142" i="185"/>
  <c r="G142" i="185"/>
  <c r="F142" i="185"/>
  <c r="H42" i="185"/>
  <c r="G42" i="185"/>
  <c r="F42" i="185"/>
  <c r="H38" i="185"/>
  <c r="G38" i="185"/>
  <c r="F38" i="185"/>
  <c r="H75" i="185"/>
  <c r="G75" i="185"/>
  <c r="F75" i="185"/>
  <c r="H103" i="185"/>
  <c r="G103" i="185"/>
  <c r="F103" i="185"/>
  <c r="H79" i="185"/>
  <c r="G79" i="185"/>
  <c r="F79" i="185"/>
  <c r="H106" i="185"/>
  <c r="G106" i="185"/>
  <c r="F106" i="185"/>
  <c r="H25" i="185"/>
  <c r="G25" i="185"/>
  <c r="F25" i="185"/>
  <c r="H6" i="185"/>
  <c r="G6" i="185"/>
  <c r="F6" i="185"/>
  <c r="H13" i="185"/>
  <c r="G13" i="185"/>
  <c r="F13" i="185"/>
  <c r="H85" i="185"/>
  <c r="G85" i="185"/>
  <c r="F85" i="185"/>
  <c r="H2" i="185"/>
  <c r="G2" i="185"/>
  <c r="F2" i="185"/>
  <c r="H143" i="185"/>
  <c r="G143" i="185"/>
  <c r="F143" i="185"/>
  <c r="H71" i="185"/>
  <c r="G71" i="185"/>
  <c r="F71" i="185"/>
  <c r="H98" i="185"/>
  <c r="G98" i="185"/>
  <c r="F98" i="185"/>
  <c r="H46" i="185"/>
  <c r="G46" i="185"/>
  <c r="F46" i="185"/>
  <c r="H95" i="185"/>
  <c r="G95" i="185"/>
  <c r="F95" i="185"/>
  <c r="H123" i="185"/>
  <c r="G123" i="185"/>
  <c r="F123" i="185"/>
  <c r="H147" i="185"/>
  <c r="G147" i="185"/>
  <c r="F147" i="185"/>
  <c r="H137" i="185"/>
  <c r="G137" i="185"/>
  <c r="F137" i="185"/>
  <c r="H133" i="185"/>
  <c r="G133" i="185"/>
  <c r="F133" i="185"/>
  <c r="H108" i="185"/>
  <c r="G108" i="185"/>
  <c r="F108" i="185"/>
  <c r="H9" i="185"/>
  <c r="G9" i="185"/>
  <c r="F9" i="185"/>
  <c r="H36" i="185"/>
  <c r="G36" i="185"/>
  <c r="F36" i="185"/>
  <c r="H101" i="185"/>
  <c r="G101" i="185"/>
  <c r="F101" i="185"/>
  <c r="H146" i="185"/>
  <c r="G146" i="185"/>
  <c r="F146" i="185"/>
  <c r="H115" i="185"/>
  <c r="G115" i="185"/>
  <c r="F115" i="185"/>
  <c r="H91" i="185"/>
  <c r="G91" i="185"/>
  <c r="F91" i="185"/>
  <c r="H116" i="185"/>
  <c r="G116" i="185"/>
  <c r="F116" i="185"/>
  <c r="H135" i="185"/>
  <c r="G135" i="185"/>
  <c r="F135" i="185"/>
  <c r="H26" i="185"/>
  <c r="G26" i="185"/>
  <c r="F26" i="185"/>
  <c r="H130" i="185"/>
  <c r="G130" i="185"/>
  <c r="F130" i="185"/>
  <c r="H102" i="185"/>
  <c r="G102" i="185"/>
  <c r="F102" i="185"/>
  <c r="H100" i="185"/>
  <c r="G100" i="185"/>
  <c r="F100" i="185"/>
  <c r="H119" i="185"/>
  <c r="G119" i="185"/>
  <c r="F119" i="185"/>
  <c r="H151" i="185"/>
  <c r="G151" i="185"/>
  <c r="F151" i="185"/>
  <c r="H47" i="185"/>
  <c r="G47" i="185"/>
  <c r="F47" i="185"/>
  <c r="H76" i="185"/>
  <c r="G76" i="185"/>
  <c r="F76" i="185"/>
  <c r="H51" i="185"/>
  <c r="G51" i="185"/>
  <c r="F51" i="185"/>
  <c r="H56" i="185"/>
  <c r="G56" i="185"/>
  <c r="F56" i="185"/>
  <c r="H96" i="185"/>
  <c r="G96" i="185"/>
  <c r="F96" i="185"/>
  <c r="H132" i="185"/>
  <c r="G132" i="185"/>
  <c r="F132" i="185"/>
  <c r="H20" i="185"/>
  <c r="G20" i="185"/>
  <c r="F20" i="185"/>
  <c r="H81" i="185"/>
  <c r="G81" i="185"/>
  <c r="F81" i="185"/>
  <c r="H122" i="185"/>
  <c r="G122" i="185"/>
  <c r="F122" i="185"/>
  <c r="H78" i="185"/>
  <c r="G78" i="185"/>
  <c r="F78" i="185"/>
  <c r="H55" i="185"/>
  <c r="G55" i="185"/>
  <c r="F55" i="185"/>
  <c r="H49" i="185"/>
  <c r="G49" i="185"/>
  <c r="F49" i="185"/>
  <c r="H66" i="185"/>
  <c r="G66" i="185"/>
  <c r="F66" i="185"/>
  <c r="H63" i="185"/>
  <c r="G63" i="185"/>
  <c r="F63" i="185"/>
  <c r="H87" i="185"/>
  <c r="G87" i="185"/>
  <c r="F87" i="185"/>
  <c r="H54" i="185"/>
  <c r="G54" i="185"/>
  <c r="F54" i="185"/>
  <c r="H43" i="185"/>
  <c r="G43" i="185"/>
  <c r="F43" i="185"/>
  <c r="H44" i="185"/>
  <c r="G44" i="185"/>
  <c r="F44" i="185"/>
  <c r="H5" i="185"/>
  <c r="G5" i="185"/>
  <c r="F5" i="185"/>
  <c r="H64" i="185"/>
  <c r="G64" i="185"/>
  <c r="F64" i="185"/>
  <c r="H134" i="185"/>
  <c r="G134" i="185"/>
  <c r="F134" i="185"/>
  <c r="H89" i="185"/>
  <c r="G89" i="185"/>
  <c r="F89" i="185"/>
  <c r="H57" i="185"/>
  <c r="G57" i="185"/>
  <c r="F57" i="185"/>
  <c r="H113" i="185"/>
  <c r="G113" i="185"/>
  <c r="F113" i="185"/>
  <c r="H17" i="185"/>
  <c r="G17" i="185"/>
  <c r="F17" i="185"/>
  <c r="H59" i="185"/>
  <c r="G59" i="185"/>
  <c r="F59" i="185"/>
  <c r="H112" i="185"/>
  <c r="G112" i="185"/>
  <c r="F112" i="185"/>
  <c r="H58" i="185"/>
  <c r="G58" i="185"/>
  <c r="F58" i="185"/>
  <c r="H50" i="185"/>
  <c r="G50" i="185"/>
  <c r="F50" i="185"/>
  <c r="H28" i="185"/>
  <c r="G28" i="185"/>
  <c r="F28" i="185"/>
  <c r="H31" i="185"/>
  <c r="G31" i="185"/>
  <c r="F31" i="185"/>
  <c r="H126" i="185"/>
  <c r="G126" i="185"/>
  <c r="F126" i="185"/>
  <c r="H35" i="185"/>
  <c r="G35" i="185"/>
  <c r="F35" i="185"/>
  <c r="H117" i="185"/>
  <c r="G117" i="185"/>
  <c r="F117" i="185"/>
  <c r="H93" i="185"/>
  <c r="G93" i="185"/>
  <c r="F93" i="185"/>
  <c r="H34" i="185"/>
  <c r="G34" i="185"/>
  <c r="F34" i="185"/>
  <c r="H118" i="185"/>
  <c r="G118" i="185"/>
  <c r="F118" i="185"/>
  <c r="H27" i="185"/>
  <c r="G27" i="185"/>
  <c r="F27" i="185"/>
  <c r="H124" i="185"/>
  <c r="G124" i="185"/>
  <c r="F124" i="185"/>
  <c r="H129" i="185"/>
  <c r="G129" i="185"/>
  <c r="F129" i="185"/>
  <c r="H45" i="185"/>
  <c r="G45" i="185"/>
  <c r="F45" i="185"/>
  <c r="H12" i="185"/>
  <c r="G12" i="185"/>
  <c r="F12" i="185"/>
  <c r="H150" i="185"/>
  <c r="G150" i="185"/>
  <c r="F150" i="185"/>
  <c r="H8" i="185"/>
  <c r="G8" i="185"/>
  <c r="F8" i="185"/>
  <c r="H65" i="185"/>
  <c r="G65" i="185"/>
  <c r="F65" i="185"/>
  <c r="H82" i="185"/>
  <c r="G82" i="185"/>
  <c r="F82" i="185"/>
  <c r="H14" i="185"/>
  <c r="G14" i="185"/>
  <c r="F14" i="185"/>
  <c r="H121" i="185"/>
  <c r="G121" i="185"/>
  <c r="F121" i="185"/>
  <c r="J198" i="183"/>
  <c r="J197" i="183"/>
  <c r="J196" i="183"/>
  <c r="J195" i="183"/>
  <c r="J194" i="183"/>
  <c r="J193" i="183"/>
  <c r="J192" i="183"/>
  <c r="J191" i="183"/>
  <c r="J190" i="183"/>
  <c r="J189" i="183"/>
  <c r="J188" i="183"/>
  <c r="J187" i="183"/>
  <c r="J186" i="183"/>
  <c r="J185" i="183"/>
  <c r="J184" i="183"/>
  <c r="J183" i="183"/>
  <c r="J182" i="183"/>
  <c r="J181" i="183"/>
  <c r="J180" i="183"/>
  <c r="J179" i="183"/>
  <c r="J178" i="183"/>
  <c r="J177" i="183"/>
  <c r="J176" i="183"/>
  <c r="J175" i="183"/>
  <c r="J174" i="183"/>
  <c r="J173" i="183"/>
  <c r="J172" i="183"/>
  <c r="J171" i="183"/>
  <c r="J170" i="183"/>
  <c r="J169" i="183"/>
  <c r="J168" i="183"/>
  <c r="J167" i="183"/>
  <c r="J166" i="183"/>
  <c r="J165" i="183"/>
  <c r="J164" i="183"/>
  <c r="J163" i="183"/>
  <c r="J162" i="183"/>
  <c r="J161" i="183"/>
  <c r="J160" i="183"/>
  <c r="J159" i="183"/>
  <c r="J158" i="183"/>
  <c r="J157" i="183"/>
  <c r="J156" i="183"/>
  <c r="J155" i="183"/>
  <c r="J154" i="183"/>
  <c r="J153" i="183"/>
  <c r="J152" i="183"/>
  <c r="J151" i="183"/>
  <c r="J150" i="183"/>
  <c r="J149" i="183"/>
  <c r="J148" i="183"/>
  <c r="J147" i="183"/>
  <c r="J146" i="183"/>
  <c r="J145" i="183"/>
  <c r="J144" i="183"/>
  <c r="J143" i="183"/>
  <c r="J142" i="183"/>
  <c r="J141" i="183"/>
  <c r="J140" i="183"/>
  <c r="J139" i="183"/>
  <c r="J138" i="183"/>
  <c r="J137" i="183"/>
  <c r="J136" i="183"/>
  <c r="J135" i="183"/>
  <c r="J134" i="183"/>
  <c r="J133" i="183"/>
  <c r="J132" i="183"/>
  <c r="J131" i="183"/>
  <c r="J130" i="183"/>
  <c r="J129" i="183"/>
  <c r="J128" i="183"/>
  <c r="J127" i="183"/>
  <c r="J126" i="183"/>
  <c r="J125" i="183"/>
  <c r="J124" i="183"/>
  <c r="J123" i="183"/>
  <c r="J122" i="183"/>
  <c r="J121" i="183"/>
  <c r="J120" i="183"/>
  <c r="J119" i="183"/>
  <c r="J118" i="183"/>
  <c r="J117" i="183"/>
  <c r="J116" i="183"/>
  <c r="J115" i="183"/>
  <c r="J114" i="183"/>
  <c r="J113" i="183"/>
  <c r="J112" i="183"/>
  <c r="J111" i="183"/>
  <c r="J110" i="183"/>
  <c r="J109" i="183"/>
  <c r="J108" i="183"/>
  <c r="J107" i="183"/>
  <c r="J106" i="183"/>
  <c r="J105" i="183"/>
  <c r="J104" i="183"/>
  <c r="J103" i="183"/>
  <c r="J102" i="183"/>
  <c r="J101" i="183"/>
  <c r="J100" i="183"/>
  <c r="J99" i="183"/>
  <c r="J98" i="183"/>
  <c r="J97" i="183"/>
  <c r="J96" i="183"/>
  <c r="J95" i="183"/>
  <c r="J94" i="183"/>
  <c r="J93" i="183"/>
  <c r="J92" i="183"/>
  <c r="J91" i="183"/>
  <c r="J90" i="183"/>
  <c r="J89" i="183"/>
  <c r="J88" i="183"/>
  <c r="J87" i="183"/>
  <c r="J86" i="183"/>
  <c r="J85" i="183"/>
  <c r="J84" i="183"/>
  <c r="J83" i="183"/>
  <c r="J82" i="183"/>
  <c r="J81" i="183"/>
  <c r="J80" i="183"/>
  <c r="J79" i="183"/>
  <c r="J78" i="183"/>
  <c r="J77" i="183"/>
  <c r="J76" i="183"/>
  <c r="J75" i="183"/>
  <c r="J74" i="183"/>
  <c r="J73" i="183"/>
  <c r="J72" i="183"/>
  <c r="J71" i="183"/>
  <c r="J70" i="183"/>
  <c r="J69" i="183"/>
  <c r="J68" i="183"/>
  <c r="J67" i="183"/>
  <c r="J66" i="183"/>
  <c r="J65" i="183"/>
  <c r="J64" i="183"/>
  <c r="J63" i="183"/>
  <c r="J62" i="183"/>
  <c r="J61" i="183"/>
  <c r="J60" i="183"/>
  <c r="J59" i="183"/>
  <c r="J58" i="183"/>
  <c r="J57" i="183"/>
  <c r="J56" i="183"/>
  <c r="J55" i="183"/>
  <c r="J54" i="183"/>
  <c r="J53" i="183"/>
  <c r="J52" i="183"/>
  <c r="J51" i="183"/>
  <c r="J50" i="183"/>
  <c r="J49" i="183"/>
  <c r="J48" i="183"/>
  <c r="J47" i="183"/>
  <c r="J46" i="183"/>
  <c r="J45" i="183"/>
  <c r="J44" i="183"/>
  <c r="J43" i="183"/>
  <c r="J42" i="183"/>
  <c r="J41" i="183"/>
  <c r="J40" i="183"/>
  <c r="J39" i="183"/>
  <c r="J38" i="183"/>
  <c r="J37" i="183"/>
  <c r="J36" i="183"/>
  <c r="J35" i="183"/>
  <c r="J34" i="183"/>
  <c r="J33" i="183"/>
  <c r="J32" i="183"/>
  <c r="J31" i="183"/>
  <c r="J30" i="183"/>
  <c r="J29" i="183"/>
  <c r="J28" i="183"/>
  <c r="J27" i="183"/>
  <c r="J26" i="183"/>
  <c r="J25" i="183"/>
  <c r="J24" i="183"/>
  <c r="J23" i="183"/>
  <c r="J22" i="183"/>
  <c r="J21" i="183"/>
  <c r="J20" i="183"/>
  <c r="J19" i="183"/>
  <c r="J18" i="183"/>
  <c r="J17" i="183"/>
  <c r="J16" i="183"/>
  <c r="J15" i="183"/>
  <c r="J14" i="183"/>
  <c r="J13" i="183"/>
  <c r="J12" i="183"/>
  <c r="J11" i="183"/>
  <c r="J10" i="183"/>
  <c r="J9" i="183"/>
  <c r="J8" i="183"/>
  <c r="J7" i="183"/>
  <c r="J6" i="183"/>
  <c r="J5" i="183"/>
  <c r="J4" i="183"/>
  <c r="J2" i="183"/>
  <c r="L3" i="182"/>
  <c r="L4" i="182"/>
  <c r="L5" i="182"/>
  <c r="L6" i="182"/>
  <c r="L7" i="182"/>
  <c r="L8" i="182"/>
  <c r="L9" i="182"/>
  <c r="L10" i="182"/>
  <c r="L11" i="182"/>
  <c r="L12" i="182"/>
  <c r="L13" i="182"/>
  <c r="L14" i="182"/>
  <c r="L15" i="182"/>
  <c r="L16" i="182"/>
  <c r="L17" i="182"/>
  <c r="L18" i="182"/>
  <c r="L19" i="182"/>
  <c r="L20" i="182"/>
  <c r="L21" i="182"/>
  <c r="L22" i="182"/>
  <c r="L23" i="182"/>
  <c r="L24" i="182"/>
  <c r="L25" i="182"/>
  <c r="L26" i="182"/>
  <c r="L27" i="182"/>
  <c r="L28" i="182"/>
  <c r="L29" i="182"/>
  <c r="L30" i="182"/>
  <c r="L31" i="182"/>
  <c r="L32" i="182"/>
  <c r="L33" i="182"/>
  <c r="L34" i="182"/>
  <c r="L35" i="182"/>
  <c r="L36" i="182"/>
  <c r="L37" i="182"/>
  <c r="L38" i="182"/>
  <c r="L39" i="182"/>
  <c r="L40" i="182"/>
  <c r="L41" i="182"/>
  <c r="L42" i="182"/>
  <c r="L43" i="182"/>
  <c r="L44" i="182"/>
  <c r="L45" i="182"/>
  <c r="L46" i="182"/>
  <c r="L47" i="182"/>
  <c r="L48" i="182"/>
  <c r="L49" i="182"/>
  <c r="L50" i="182"/>
  <c r="L51" i="182"/>
  <c r="L52" i="182"/>
  <c r="L53" i="182"/>
  <c r="L54" i="182"/>
  <c r="L55" i="182"/>
  <c r="L56" i="182"/>
  <c r="L57" i="182"/>
  <c r="L58" i="182"/>
  <c r="L59" i="182"/>
  <c r="L60" i="182"/>
  <c r="L61" i="182"/>
  <c r="L62" i="182"/>
  <c r="L63" i="182"/>
  <c r="L64" i="182"/>
  <c r="L65" i="182"/>
  <c r="L66" i="182"/>
  <c r="L67" i="182"/>
  <c r="L68" i="182"/>
  <c r="L69" i="182"/>
  <c r="L70" i="182"/>
  <c r="L71" i="182"/>
  <c r="L72" i="182"/>
  <c r="L73" i="182"/>
  <c r="L74" i="182"/>
  <c r="L75" i="182"/>
  <c r="L76" i="182"/>
  <c r="L77" i="182"/>
  <c r="L78" i="182"/>
  <c r="L79" i="182"/>
  <c r="L80" i="182"/>
  <c r="L81" i="182"/>
  <c r="L82" i="182"/>
  <c r="L83" i="182"/>
  <c r="L84" i="182"/>
  <c r="L85" i="182"/>
  <c r="L86" i="182"/>
  <c r="L87" i="182"/>
  <c r="L88" i="182"/>
  <c r="L89" i="182"/>
  <c r="L90" i="182"/>
  <c r="L91" i="182"/>
  <c r="L92" i="182"/>
  <c r="L93" i="182"/>
  <c r="L94" i="182"/>
  <c r="L95" i="182"/>
  <c r="L96" i="182"/>
  <c r="L97" i="182"/>
  <c r="L98" i="182"/>
  <c r="L99" i="182"/>
  <c r="L100" i="182"/>
  <c r="L101" i="182"/>
  <c r="L102" i="182"/>
  <c r="L103" i="182"/>
  <c r="L104" i="182"/>
  <c r="L105" i="182"/>
  <c r="L106" i="182"/>
  <c r="L107" i="182"/>
  <c r="L108" i="182"/>
  <c r="L109" i="182"/>
  <c r="L110" i="182"/>
  <c r="L111" i="182"/>
  <c r="L112" i="182"/>
  <c r="L113" i="182"/>
  <c r="L114" i="182"/>
  <c r="L115" i="182"/>
  <c r="L116" i="182"/>
  <c r="L117" i="182"/>
  <c r="L118" i="182"/>
  <c r="L119" i="182"/>
  <c r="L120" i="182"/>
  <c r="L121" i="182"/>
  <c r="L122" i="182"/>
  <c r="L123" i="182"/>
  <c r="L124" i="182"/>
  <c r="L125" i="182"/>
  <c r="L126" i="182"/>
  <c r="L127" i="182"/>
  <c r="L128" i="182"/>
  <c r="L129" i="182"/>
  <c r="L130" i="182"/>
  <c r="L131" i="182"/>
  <c r="L132" i="182"/>
  <c r="L133" i="182"/>
  <c r="L134" i="182"/>
  <c r="L135" i="182"/>
  <c r="L136" i="182"/>
  <c r="L137" i="182"/>
  <c r="L138" i="182"/>
  <c r="L139" i="182"/>
  <c r="L140" i="182"/>
  <c r="L141" i="182"/>
  <c r="L142" i="182"/>
  <c r="L143" i="182"/>
  <c r="L144" i="182"/>
  <c r="L145" i="182"/>
  <c r="L146" i="182"/>
  <c r="L147" i="182"/>
  <c r="L148" i="182"/>
  <c r="L149" i="182"/>
  <c r="L150" i="182"/>
  <c r="L151" i="182"/>
  <c r="L152" i="182"/>
  <c r="L153" i="182"/>
  <c r="L154" i="182"/>
  <c r="L155" i="182"/>
  <c r="L156" i="182"/>
  <c r="L157" i="182"/>
  <c r="L158" i="182"/>
  <c r="L159" i="182"/>
  <c r="L160" i="182"/>
  <c r="L161" i="182"/>
  <c r="L162" i="182"/>
  <c r="L163" i="182"/>
  <c r="L164" i="182"/>
  <c r="L165" i="182"/>
  <c r="L166" i="182"/>
  <c r="L167" i="182"/>
  <c r="L168" i="182"/>
  <c r="L169" i="182"/>
  <c r="L170" i="182"/>
  <c r="L171" i="182"/>
  <c r="L172" i="182"/>
  <c r="L173" i="182"/>
  <c r="L174" i="182"/>
  <c r="L175" i="182"/>
  <c r="L176" i="182"/>
  <c r="L177" i="182"/>
  <c r="L178" i="182"/>
  <c r="L179" i="182"/>
  <c r="L180" i="182"/>
  <c r="L181" i="182"/>
  <c r="L182" i="182"/>
  <c r="L183" i="182"/>
  <c r="L184" i="182"/>
  <c r="L185" i="182"/>
  <c r="L186" i="182"/>
  <c r="L187" i="182"/>
  <c r="L188" i="182"/>
  <c r="L189" i="182"/>
  <c r="L190" i="182"/>
  <c r="L191" i="182"/>
  <c r="L192" i="182"/>
  <c r="L193" i="182"/>
  <c r="L194" i="182"/>
  <c r="L195" i="182"/>
  <c r="L196" i="182"/>
  <c r="L197" i="182"/>
  <c r="L198" i="182"/>
  <c r="L2" i="182"/>
  <c r="Z5" i="14"/>
  <c r="Z13" i="14"/>
  <c r="Z21" i="14"/>
  <c r="Z29" i="14"/>
  <c r="Z37" i="14"/>
  <c r="Z45" i="14"/>
  <c r="Z53" i="14"/>
  <c r="Z61" i="14"/>
  <c r="Z69" i="14"/>
  <c r="Z77" i="14"/>
  <c r="Z85" i="14"/>
  <c r="Z93" i="14"/>
  <c r="Z101" i="14"/>
  <c r="Z109" i="14"/>
  <c r="Z117" i="14"/>
  <c r="Z125" i="14"/>
  <c r="Z133" i="14"/>
  <c r="Z141" i="14"/>
  <c r="Z149" i="14"/>
  <c r="Z157" i="14"/>
  <c r="Z165" i="14"/>
  <c r="Z173" i="14"/>
  <c r="Z181" i="14"/>
  <c r="Z189" i="14"/>
  <c r="Z197" i="14"/>
  <c r="Z6" i="14"/>
  <c r="Z14" i="14"/>
  <c r="Z22" i="14"/>
  <c r="Z30" i="14"/>
  <c r="Z38" i="14"/>
  <c r="Z46" i="14"/>
  <c r="Z54" i="14"/>
  <c r="Z62" i="14"/>
  <c r="Z70" i="14"/>
  <c r="Z78" i="14"/>
  <c r="Z86" i="14"/>
  <c r="Z94" i="14"/>
  <c r="Z102" i="14"/>
  <c r="Z110" i="14"/>
  <c r="Z118" i="14"/>
  <c r="Z126" i="14"/>
  <c r="Z134" i="14"/>
  <c r="Z142" i="14"/>
  <c r="Z150" i="14"/>
  <c r="Z8" i="14"/>
  <c r="Z16" i="14"/>
  <c r="Z24" i="14"/>
  <c r="Z32" i="14"/>
  <c r="Z40" i="14"/>
  <c r="Z48" i="14"/>
  <c r="Z56" i="14"/>
  <c r="Z64" i="14"/>
  <c r="Z72" i="14"/>
  <c r="Z80" i="14"/>
  <c r="Z88" i="14"/>
  <c r="Z96" i="14"/>
  <c r="Z104" i="14"/>
  <c r="Z112" i="14"/>
  <c r="Z120" i="14"/>
  <c r="Z128" i="14"/>
  <c r="Z136" i="14"/>
  <c r="Z144" i="14"/>
  <c r="Z152" i="14"/>
  <c r="Z160" i="14"/>
  <c r="Z168" i="14"/>
  <c r="Z176" i="14"/>
  <c r="Z184" i="14"/>
  <c r="Z192" i="14"/>
  <c r="Z200" i="14"/>
  <c r="Z9" i="14"/>
  <c r="Z17" i="14"/>
  <c r="Z25" i="14"/>
  <c r="Z33" i="14"/>
  <c r="Z41" i="14"/>
  <c r="Z49" i="14"/>
  <c r="Z57" i="14"/>
  <c r="Z65" i="14"/>
  <c r="Z73" i="14"/>
  <c r="Z81" i="14"/>
  <c r="Z89" i="14"/>
  <c r="Z97" i="14"/>
  <c r="Z105" i="14"/>
  <c r="Z113" i="14"/>
  <c r="Z121" i="14"/>
  <c r="Z129" i="14"/>
  <c r="Z137" i="14"/>
  <c r="Z145" i="14"/>
  <c r="Z153" i="14"/>
  <c r="Z161" i="14"/>
  <c r="Z169" i="14"/>
  <c r="Z177" i="14"/>
  <c r="Z185" i="14"/>
  <c r="Z193" i="14"/>
  <c r="Z201" i="14"/>
  <c r="Z10" i="14"/>
  <c r="Z18" i="14"/>
  <c r="Z26" i="14"/>
  <c r="Z34" i="14"/>
  <c r="Z42" i="14"/>
  <c r="Z50" i="14"/>
  <c r="Z58" i="14"/>
  <c r="Z66" i="14"/>
  <c r="Z74" i="14"/>
  <c r="Z82" i="14"/>
  <c r="Z90" i="14"/>
  <c r="Z98" i="14"/>
  <c r="Z106" i="14"/>
  <c r="Z114" i="14"/>
  <c r="Z122" i="14"/>
  <c r="Z130" i="14"/>
  <c r="Z138" i="14"/>
  <c r="Z146" i="14"/>
  <c r="Z154" i="14"/>
  <c r="Z162" i="14"/>
  <c r="Z170" i="14"/>
  <c r="Z178" i="14"/>
  <c r="Z186" i="14"/>
  <c r="Z194" i="14"/>
  <c r="Z11" i="14"/>
  <c r="Z19" i="14"/>
  <c r="Z27" i="14"/>
  <c r="Z35" i="14"/>
  <c r="Z43" i="14"/>
  <c r="Z51" i="14"/>
  <c r="Z59" i="14"/>
  <c r="Z67" i="14"/>
  <c r="Z75" i="14"/>
  <c r="Z83" i="14"/>
  <c r="Z91" i="14"/>
  <c r="Z99" i="14"/>
  <c r="Z107" i="14"/>
  <c r="Z115" i="14"/>
  <c r="Z123" i="14"/>
  <c r="Z131" i="14"/>
  <c r="Z139" i="14"/>
  <c r="Z147" i="14"/>
  <c r="Z155" i="14"/>
  <c r="Z163" i="14"/>
  <c r="Z171" i="14"/>
  <c r="Z179" i="14"/>
  <c r="Z187" i="14"/>
  <c r="Z195" i="14"/>
  <c r="Z12" i="14"/>
  <c r="Z20" i="14"/>
  <c r="Z28" i="14"/>
  <c r="Z36" i="14"/>
  <c r="Z44" i="14"/>
  <c r="Z52" i="14"/>
  <c r="Z60" i="14"/>
  <c r="Z68" i="14"/>
  <c r="Z76" i="14"/>
  <c r="Z84" i="14"/>
  <c r="Z92" i="14"/>
  <c r="Z100" i="14"/>
  <c r="Z108" i="14"/>
  <c r="Z116" i="14"/>
  <c r="Z124" i="14"/>
  <c r="Z132" i="14"/>
  <c r="Z140" i="14"/>
  <c r="Z148" i="14"/>
  <c r="Z156" i="14"/>
  <c r="Z164" i="14"/>
  <c r="Z172" i="14"/>
  <c r="Z180" i="14"/>
  <c r="Z188" i="14"/>
  <c r="Z196" i="14"/>
  <c r="Z166" i="14"/>
  <c r="Z174" i="14"/>
  <c r="Z182" i="14"/>
  <c r="Z190" i="14"/>
  <c r="Z198" i="14"/>
  <c r="Z31" i="14"/>
  <c r="Z95" i="14"/>
  <c r="Z158" i="14"/>
  <c r="Z39" i="14"/>
  <c r="Z103" i="14"/>
  <c r="Z159" i="14"/>
  <c r="Z47" i="14"/>
  <c r="Z111" i="14"/>
  <c r="Z167" i="14"/>
  <c r="Z55" i="14"/>
  <c r="Z119" i="14"/>
  <c r="Z175" i="14"/>
  <c r="Z63" i="14"/>
  <c r="Z127" i="14"/>
  <c r="Z183" i="14"/>
  <c r="Z7" i="14"/>
  <c r="Z71" i="14"/>
  <c r="Z135" i="14"/>
  <c r="Z191" i="14"/>
  <c r="Z15" i="14"/>
  <c r="Z79" i="14"/>
  <c r="Z143" i="14"/>
  <c r="Z199" i="14"/>
  <c r="Z23" i="14"/>
  <c r="Z87" i="14"/>
  <c r="Z151" i="14"/>
  <c r="Z4" i="14"/>
  <c r="Y5" i="14"/>
  <c r="Y13" i="14"/>
  <c r="Y21" i="14"/>
  <c r="Y29" i="14"/>
  <c r="Y37" i="14"/>
  <c r="Y45" i="14"/>
  <c r="Y53" i="14"/>
  <c r="Y61" i="14"/>
  <c r="Y69" i="14"/>
  <c r="Y77" i="14"/>
  <c r="Y85" i="14"/>
  <c r="Y93" i="14"/>
  <c r="Y101" i="14"/>
  <c r="Y109" i="14"/>
  <c r="Y117" i="14"/>
  <c r="Y125" i="14"/>
  <c r="Y133" i="14"/>
  <c r="Y141" i="14"/>
  <c r="Y149" i="14"/>
  <c r="Y157" i="14"/>
  <c r="Y165" i="14"/>
  <c r="Y173" i="14"/>
  <c r="Y181" i="14"/>
  <c r="Y189" i="14"/>
  <c r="Y197" i="14"/>
  <c r="Y15" i="14"/>
  <c r="Y39" i="14"/>
  <c r="Y55" i="14"/>
  <c r="Y71" i="14"/>
  <c r="Y87" i="14"/>
  <c r="Y103" i="14"/>
  <c r="Y127" i="14"/>
  <c r="Y143" i="14"/>
  <c r="Y167" i="14"/>
  <c r="Y183" i="14"/>
  <c r="Y199" i="14"/>
  <c r="Y8" i="14"/>
  <c r="Y24" i="14"/>
  <c r="Y32" i="14"/>
  <c r="Y40" i="14"/>
  <c r="Y56" i="14"/>
  <c r="Y72" i="14"/>
  <c r="Y88" i="14"/>
  <c r="Y104" i="14"/>
  <c r="Y120" i="14"/>
  <c r="Y136" i="14"/>
  <c r="Y144" i="14"/>
  <c r="Y160" i="14"/>
  <c r="Y176" i="14"/>
  <c r="Y192" i="14"/>
  <c r="Y9" i="14"/>
  <c r="Y33" i="14"/>
  <c r="Y49" i="14"/>
  <c r="Y65" i="14"/>
  <c r="Y81" i="14"/>
  <c r="Y97" i="14"/>
  <c r="Y113" i="14"/>
  <c r="Y121" i="14"/>
  <c r="Y137" i="14"/>
  <c r="Y153" i="14"/>
  <c r="Y169" i="14"/>
  <c r="Y185" i="14"/>
  <c r="Y201" i="14"/>
  <c r="Y18" i="14"/>
  <c r="Y50" i="14"/>
  <c r="Y66" i="14"/>
  <c r="Y90" i="14"/>
  <c r="Y106" i="14"/>
  <c r="Y114" i="14"/>
  <c r="Y130" i="14"/>
  <c r="Y146" i="14"/>
  <c r="Y162" i="14"/>
  <c r="Y170" i="14"/>
  <c r="Y186" i="14"/>
  <c r="Y11" i="14"/>
  <c r="Y35" i="14"/>
  <c r="Y51" i="14"/>
  <c r="Y83" i="14"/>
  <c r="Y107" i="14"/>
  <c r="Y123" i="14"/>
  <c r="Y131" i="14"/>
  <c r="Y147" i="14"/>
  <c r="Y163" i="14"/>
  <c r="Y171" i="14"/>
  <c r="Y187" i="14"/>
  <c r="Y12" i="14"/>
  <c r="Y28" i="14"/>
  <c r="Y44" i="14"/>
  <c r="Y60" i="14"/>
  <c r="Y76" i="14"/>
  <c r="Y92" i="14"/>
  <c r="Y108" i="14"/>
  <c r="Y124" i="14"/>
  <c r="Y140" i="14"/>
  <c r="Y156" i="14"/>
  <c r="Y164" i="14"/>
  <c r="Y180" i="14"/>
  <c r="Y196" i="14"/>
  <c r="Y6" i="14"/>
  <c r="Y14" i="14"/>
  <c r="Y22" i="14"/>
  <c r="Y30" i="14"/>
  <c r="Y38" i="14"/>
  <c r="Y46" i="14"/>
  <c r="Y54" i="14"/>
  <c r="Y62" i="14"/>
  <c r="Y70" i="14"/>
  <c r="Y78" i="14"/>
  <c r="Y86" i="14"/>
  <c r="Y94" i="14"/>
  <c r="Y102" i="14"/>
  <c r="Y110" i="14"/>
  <c r="Y118" i="14"/>
  <c r="Y126" i="14"/>
  <c r="Y134" i="14"/>
  <c r="Y142" i="14"/>
  <c r="Y150" i="14"/>
  <c r="Y158" i="14"/>
  <c r="Y166" i="14"/>
  <c r="Y174" i="14"/>
  <c r="Y182" i="14"/>
  <c r="Y190" i="14"/>
  <c r="Y198" i="14"/>
  <c r="Y7" i="14"/>
  <c r="Y23" i="14"/>
  <c r="Y31" i="14"/>
  <c r="Y47" i="14"/>
  <c r="Y63" i="14"/>
  <c r="Y79" i="14"/>
  <c r="Y95" i="14"/>
  <c r="Y111" i="14"/>
  <c r="Y119" i="14"/>
  <c r="Y135" i="14"/>
  <c r="Y151" i="14"/>
  <c r="Y159" i="14"/>
  <c r="Y175" i="14"/>
  <c r="Y191" i="14"/>
  <c r="Y16" i="14"/>
  <c r="Y48" i="14"/>
  <c r="Y64" i="14"/>
  <c r="Y80" i="14"/>
  <c r="Y96" i="14"/>
  <c r="Y112" i="14"/>
  <c r="Y128" i="14"/>
  <c r="Y152" i="14"/>
  <c r="Y168" i="14"/>
  <c r="Y184" i="14"/>
  <c r="Y200" i="14"/>
  <c r="Y17" i="14"/>
  <c r="Y25" i="14"/>
  <c r="Y41" i="14"/>
  <c r="Y57" i="14"/>
  <c r="Y73" i="14"/>
  <c r="Y89" i="14"/>
  <c r="Y105" i="14"/>
  <c r="Y129" i="14"/>
  <c r="Y145" i="14"/>
  <c r="Y161" i="14"/>
  <c r="Y177" i="14"/>
  <c r="Y193" i="14"/>
  <c r="Y10" i="14"/>
  <c r="Y26" i="14"/>
  <c r="Y34" i="14"/>
  <c r="Y42" i="14"/>
  <c r="Y58" i="14"/>
  <c r="Y74" i="14"/>
  <c r="Y82" i="14"/>
  <c r="Y98" i="14"/>
  <c r="Y122" i="14"/>
  <c r="Y138" i="14"/>
  <c r="Y154" i="14"/>
  <c r="Y178" i="14"/>
  <c r="Y194" i="14"/>
  <c r="Y19" i="14"/>
  <c r="Y27" i="14"/>
  <c r="Y43" i="14"/>
  <c r="Y59" i="14"/>
  <c r="Y67" i="14"/>
  <c r="Y75" i="14"/>
  <c r="Y91" i="14"/>
  <c r="Y99" i="14"/>
  <c r="Y115" i="14"/>
  <c r="Y139" i="14"/>
  <c r="Y155" i="14"/>
  <c r="Y179" i="14"/>
  <c r="Y195" i="14"/>
  <c r="Y20" i="14"/>
  <c r="Y36" i="14"/>
  <c r="Y52" i="14"/>
  <c r="Y68" i="14"/>
  <c r="Y84" i="14"/>
  <c r="Y100" i="14"/>
  <c r="Y116" i="14"/>
  <c r="Y132" i="14"/>
  <c r="Y148" i="14"/>
  <c r="Y172" i="14"/>
  <c r="Y188" i="14"/>
  <c r="Y4" i="14"/>
  <c r="G7" i="14"/>
  <c r="G15" i="14"/>
  <c r="G23" i="14"/>
  <c r="G31" i="14"/>
  <c r="G39" i="14"/>
  <c r="G47" i="14"/>
  <c r="G55" i="14"/>
  <c r="G63" i="14"/>
  <c r="G71" i="14"/>
  <c r="G79" i="14"/>
  <c r="G87" i="14"/>
  <c r="G95" i="14"/>
  <c r="G103" i="14"/>
  <c r="G111" i="14"/>
  <c r="G119" i="14"/>
  <c r="G127" i="14"/>
  <c r="G135" i="14"/>
  <c r="G143" i="14"/>
  <c r="G151" i="14"/>
  <c r="G159" i="14"/>
  <c r="G167" i="14"/>
  <c r="G175" i="14"/>
  <c r="G183" i="14"/>
  <c r="G191" i="14"/>
  <c r="G199" i="14"/>
  <c r="G193" i="14"/>
  <c r="G10" i="14"/>
  <c r="G50" i="14"/>
  <c r="G66" i="14"/>
  <c r="G82" i="14"/>
  <c r="G98" i="14"/>
  <c r="G114" i="14"/>
  <c r="G130" i="14"/>
  <c r="G154" i="14"/>
  <c r="G170" i="14"/>
  <c r="G186" i="14"/>
  <c r="G11" i="14"/>
  <c r="G27" i="14"/>
  <c r="G35" i="14"/>
  <c r="G51" i="14"/>
  <c r="G67" i="14"/>
  <c r="G83" i="14"/>
  <c r="G107" i="14"/>
  <c r="G123" i="14"/>
  <c r="G139" i="14"/>
  <c r="G155" i="14"/>
  <c r="G171" i="14"/>
  <c r="G187" i="14"/>
  <c r="G12" i="14"/>
  <c r="G28" i="14"/>
  <c r="G36" i="14"/>
  <c r="G44" i="14"/>
  <c r="G60" i="14"/>
  <c r="G76" i="14"/>
  <c r="G100" i="14"/>
  <c r="G116" i="14"/>
  <c r="G132" i="14"/>
  <c r="G140" i="14"/>
  <c r="G156" i="14"/>
  <c r="G172" i="14"/>
  <c r="G188" i="14"/>
  <c r="G196" i="14"/>
  <c r="G13" i="14"/>
  <c r="G37" i="14"/>
  <c r="G45" i="14"/>
  <c r="G61" i="14"/>
  <c r="G77" i="14"/>
  <c r="G101" i="14"/>
  <c r="G117" i="14"/>
  <c r="G141" i="14"/>
  <c r="G157" i="14"/>
  <c r="G173" i="14"/>
  <c r="G189" i="14"/>
  <c r="G6" i="14"/>
  <c r="G22" i="14"/>
  <c r="G30" i="14"/>
  <c r="G38" i="14"/>
  <c r="G54" i="14"/>
  <c r="G70" i="14"/>
  <c r="G86" i="14"/>
  <c r="G110" i="14"/>
  <c r="G126" i="14"/>
  <c r="G142" i="14"/>
  <c r="G158" i="14"/>
  <c r="G166" i="14"/>
  <c r="G182" i="14"/>
  <c r="G198" i="14"/>
  <c r="G8" i="14"/>
  <c r="G16" i="14"/>
  <c r="G24" i="14"/>
  <c r="G32" i="14"/>
  <c r="G40" i="14"/>
  <c r="G48" i="14"/>
  <c r="G56" i="14"/>
  <c r="G64" i="14"/>
  <c r="G72" i="14"/>
  <c r="G80" i="14"/>
  <c r="G88" i="14"/>
  <c r="G96" i="14"/>
  <c r="G104" i="14"/>
  <c r="G112" i="14"/>
  <c r="G120" i="14"/>
  <c r="G128" i="14"/>
  <c r="G136" i="14"/>
  <c r="G144" i="14"/>
  <c r="G152" i="14"/>
  <c r="G160" i="14"/>
  <c r="G168" i="14"/>
  <c r="G176" i="14"/>
  <c r="G184" i="14"/>
  <c r="G192" i="14"/>
  <c r="G200" i="14"/>
  <c r="G9" i="14"/>
  <c r="G17" i="14"/>
  <c r="G25" i="14"/>
  <c r="G33" i="14"/>
  <c r="G41" i="14"/>
  <c r="G49" i="14"/>
  <c r="G57" i="14"/>
  <c r="G65" i="14"/>
  <c r="G73" i="14"/>
  <c r="G81" i="14"/>
  <c r="G89" i="14"/>
  <c r="G97" i="14"/>
  <c r="G105" i="14"/>
  <c r="G113" i="14"/>
  <c r="G121" i="14"/>
  <c r="G129" i="14"/>
  <c r="G137" i="14"/>
  <c r="G145" i="14"/>
  <c r="G153" i="14"/>
  <c r="G161" i="14"/>
  <c r="G169" i="14"/>
  <c r="G177" i="14"/>
  <c r="G185" i="14"/>
  <c r="G201" i="14"/>
  <c r="G18" i="14"/>
  <c r="G26" i="14"/>
  <c r="G34" i="14"/>
  <c r="G42" i="14"/>
  <c r="G58" i="14"/>
  <c r="G74" i="14"/>
  <c r="G90" i="14"/>
  <c r="G106" i="14"/>
  <c r="G122" i="14"/>
  <c r="G138" i="14"/>
  <c r="G146" i="14"/>
  <c r="G162" i="14"/>
  <c r="G178" i="14"/>
  <c r="G194" i="14"/>
  <c r="G19" i="14"/>
  <c r="G43" i="14"/>
  <c r="G59" i="14"/>
  <c r="G75" i="14"/>
  <c r="G91" i="14"/>
  <c r="G99" i="14"/>
  <c r="G115" i="14"/>
  <c r="G131" i="14"/>
  <c r="G147" i="14"/>
  <c r="G163" i="14"/>
  <c r="G179" i="14"/>
  <c r="G195" i="14"/>
  <c r="G20" i="14"/>
  <c r="G52" i="14"/>
  <c r="G68" i="14"/>
  <c r="G84" i="14"/>
  <c r="G92" i="14"/>
  <c r="G108" i="14"/>
  <c r="G124" i="14"/>
  <c r="G148" i="14"/>
  <c r="G164" i="14"/>
  <c r="G180" i="14"/>
  <c r="G5" i="14"/>
  <c r="G21" i="14"/>
  <c r="G29" i="14"/>
  <c r="G53" i="14"/>
  <c r="G69" i="14"/>
  <c r="G85" i="14"/>
  <c r="G93" i="14"/>
  <c r="G109" i="14"/>
  <c r="G125" i="14"/>
  <c r="G133" i="14"/>
  <c r="G149" i="14"/>
  <c r="G165" i="14"/>
  <c r="G181" i="14"/>
  <c r="G197" i="14"/>
  <c r="G14" i="14"/>
  <c r="G46" i="14"/>
  <c r="G62" i="14"/>
  <c r="G78" i="14"/>
  <c r="G94" i="14"/>
  <c r="G102" i="14"/>
  <c r="G118" i="14"/>
  <c r="G134" i="14"/>
  <c r="G150" i="14"/>
  <c r="G174" i="14"/>
  <c r="G190" i="14"/>
  <c r="G4" i="14"/>
  <c r="AH14" i="12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J102" i="14"/>
  <c r="J103" i="14"/>
  <c r="J104" i="14"/>
  <c r="J105" i="14"/>
  <c r="J106" i="14"/>
  <c r="J107" i="14"/>
  <c r="J108" i="14"/>
  <c r="J109" i="14"/>
  <c r="J110" i="14"/>
  <c r="J111" i="14"/>
  <c r="J112" i="14"/>
  <c r="J113" i="14"/>
  <c r="J114" i="14"/>
  <c r="J115" i="14"/>
  <c r="J116" i="14"/>
  <c r="J117" i="14"/>
  <c r="J118" i="14"/>
  <c r="J119" i="14"/>
  <c r="J120" i="14"/>
  <c r="J121" i="14"/>
  <c r="J122" i="14"/>
  <c r="J123" i="14"/>
  <c r="J124" i="14"/>
  <c r="J125" i="14"/>
  <c r="J126" i="14"/>
  <c r="J127" i="14"/>
  <c r="J128" i="14"/>
  <c r="J129" i="14"/>
  <c r="J130" i="14"/>
  <c r="J131" i="14"/>
  <c r="J132" i="14"/>
  <c r="J133" i="14"/>
  <c r="J134" i="14"/>
  <c r="J135" i="14"/>
  <c r="J136" i="14"/>
  <c r="J137" i="14"/>
  <c r="J138" i="14"/>
  <c r="J139" i="14"/>
  <c r="J140" i="14"/>
  <c r="J141" i="14"/>
  <c r="J142" i="14"/>
  <c r="J143" i="14"/>
  <c r="J144" i="14"/>
  <c r="J145" i="14"/>
  <c r="J146" i="14"/>
  <c r="J147" i="14"/>
  <c r="J148" i="14"/>
  <c r="J149" i="14"/>
  <c r="J150" i="14"/>
  <c r="J151" i="14"/>
  <c r="J152" i="14"/>
  <c r="J153" i="14"/>
  <c r="J154" i="14"/>
  <c r="J155" i="14"/>
  <c r="J156" i="14"/>
  <c r="J157" i="14"/>
  <c r="J158" i="14"/>
  <c r="J159" i="14"/>
  <c r="J160" i="14"/>
  <c r="J161" i="14"/>
  <c r="J162" i="14"/>
  <c r="J163" i="14"/>
  <c r="J164" i="14"/>
  <c r="J165" i="14"/>
  <c r="J166" i="14"/>
  <c r="J167" i="14"/>
  <c r="J168" i="14"/>
  <c r="J169" i="14"/>
  <c r="J170" i="14"/>
  <c r="J171" i="14"/>
  <c r="J172" i="14"/>
  <c r="J173" i="14"/>
  <c r="J174" i="14"/>
  <c r="J175" i="14"/>
  <c r="J176" i="14"/>
  <c r="J177" i="14"/>
  <c r="J178" i="14"/>
  <c r="J179" i="14"/>
  <c r="J180" i="14"/>
  <c r="J181" i="14"/>
  <c r="J182" i="14"/>
  <c r="J183" i="14"/>
  <c r="J184" i="14"/>
  <c r="J185" i="14"/>
  <c r="J186" i="14"/>
  <c r="J187" i="14"/>
  <c r="J188" i="14"/>
  <c r="J189" i="14"/>
  <c r="J190" i="14"/>
  <c r="J191" i="14"/>
  <c r="J192" i="14"/>
  <c r="J193" i="14"/>
  <c r="J194" i="14"/>
  <c r="J195" i="14"/>
  <c r="J196" i="14"/>
  <c r="J197" i="14"/>
  <c r="J198" i="14"/>
  <c r="J199" i="14"/>
  <c r="J200" i="14"/>
  <c r="J201" i="14"/>
  <c r="J4" i="14"/>
  <c r="B10" i="122"/>
  <c r="D25" i="122"/>
  <c r="D10" i="122"/>
  <c r="C24" i="122"/>
  <c r="D24" i="122"/>
  <c r="E24" i="122"/>
  <c r="F24" i="122"/>
  <c r="B26" i="122"/>
  <c r="E10" i="122"/>
  <c r="D15" i="122"/>
  <c r="E15" i="122"/>
  <c r="D16" i="122"/>
  <c r="E16" i="122"/>
  <c r="D17" i="122"/>
  <c r="E17" i="122"/>
  <c r="D18" i="122"/>
  <c r="E18" i="122"/>
  <c r="D19" i="122"/>
  <c r="E19" i="122"/>
  <c r="D20" i="122"/>
  <c r="E20" i="122"/>
  <c r="D14" i="122"/>
  <c r="E14" i="122"/>
  <c r="G13" i="122"/>
  <c r="F13" i="122"/>
  <c r="H10" i="122"/>
  <c r="F14" i="122"/>
  <c r="F17" i="122"/>
  <c r="H9" i="122"/>
  <c r="F19" i="122"/>
  <c r="G19" i="122"/>
  <c r="F18" i="122"/>
  <c r="G16" i="122"/>
  <c r="F15" i="122"/>
  <c r="G14" i="122"/>
  <c r="G17" i="122"/>
  <c r="F16" i="122"/>
  <c r="G20" i="122"/>
  <c r="K26" i="112"/>
  <c r="H10" i="112"/>
  <c r="L26" i="112"/>
  <c r="B10" i="112"/>
  <c r="D22" i="112"/>
  <c r="D10" i="112"/>
  <c r="M26" i="112"/>
  <c r="C21" i="112"/>
  <c r="D21" i="112"/>
  <c r="B23" i="112"/>
  <c r="E10" i="112"/>
  <c r="D15" i="112"/>
  <c r="E15" i="112"/>
  <c r="D16" i="112"/>
  <c r="E16" i="112"/>
  <c r="D17" i="112"/>
  <c r="E17" i="112"/>
  <c r="D14" i="112"/>
  <c r="E14" i="112"/>
  <c r="G13" i="112"/>
  <c r="F13" i="112"/>
  <c r="F16" i="112"/>
  <c r="H9" i="112"/>
  <c r="K26" i="101"/>
  <c r="G14" i="112"/>
  <c r="F17" i="112"/>
  <c r="G15" i="112"/>
  <c r="G16" i="112"/>
  <c r="F15" i="112"/>
  <c r="F14" i="112"/>
  <c r="G17" i="112"/>
  <c r="I15" i="112"/>
  <c r="D22" i="101"/>
  <c r="D10" i="101"/>
  <c r="M26" i="101"/>
  <c r="H10" i="101"/>
  <c r="F14" i="101"/>
  <c r="D253" i="101"/>
  <c r="E253" i="101"/>
  <c r="F253" i="101"/>
  <c r="H253" i="101"/>
  <c r="D254" i="101"/>
  <c r="E254" i="101"/>
  <c r="F254" i="101"/>
  <c r="H254" i="101"/>
  <c r="D255" i="101"/>
  <c r="E255" i="101"/>
  <c r="F255" i="101"/>
  <c r="H255" i="101"/>
  <c r="D256" i="101"/>
  <c r="E256" i="101"/>
  <c r="F256" i="101"/>
  <c r="H256" i="101"/>
  <c r="D257" i="101"/>
  <c r="E257" i="101"/>
  <c r="F257" i="101"/>
  <c r="H257" i="101"/>
  <c r="D258" i="101"/>
  <c r="E258" i="101"/>
  <c r="F258" i="101"/>
  <c r="H258" i="101"/>
  <c r="D259" i="101"/>
  <c r="E259" i="101"/>
  <c r="F259" i="101"/>
  <c r="H259" i="101"/>
  <c r="D260" i="101"/>
  <c r="E260" i="101"/>
  <c r="F260" i="101"/>
  <c r="H260" i="101"/>
  <c r="D261" i="101"/>
  <c r="E261" i="101"/>
  <c r="F261" i="101"/>
  <c r="H261" i="101"/>
  <c r="D262" i="101"/>
  <c r="E262" i="101"/>
  <c r="F262" i="101"/>
  <c r="H262" i="101"/>
  <c r="D263" i="101"/>
  <c r="E263" i="101"/>
  <c r="F263" i="101"/>
  <c r="H263" i="101"/>
  <c r="D264" i="101"/>
  <c r="E264" i="101"/>
  <c r="F264" i="101"/>
  <c r="H264" i="101"/>
  <c r="D265" i="101"/>
  <c r="E265" i="101"/>
  <c r="F265" i="101"/>
  <c r="H265" i="101"/>
  <c r="D266" i="101"/>
  <c r="E266" i="101"/>
  <c r="F266" i="101"/>
  <c r="H266" i="101"/>
  <c r="D267" i="101"/>
  <c r="E267" i="101"/>
  <c r="F267" i="101"/>
  <c r="H267" i="101"/>
  <c r="D268" i="101"/>
  <c r="E268" i="101"/>
  <c r="F268" i="101"/>
  <c r="H268" i="101"/>
  <c r="D269" i="101"/>
  <c r="E269" i="101"/>
  <c r="F269" i="101"/>
  <c r="H269" i="101"/>
  <c r="D270" i="101"/>
  <c r="E270" i="101"/>
  <c r="F270" i="101"/>
  <c r="H270" i="101"/>
  <c r="D271" i="101"/>
  <c r="E271" i="101"/>
  <c r="F271" i="101"/>
  <c r="H271" i="101"/>
  <c r="D272" i="101"/>
  <c r="E272" i="101"/>
  <c r="F272" i="101"/>
  <c r="H272" i="101"/>
  <c r="D273" i="101"/>
  <c r="E273" i="101"/>
  <c r="F273" i="101"/>
  <c r="H273" i="101"/>
  <c r="D274" i="101"/>
  <c r="E274" i="101"/>
  <c r="F274" i="101"/>
  <c r="H274" i="101"/>
  <c r="D275" i="101"/>
  <c r="E275" i="101"/>
  <c r="F275" i="101"/>
  <c r="H275" i="101"/>
  <c r="D276" i="101"/>
  <c r="E276" i="101"/>
  <c r="F276" i="101"/>
  <c r="H276" i="101"/>
  <c r="D277" i="101"/>
  <c r="E277" i="101"/>
  <c r="F277" i="101"/>
  <c r="H277" i="101"/>
  <c r="D278" i="101"/>
  <c r="E278" i="101"/>
  <c r="F278" i="101"/>
  <c r="H278" i="101"/>
  <c r="D279" i="101"/>
  <c r="E279" i="101"/>
  <c r="F279" i="101"/>
  <c r="H279" i="101"/>
  <c r="D280" i="101"/>
  <c r="E280" i="101"/>
  <c r="F280" i="101"/>
  <c r="H280" i="101"/>
  <c r="D281" i="101"/>
  <c r="E281" i="101"/>
  <c r="F281" i="101"/>
  <c r="H281" i="101"/>
  <c r="D282" i="101"/>
  <c r="E282" i="101"/>
  <c r="F282" i="101"/>
  <c r="H282" i="101"/>
  <c r="D283" i="101"/>
  <c r="E283" i="101"/>
  <c r="F283" i="101"/>
  <c r="H283" i="101"/>
  <c r="D284" i="101"/>
  <c r="E284" i="101"/>
  <c r="F284" i="101"/>
  <c r="H284" i="101"/>
  <c r="D285" i="101"/>
  <c r="E285" i="101"/>
  <c r="F285" i="101"/>
  <c r="H285" i="101"/>
  <c r="D286" i="101"/>
  <c r="E286" i="101"/>
  <c r="F286" i="101"/>
  <c r="H286" i="101"/>
  <c r="D287" i="101"/>
  <c r="E287" i="101"/>
  <c r="F287" i="101"/>
  <c r="H287" i="101"/>
  <c r="D288" i="101"/>
  <c r="E288" i="101"/>
  <c r="F288" i="101"/>
  <c r="H288" i="101"/>
  <c r="D289" i="101"/>
  <c r="E289" i="101"/>
  <c r="F289" i="101"/>
  <c r="H289" i="101"/>
  <c r="D290" i="101"/>
  <c r="E290" i="101"/>
  <c r="F290" i="101"/>
  <c r="H290" i="101"/>
  <c r="D291" i="101"/>
  <c r="E291" i="101"/>
  <c r="F291" i="101"/>
  <c r="H291" i="101"/>
  <c r="D292" i="101"/>
  <c r="E292" i="101"/>
  <c r="F292" i="101"/>
  <c r="H292" i="101"/>
  <c r="D293" i="101"/>
  <c r="E293" i="101"/>
  <c r="F293" i="101"/>
  <c r="H293" i="101"/>
  <c r="D294" i="101"/>
  <c r="E294" i="101"/>
  <c r="F294" i="101"/>
  <c r="H294" i="101"/>
  <c r="D295" i="101"/>
  <c r="E295" i="101"/>
  <c r="F295" i="101"/>
  <c r="H295" i="101"/>
  <c r="D296" i="101"/>
  <c r="E296" i="101"/>
  <c r="F296" i="101"/>
  <c r="H296" i="101"/>
  <c r="D297" i="101"/>
  <c r="E297" i="101"/>
  <c r="F297" i="101"/>
  <c r="H297" i="101"/>
  <c r="D298" i="101"/>
  <c r="E298" i="101"/>
  <c r="F298" i="101"/>
  <c r="H298" i="101"/>
  <c r="D299" i="101"/>
  <c r="E299" i="101"/>
  <c r="F299" i="101"/>
  <c r="H299" i="101"/>
  <c r="D300" i="101"/>
  <c r="E300" i="101"/>
  <c r="F300" i="101"/>
  <c r="H300" i="101"/>
  <c r="D301" i="101"/>
  <c r="E301" i="101"/>
  <c r="F301" i="101"/>
  <c r="H301" i="101"/>
  <c r="D302" i="101"/>
  <c r="E302" i="101"/>
  <c r="F302" i="101"/>
  <c r="H302" i="101"/>
  <c r="D303" i="101"/>
  <c r="E303" i="101"/>
  <c r="F303" i="101"/>
  <c r="H303" i="101"/>
  <c r="D304" i="101"/>
  <c r="E304" i="101"/>
  <c r="F304" i="101"/>
  <c r="H304" i="101"/>
  <c r="D305" i="101"/>
  <c r="E305" i="101"/>
  <c r="F305" i="101"/>
  <c r="H305" i="101"/>
  <c r="D306" i="101"/>
  <c r="E306" i="101"/>
  <c r="F306" i="101"/>
  <c r="H306" i="101"/>
  <c r="D307" i="101"/>
  <c r="E307" i="101"/>
  <c r="F307" i="101"/>
  <c r="H307" i="101"/>
  <c r="D308" i="101"/>
  <c r="E308" i="101"/>
  <c r="F308" i="101"/>
  <c r="H308" i="101"/>
  <c r="D309" i="101"/>
  <c r="E309" i="101"/>
  <c r="F309" i="101"/>
  <c r="H309" i="101"/>
  <c r="D310" i="101"/>
  <c r="E310" i="101"/>
  <c r="F310" i="101"/>
  <c r="H310" i="101"/>
  <c r="D311" i="101"/>
  <c r="E311" i="101"/>
  <c r="F311" i="101"/>
  <c r="H311" i="101"/>
  <c r="D312" i="101"/>
  <c r="E312" i="101"/>
  <c r="F312" i="101"/>
  <c r="H312" i="101"/>
  <c r="D313" i="101"/>
  <c r="E313" i="101"/>
  <c r="F313" i="101"/>
  <c r="H313" i="101"/>
  <c r="D314" i="101"/>
  <c r="E314" i="101"/>
  <c r="F314" i="101"/>
  <c r="H314" i="101"/>
  <c r="D315" i="101"/>
  <c r="E315" i="101"/>
  <c r="F315" i="101"/>
  <c r="H315" i="101"/>
  <c r="D316" i="101"/>
  <c r="E316" i="101"/>
  <c r="F316" i="101"/>
  <c r="H316" i="101"/>
  <c r="D317" i="101"/>
  <c r="E317" i="101"/>
  <c r="F317" i="101"/>
  <c r="H317" i="101"/>
  <c r="D318" i="101"/>
  <c r="E318" i="101"/>
  <c r="F318" i="101"/>
  <c r="H318" i="101"/>
  <c r="D319" i="101"/>
  <c r="E319" i="101"/>
  <c r="F319" i="101"/>
  <c r="H319" i="101"/>
  <c r="D320" i="101"/>
  <c r="E320" i="101"/>
  <c r="F320" i="101"/>
  <c r="H320" i="101"/>
  <c r="D321" i="101"/>
  <c r="E321" i="101"/>
  <c r="F321" i="101"/>
  <c r="H321" i="101"/>
  <c r="D322" i="101"/>
  <c r="E322" i="101"/>
  <c r="F322" i="101"/>
  <c r="H322" i="101"/>
  <c r="D323" i="101"/>
  <c r="E323" i="101"/>
  <c r="F323" i="101"/>
  <c r="H323" i="101"/>
  <c r="D324" i="101"/>
  <c r="E324" i="101"/>
  <c r="F324" i="101"/>
  <c r="H324" i="101"/>
  <c r="D325" i="101"/>
  <c r="E325" i="101"/>
  <c r="F325" i="101"/>
  <c r="H325" i="101"/>
  <c r="D326" i="101"/>
  <c r="E326" i="101"/>
  <c r="F326" i="101"/>
  <c r="H326" i="101"/>
  <c r="D327" i="101"/>
  <c r="E327" i="101"/>
  <c r="F327" i="101"/>
  <c r="H327" i="101"/>
  <c r="D328" i="101"/>
  <c r="E328" i="101"/>
  <c r="F328" i="101"/>
  <c r="H328" i="101"/>
  <c r="D329" i="101"/>
  <c r="E329" i="101"/>
  <c r="F329" i="101"/>
  <c r="H329" i="101"/>
  <c r="D330" i="101"/>
  <c r="E330" i="101"/>
  <c r="F330" i="101"/>
  <c r="H330" i="101"/>
  <c r="D331" i="101"/>
  <c r="E331" i="101"/>
  <c r="F331" i="101"/>
  <c r="H331" i="101"/>
  <c r="D332" i="101"/>
  <c r="E332" i="101"/>
  <c r="F332" i="101"/>
  <c r="H332" i="101"/>
  <c r="D333" i="101"/>
  <c r="E333" i="101"/>
  <c r="F333" i="101"/>
  <c r="H333" i="101"/>
  <c r="D334" i="101"/>
  <c r="E334" i="101"/>
  <c r="F334" i="101"/>
  <c r="H334" i="101"/>
  <c r="D335" i="101"/>
  <c r="E335" i="101"/>
  <c r="F335" i="101"/>
  <c r="H335" i="101"/>
  <c r="D336" i="101"/>
  <c r="E336" i="101"/>
  <c r="F336" i="101"/>
  <c r="H336" i="101"/>
  <c r="D337" i="101"/>
  <c r="E337" i="101"/>
  <c r="F337" i="101"/>
  <c r="H337" i="101"/>
  <c r="D338" i="101"/>
  <c r="E338" i="101"/>
  <c r="F338" i="101"/>
  <c r="H338" i="101"/>
  <c r="D339" i="101"/>
  <c r="E339" i="101"/>
  <c r="F339" i="101"/>
  <c r="H339" i="101"/>
  <c r="D340" i="101"/>
  <c r="E340" i="101"/>
  <c r="F340" i="101"/>
  <c r="H340" i="101"/>
  <c r="D341" i="101"/>
  <c r="E341" i="101"/>
  <c r="F341" i="101"/>
  <c r="H341" i="101"/>
  <c r="D342" i="101"/>
  <c r="E342" i="101"/>
  <c r="F342" i="101"/>
  <c r="H342" i="101"/>
  <c r="D343" i="101"/>
  <c r="E343" i="101"/>
  <c r="F343" i="101"/>
  <c r="H343" i="101"/>
  <c r="D344" i="101"/>
  <c r="E344" i="101"/>
  <c r="F344" i="101"/>
  <c r="H344" i="101"/>
  <c r="D345" i="101"/>
  <c r="E345" i="101"/>
  <c r="F345" i="101"/>
  <c r="H345" i="101"/>
  <c r="D346" i="101"/>
  <c r="E346" i="101"/>
  <c r="F346" i="101"/>
  <c r="H346" i="101"/>
  <c r="D347" i="101"/>
  <c r="E347" i="101"/>
  <c r="F347" i="101"/>
  <c r="H347" i="101"/>
  <c r="D348" i="101"/>
  <c r="E348" i="101"/>
  <c r="F348" i="101"/>
  <c r="H348" i="101"/>
  <c r="D349" i="101"/>
  <c r="E349" i="101"/>
  <c r="F349" i="101"/>
  <c r="H349" i="101"/>
  <c r="D350" i="101"/>
  <c r="E350" i="101"/>
  <c r="F350" i="101"/>
  <c r="H350" i="101"/>
  <c r="D351" i="101"/>
  <c r="E351" i="101"/>
  <c r="F351" i="101"/>
  <c r="H351" i="101"/>
  <c r="D352" i="101"/>
  <c r="E352" i="101"/>
  <c r="F352" i="101"/>
  <c r="H352" i="101"/>
  <c r="D353" i="101"/>
  <c r="E353" i="101"/>
  <c r="F353" i="101"/>
  <c r="H353" i="101"/>
  <c r="D354" i="101"/>
  <c r="E354" i="101"/>
  <c r="F354" i="101"/>
  <c r="H354" i="101"/>
  <c r="D355" i="101"/>
  <c r="E355" i="101"/>
  <c r="F355" i="101"/>
  <c r="H355" i="101"/>
  <c r="D356" i="101"/>
  <c r="E356" i="101"/>
  <c r="F356" i="101"/>
  <c r="H356" i="101"/>
  <c r="D357" i="101"/>
  <c r="E357" i="101"/>
  <c r="F357" i="101"/>
  <c r="H357" i="101"/>
  <c r="D358" i="101"/>
  <c r="E358" i="101"/>
  <c r="F358" i="101"/>
  <c r="H358" i="101"/>
  <c r="D359" i="101"/>
  <c r="E359" i="101"/>
  <c r="F359" i="101"/>
  <c r="H359" i="101"/>
  <c r="D360" i="101"/>
  <c r="E360" i="101"/>
  <c r="F360" i="101"/>
  <c r="H360" i="101"/>
  <c r="D361" i="101"/>
  <c r="E361" i="101"/>
  <c r="F361" i="101"/>
  <c r="H361" i="101"/>
  <c r="D362" i="101"/>
  <c r="E362" i="101"/>
  <c r="F362" i="101"/>
  <c r="H362" i="101"/>
  <c r="D363" i="101"/>
  <c r="E363" i="101"/>
  <c r="F363" i="101"/>
  <c r="H363" i="101"/>
  <c r="D364" i="101"/>
  <c r="E364" i="101"/>
  <c r="F364" i="101"/>
  <c r="H364" i="101"/>
  <c r="D365" i="101"/>
  <c r="E365" i="101"/>
  <c r="F365" i="101"/>
  <c r="H365" i="101"/>
  <c r="D366" i="101"/>
  <c r="E366" i="101"/>
  <c r="F366" i="101"/>
  <c r="H366" i="101"/>
  <c r="D367" i="101"/>
  <c r="E367" i="101"/>
  <c r="F367" i="101"/>
  <c r="H367" i="101"/>
  <c r="D368" i="101"/>
  <c r="E368" i="101"/>
  <c r="F368" i="101"/>
  <c r="H368" i="101"/>
  <c r="D369" i="101"/>
  <c r="E369" i="101"/>
  <c r="F369" i="101"/>
  <c r="H369" i="101"/>
  <c r="D370" i="101"/>
  <c r="E370" i="101"/>
  <c r="F370" i="101"/>
  <c r="H370" i="101"/>
  <c r="D371" i="101"/>
  <c r="E371" i="101"/>
  <c r="F371" i="101"/>
  <c r="H371" i="101"/>
  <c r="D372" i="101"/>
  <c r="E372" i="101"/>
  <c r="F372" i="101"/>
  <c r="H372" i="101"/>
  <c r="D373" i="101"/>
  <c r="E373" i="101"/>
  <c r="F373" i="101"/>
  <c r="H373" i="101"/>
  <c r="D374" i="101"/>
  <c r="E374" i="101"/>
  <c r="F374" i="101"/>
  <c r="H374" i="101"/>
  <c r="D375" i="101"/>
  <c r="E375" i="101"/>
  <c r="F375" i="101"/>
  <c r="H375" i="101"/>
  <c r="D376" i="101"/>
  <c r="E376" i="101"/>
  <c r="F376" i="101"/>
  <c r="H376" i="101"/>
  <c r="D377" i="101"/>
  <c r="E377" i="101"/>
  <c r="F377" i="101"/>
  <c r="H377" i="101"/>
  <c r="D378" i="101"/>
  <c r="E378" i="101"/>
  <c r="F378" i="101"/>
  <c r="H378" i="101"/>
  <c r="D379" i="101"/>
  <c r="E379" i="101"/>
  <c r="F379" i="101"/>
  <c r="H379" i="101"/>
  <c r="D380" i="101"/>
  <c r="E380" i="101"/>
  <c r="F380" i="101"/>
  <c r="H380" i="101"/>
  <c r="D381" i="101"/>
  <c r="E381" i="101"/>
  <c r="F381" i="101"/>
  <c r="H381" i="101"/>
  <c r="D382" i="101"/>
  <c r="E382" i="101"/>
  <c r="F382" i="101"/>
  <c r="H382" i="101"/>
  <c r="D383" i="101"/>
  <c r="E383" i="101"/>
  <c r="F383" i="101"/>
  <c r="H383" i="101"/>
  <c r="D384" i="101"/>
  <c r="E384" i="101"/>
  <c r="F384" i="101"/>
  <c r="H384" i="101"/>
  <c r="D385" i="101"/>
  <c r="E385" i="101"/>
  <c r="F385" i="101"/>
  <c r="H385" i="101"/>
  <c r="D386" i="101"/>
  <c r="E386" i="101"/>
  <c r="F386" i="101"/>
  <c r="H386" i="101"/>
  <c r="D387" i="101"/>
  <c r="E387" i="101"/>
  <c r="F387" i="101"/>
  <c r="H387" i="101"/>
  <c r="D252" i="101"/>
  <c r="E252" i="101"/>
  <c r="F252" i="101"/>
  <c r="H252" i="101"/>
  <c r="AA3" i="101"/>
  <c r="AA2" i="101"/>
  <c r="H44" i="101"/>
  <c r="G44" i="101"/>
  <c r="E44" i="101"/>
  <c r="D44" i="101"/>
  <c r="B33" i="101"/>
  <c r="B10" i="101"/>
  <c r="C21" i="101"/>
  <c r="D21" i="101"/>
  <c r="E21" i="101"/>
  <c r="F21" i="101"/>
  <c r="B23" i="101"/>
  <c r="E10" i="101"/>
  <c r="I17" i="101"/>
  <c r="D15" i="101"/>
  <c r="E15" i="101"/>
  <c r="D16" i="101"/>
  <c r="E16" i="101"/>
  <c r="D17" i="101"/>
  <c r="E17" i="101"/>
  <c r="D14" i="101"/>
  <c r="E14" i="101"/>
  <c r="G13" i="101"/>
  <c r="F13" i="101"/>
  <c r="H9" i="101"/>
  <c r="K27" i="99"/>
  <c r="M27" i="99"/>
  <c r="L27" i="99"/>
  <c r="N27" i="99"/>
  <c r="D23" i="99"/>
  <c r="D10" i="99"/>
  <c r="M26" i="99"/>
  <c r="N26" i="99"/>
  <c r="O26" i="99"/>
  <c r="H10" i="99"/>
  <c r="L26" i="99"/>
  <c r="K26" i="99"/>
  <c r="B10" i="99"/>
  <c r="C22" i="99"/>
  <c r="D22" i="99"/>
  <c r="E22" i="99"/>
  <c r="F22" i="99"/>
  <c r="B24" i="99"/>
  <c r="E10" i="99"/>
  <c r="D15" i="99"/>
  <c r="E15" i="99"/>
  <c r="D16" i="99"/>
  <c r="E16" i="99"/>
  <c r="D17" i="99"/>
  <c r="E17" i="99"/>
  <c r="D18" i="99"/>
  <c r="E18" i="99"/>
  <c r="D14" i="99"/>
  <c r="E14" i="99"/>
  <c r="G13" i="99"/>
  <c r="F13" i="99"/>
  <c r="G15" i="99"/>
  <c r="H9" i="99"/>
  <c r="B10" i="97"/>
  <c r="D26" i="97"/>
  <c r="D10" i="97"/>
  <c r="C10" i="97"/>
  <c r="C25" i="97"/>
  <c r="D25" i="97"/>
  <c r="B27" i="97"/>
  <c r="E10" i="97"/>
  <c r="D15" i="97"/>
  <c r="E15" i="97"/>
  <c r="D16" i="97"/>
  <c r="E16" i="97"/>
  <c r="D17" i="97"/>
  <c r="E17" i="97"/>
  <c r="D18" i="97"/>
  <c r="E18" i="97"/>
  <c r="D19" i="97"/>
  <c r="E19" i="97"/>
  <c r="D20" i="97"/>
  <c r="E20" i="97"/>
  <c r="D21" i="97"/>
  <c r="E21" i="97"/>
  <c r="D14" i="97"/>
  <c r="E14" i="97"/>
  <c r="G13" i="97"/>
  <c r="F13" i="97"/>
  <c r="H10" i="97"/>
  <c r="H9" i="97"/>
  <c r="D325" i="82"/>
  <c r="E325" i="82"/>
  <c r="F325" i="82"/>
  <c r="H325" i="82"/>
  <c r="D326" i="82"/>
  <c r="E326" i="82"/>
  <c r="F326" i="82"/>
  <c r="H326" i="82"/>
  <c r="D327" i="82"/>
  <c r="E327" i="82"/>
  <c r="F327" i="82"/>
  <c r="H327" i="82"/>
  <c r="D328" i="82"/>
  <c r="E328" i="82"/>
  <c r="F328" i="82"/>
  <c r="H328" i="82"/>
  <c r="D329" i="82"/>
  <c r="E329" i="82"/>
  <c r="F329" i="82"/>
  <c r="H329" i="82"/>
  <c r="D330" i="82"/>
  <c r="E330" i="82"/>
  <c r="F330" i="82"/>
  <c r="H330" i="82"/>
  <c r="D331" i="82"/>
  <c r="E331" i="82"/>
  <c r="F331" i="82"/>
  <c r="H331" i="82"/>
  <c r="D332" i="82"/>
  <c r="E332" i="82"/>
  <c r="F332" i="82"/>
  <c r="H332" i="82"/>
  <c r="D333" i="82"/>
  <c r="E333" i="82"/>
  <c r="F333" i="82"/>
  <c r="H333" i="82"/>
  <c r="D334" i="82"/>
  <c r="E334" i="82"/>
  <c r="F334" i="82"/>
  <c r="H334" i="82"/>
  <c r="D335" i="82"/>
  <c r="E335" i="82"/>
  <c r="F335" i="82"/>
  <c r="H335" i="82"/>
  <c r="D336" i="82"/>
  <c r="E336" i="82"/>
  <c r="F336" i="82"/>
  <c r="H336" i="82"/>
  <c r="D337" i="82"/>
  <c r="E337" i="82"/>
  <c r="F337" i="82"/>
  <c r="H337" i="82"/>
  <c r="D338" i="82"/>
  <c r="E338" i="82"/>
  <c r="F338" i="82"/>
  <c r="H338" i="82"/>
  <c r="D339" i="82"/>
  <c r="E339" i="82"/>
  <c r="F339" i="82"/>
  <c r="H339" i="82"/>
  <c r="D340" i="82"/>
  <c r="E340" i="82"/>
  <c r="F340" i="82"/>
  <c r="H340" i="82"/>
  <c r="D341" i="82"/>
  <c r="E341" i="82"/>
  <c r="F341" i="82"/>
  <c r="H341" i="82"/>
  <c r="D342" i="82"/>
  <c r="E342" i="82"/>
  <c r="F342" i="82"/>
  <c r="H342" i="82"/>
  <c r="D343" i="82"/>
  <c r="E343" i="82"/>
  <c r="F343" i="82"/>
  <c r="H343" i="82"/>
  <c r="D344" i="82"/>
  <c r="E344" i="82"/>
  <c r="F344" i="82"/>
  <c r="H344" i="82"/>
  <c r="D345" i="82"/>
  <c r="E345" i="82"/>
  <c r="F345" i="82"/>
  <c r="H345" i="82"/>
  <c r="D346" i="82"/>
  <c r="E346" i="82"/>
  <c r="F346" i="82"/>
  <c r="H346" i="82"/>
  <c r="D347" i="82"/>
  <c r="E347" i="82"/>
  <c r="F347" i="82"/>
  <c r="H347" i="82"/>
  <c r="D348" i="82"/>
  <c r="E348" i="82"/>
  <c r="F348" i="82"/>
  <c r="H348" i="82"/>
  <c r="D349" i="82"/>
  <c r="E349" i="82"/>
  <c r="F349" i="82"/>
  <c r="H349" i="82"/>
  <c r="D350" i="82"/>
  <c r="E350" i="82"/>
  <c r="F350" i="82"/>
  <c r="H350" i="82"/>
  <c r="D351" i="82"/>
  <c r="E351" i="82"/>
  <c r="F351" i="82"/>
  <c r="H351" i="82"/>
  <c r="D352" i="82"/>
  <c r="E352" i="82"/>
  <c r="F352" i="82"/>
  <c r="H352" i="82"/>
  <c r="D353" i="82"/>
  <c r="E353" i="82"/>
  <c r="F353" i="82"/>
  <c r="H353" i="82"/>
  <c r="D354" i="82"/>
  <c r="E354" i="82"/>
  <c r="F354" i="82"/>
  <c r="H354" i="82"/>
  <c r="D355" i="82"/>
  <c r="E355" i="82"/>
  <c r="F355" i="82"/>
  <c r="H355" i="82"/>
  <c r="D356" i="82"/>
  <c r="E356" i="82"/>
  <c r="F356" i="82"/>
  <c r="H356" i="82"/>
  <c r="D357" i="82"/>
  <c r="E357" i="82"/>
  <c r="F357" i="82"/>
  <c r="H357" i="82"/>
  <c r="D358" i="82"/>
  <c r="E358" i="82"/>
  <c r="F358" i="82"/>
  <c r="H358" i="82"/>
  <c r="D359" i="82"/>
  <c r="E359" i="82"/>
  <c r="F359" i="82"/>
  <c r="H359" i="82"/>
  <c r="D360" i="82"/>
  <c r="E360" i="82"/>
  <c r="F360" i="82"/>
  <c r="H360" i="82"/>
  <c r="D361" i="82"/>
  <c r="E361" i="82"/>
  <c r="F361" i="82"/>
  <c r="H361" i="82"/>
  <c r="D362" i="82"/>
  <c r="E362" i="82"/>
  <c r="F362" i="82"/>
  <c r="H362" i="82"/>
  <c r="D363" i="82"/>
  <c r="E363" i="82"/>
  <c r="F363" i="82"/>
  <c r="H363" i="82"/>
  <c r="D364" i="82"/>
  <c r="E364" i="82"/>
  <c r="F364" i="82"/>
  <c r="H364" i="82"/>
  <c r="D365" i="82"/>
  <c r="E365" i="82"/>
  <c r="F365" i="82"/>
  <c r="H365" i="82"/>
  <c r="D366" i="82"/>
  <c r="E366" i="82"/>
  <c r="F366" i="82"/>
  <c r="H366" i="82"/>
  <c r="D367" i="82"/>
  <c r="E367" i="82"/>
  <c r="F367" i="82"/>
  <c r="H367" i="82"/>
  <c r="D368" i="82"/>
  <c r="E368" i="82"/>
  <c r="F368" i="82"/>
  <c r="H368" i="82"/>
  <c r="D369" i="82"/>
  <c r="E369" i="82"/>
  <c r="F369" i="82"/>
  <c r="H369" i="82"/>
  <c r="D370" i="82"/>
  <c r="E370" i="82"/>
  <c r="F370" i="82"/>
  <c r="H370" i="82"/>
  <c r="D371" i="82"/>
  <c r="E371" i="82"/>
  <c r="F371" i="82"/>
  <c r="H371" i="82"/>
  <c r="D372" i="82"/>
  <c r="E372" i="82"/>
  <c r="F372" i="82"/>
  <c r="H372" i="82"/>
  <c r="D373" i="82"/>
  <c r="E373" i="82"/>
  <c r="F373" i="82"/>
  <c r="H373" i="82"/>
  <c r="D374" i="82"/>
  <c r="E374" i="82"/>
  <c r="F374" i="82"/>
  <c r="H374" i="82"/>
  <c r="D375" i="82"/>
  <c r="E375" i="82"/>
  <c r="F375" i="82"/>
  <c r="H375" i="82"/>
  <c r="D376" i="82"/>
  <c r="E376" i="82"/>
  <c r="F376" i="82"/>
  <c r="H376" i="82"/>
  <c r="D377" i="82"/>
  <c r="E377" i="82"/>
  <c r="F377" i="82"/>
  <c r="H377" i="82"/>
  <c r="D378" i="82"/>
  <c r="E378" i="82"/>
  <c r="F378" i="82"/>
  <c r="H378" i="82"/>
  <c r="D379" i="82"/>
  <c r="E379" i="82"/>
  <c r="F379" i="82"/>
  <c r="H379" i="82"/>
  <c r="D380" i="82"/>
  <c r="E380" i="82"/>
  <c r="F380" i="82"/>
  <c r="H380" i="82"/>
  <c r="D381" i="82"/>
  <c r="E381" i="82"/>
  <c r="F381" i="82"/>
  <c r="H381" i="82"/>
  <c r="D382" i="82"/>
  <c r="E382" i="82"/>
  <c r="F382" i="82"/>
  <c r="H382" i="82"/>
  <c r="D383" i="82"/>
  <c r="E383" i="82"/>
  <c r="F383" i="82"/>
  <c r="H383" i="82"/>
  <c r="D384" i="82"/>
  <c r="E384" i="82"/>
  <c r="F384" i="82"/>
  <c r="H384" i="82"/>
  <c r="D385" i="82"/>
  <c r="E385" i="82"/>
  <c r="F385" i="82"/>
  <c r="H385" i="82"/>
  <c r="D386" i="82"/>
  <c r="E386" i="82"/>
  <c r="F386" i="82"/>
  <c r="H386" i="82"/>
  <c r="D387" i="82"/>
  <c r="E387" i="82"/>
  <c r="F387" i="82"/>
  <c r="H387" i="82"/>
  <c r="D388" i="82"/>
  <c r="E388" i="82"/>
  <c r="F388" i="82"/>
  <c r="H388" i="82"/>
  <c r="D389" i="82"/>
  <c r="E389" i="82"/>
  <c r="F389" i="82"/>
  <c r="H389" i="82"/>
  <c r="D390" i="82"/>
  <c r="E390" i="82"/>
  <c r="F390" i="82"/>
  <c r="H390" i="82"/>
  <c r="D391" i="82"/>
  <c r="E391" i="82"/>
  <c r="F391" i="82"/>
  <c r="H391" i="82"/>
  <c r="D392" i="82"/>
  <c r="E392" i="82"/>
  <c r="F392" i="82"/>
  <c r="H392" i="82"/>
  <c r="D393" i="82"/>
  <c r="E393" i="82"/>
  <c r="F393" i="82"/>
  <c r="H393" i="82"/>
  <c r="D394" i="82"/>
  <c r="E394" i="82"/>
  <c r="F394" i="82"/>
  <c r="H394" i="82"/>
  <c r="D395" i="82"/>
  <c r="E395" i="82"/>
  <c r="F395" i="82"/>
  <c r="H395" i="82"/>
  <c r="D396" i="82"/>
  <c r="E396" i="82"/>
  <c r="F396" i="82"/>
  <c r="H396" i="82"/>
  <c r="D397" i="82"/>
  <c r="E397" i="82"/>
  <c r="F397" i="82"/>
  <c r="H397" i="82"/>
  <c r="D398" i="82"/>
  <c r="E398" i="82"/>
  <c r="F398" i="82"/>
  <c r="H398" i="82"/>
  <c r="D399" i="82"/>
  <c r="E399" i="82"/>
  <c r="F399" i="82"/>
  <c r="H399" i="82"/>
  <c r="D400" i="82"/>
  <c r="E400" i="82"/>
  <c r="F400" i="82"/>
  <c r="H400" i="82"/>
  <c r="D401" i="82"/>
  <c r="E401" i="82"/>
  <c r="F401" i="82"/>
  <c r="H401" i="82"/>
  <c r="D402" i="82"/>
  <c r="E402" i="82"/>
  <c r="F402" i="82"/>
  <c r="H402" i="82"/>
  <c r="D403" i="82"/>
  <c r="E403" i="82"/>
  <c r="F403" i="82"/>
  <c r="H403" i="82"/>
  <c r="D404" i="82"/>
  <c r="E404" i="82"/>
  <c r="F404" i="82"/>
  <c r="H404" i="82"/>
  <c r="D405" i="82"/>
  <c r="E405" i="82"/>
  <c r="F405" i="82"/>
  <c r="H405" i="82"/>
  <c r="D406" i="82"/>
  <c r="E406" i="82"/>
  <c r="F406" i="82"/>
  <c r="H406" i="82"/>
  <c r="D407" i="82"/>
  <c r="E407" i="82"/>
  <c r="F407" i="82"/>
  <c r="H407" i="82"/>
  <c r="D408" i="82"/>
  <c r="E408" i="82"/>
  <c r="F408" i="82"/>
  <c r="H408" i="82"/>
  <c r="D409" i="82"/>
  <c r="E409" i="82"/>
  <c r="F409" i="82"/>
  <c r="H409" i="82"/>
  <c r="D410" i="82"/>
  <c r="E410" i="82"/>
  <c r="F410" i="82"/>
  <c r="H410" i="82"/>
  <c r="D411" i="82"/>
  <c r="E411" i="82"/>
  <c r="F411" i="82"/>
  <c r="H411" i="82"/>
  <c r="D412" i="82"/>
  <c r="E412" i="82"/>
  <c r="F412" i="82"/>
  <c r="H412" i="82"/>
  <c r="D413" i="82"/>
  <c r="E413" i="82"/>
  <c r="F413" i="82"/>
  <c r="H413" i="82"/>
  <c r="D414" i="82"/>
  <c r="E414" i="82"/>
  <c r="F414" i="82"/>
  <c r="H414" i="82"/>
  <c r="D415" i="82"/>
  <c r="E415" i="82"/>
  <c r="F415" i="82"/>
  <c r="H415" i="82"/>
  <c r="D416" i="82"/>
  <c r="E416" i="82"/>
  <c r="F416" i="82"/>
  <c r="H416" i="82"/>
  <c r="D417" i="82"/>
  <c r="E417" i="82"/>
  <c r="F417" i="82"/>
  <c r="H417" i="82"/>
  <c r="D418" i="82"/>
  <c r="E418" i="82"/>
  <c r="F418" i="82"/>
  <c r="H418" i="82"/>
  <c r="D419" i="82"/>
  <c r="E419" i="82"/>
  <c r="F419" i="82"/>
  <c r="H419" i="82"/>
  <c r="D420" i="82"/>
  <c r="E420" i="82"/>
  <c r="F420" i="82"/>
  <c r="H420" i="82"/>
  <c r="D421" i="82"/>
  <c r="E421" i="82"/>
  <c r="F421" i="82"/>
  <c r="H421" i="82"/>
  <c r="D422" i="82"/>
  <c r="E422" i="82"/>
  <c r="F422" i="82"/>
  <c r="H422" i="82"/>
  <c r="D423" i="82"/>
  <c r="E423" i="82"/>
  <c r="F423" i="82"/>
  <c r="H423" i="82"/>
  <c r="D424" i="82"/>
  <c r="E424" i="82"/>
  <c r="F424" i="82"/>
  <c r="H424" i="82"/>
  <c r="D425" i="82"/>
  <c r="E425" i="82"/>
  <c r="F425" i="82"/>
  <c r="H425" i="82"/>
  <c r="D426" i="82"/>
  <c r="E426" i="82"/>
  <c r="F426" i="82"/>
  <c r="H426" i="82"/>
  <c r="D427" i="82"/>
  <c r="E427" i="82"/>
  <c r="F427" i="82"/>
  <c r="H427" i="82"/>
  <c r="D428" i="82"/>
  <c r="E428" i="82"/>
  <c r="F428" i="82"/>
  <c r="H428" i="82"/>
  <c r="D429" i="82"/>
  <c r="E429" i="82"/>
  <c r="F429" i="82"/>
  <c r="H429" i="82"/>
  <c r="D430" i="82"/>
  <c r="E430" i="82"/>
  <c r="F430" i="82"/>
  <c r="H430" i="82"/>
  <c r="D431" i="82"/>
  <c r="E431" i="82"/>
  <c r="F431" i="82"/>
  <c r="H431" i="82"/>
  <c r="D432" i="82"/>
  <c r="E432" i="82"/>
  <c r="F432" i="82"/>
  <c r="H432" i="82"/>
  <c r="D433" i="82"/>
  <c r="E433" i="82"/>
  <c r="F433" i="82"/>
  <c r="H433" i="82"/>
  <c r="D434" i="82"/>
  <c r="E434" i="82"/>
  <c r="F434" i="82"/>
  <c r="H434" i="82"/>
  <c r="D435" i="82"/>
  <c r="E435" i="82"/>
  <c r="F435" i="82"/>
  <c r="H435" i="82"/>
  <c r="D436" i="82"/>
  <c r="E436" i="82"/>
  <c r="F436" i="82"/>
  <c r="H436" i="82"/>
  <c r="D437" i="82"/>
  <c r="E437" i="82"/>
  <c r="F437" i="82"/>
  <c r="H437" i="82"/>
  <c r="D438" i="82"/>
  <c r="E438" i="82"/>
  <c r="F438" i="82"/>
  <c r="H438" i="82"/>
  <c r="D439" i="82"/>
  <c r="E439" i="82"/>
  <c r="F439" i="82"/>
  <c r="H439" i="82"/>
  <c r="D440" i="82"/>
  <c r="E440" i="82"/>
  <c r="F440" i="82"/>
  <c r="H440" i="82"/>
  <c r="D441" i="82"/>
  <c r="E441" i="82"/>
  <c r="F441" i="82"/>
  <c r="H441" i="82"/>
  <c r="D442" i="82"/>
  <c r="E442" i="82"/>
  <c r="F442" i="82"/>
  <c r="H442" i="82"/>
  <c r="D443" i="82"/>
  <c r="E443" i="82"/>
  <c r="F443" i="82"/>
  <c r="H443" i="82"/>
  <c r="D444" i="82"/>
  <c r="E444" i="82"/>
  <c r="F444" i="82"/>
  <c r="H444" i="82"/>
  <c r="D445" i="82"/>
  <c r="E445" i="82"/>
  <c r="F445" i="82"/>
  <c r="H445" i="82"/>
  <c r="D446" i="82"/>
  <c r="E446" i="82"/>
  <c r="F446" i="82"/>
  <c r="H446" i="82"/>
  <c r="D447" i="82"/>
  <c r="E447" i="82"/>
  <c r="F447" i="82"/>
  <c r="H447" i="82"/>
  <c r="D448" i="82"/>
  <c r="E448" i="82"/>
  <c r="F448" i="82"/>
  <c r="H448" i="82"/>
  <c r="D449" i="82"/>
  <c r="E449" i="82"/>
  <c r="F449" i="82"/>
  <c r="H449" i="82"/>
  <c r="D450" i="82"/>
  <c r="E450" i="82"/>
  <c r="F450" i="82"/>
  <c r="H450" i="82"/>
  <c r="D451" i="82"/>
  <c r="E451" i="82"/>
  <c r="F451" i="82"/>
  <c r="H451" i="82"/>
  <c r="D452" i="82"/>
  <c r="E452" i="82"/>
  <c r="F452" i="82"/>
  <c r="H452" i="82"/>
  <c r="D453" i="82"/>
  <c r="E453" i="82"/>
  <c r="F453" i="82"/>
  <c r="H453" i="82"/>
  <c r="D454" i="82"/>
  <c r="E454" i="82"/>
  <c r="F454" i="82"/>
  <c r="H454" i="82"/>
  <c r="D455" i="82"/>
  <c r="E455" i="82"/>
  <c r="F455" i="82"/>
  <c r="H455" i="82"/>
  <c r="D456" i="82"/>
  <c r="E456" i="82"/>
  <c r="F456" i="82"/>
  <c r="H456" i="82"/>
  <c r="D457" i="82"/>
  <c r="E457" i="82"/>
  <c r="F457" i="82"/>
  <c r="H457" i="82"/>
  <c r="D458" i="82"/>
  <c r="E458" i="82"/>
  <c r="F458" i="82"/>
  <c r="H458" i="82"/>
  <c r="D459" i="82"/>
  <c r="E459" i="82"/>
  <c r="F459" i="82"/>
  <c r="H459" i="82"/>
  <c r="D324" i="82"/>
  <c r="E324" i="82"/>
  <c r="F324" i="82"/>
  <c r="H324" i="82"/>
  <c r="AA3" i="82"/>
  <c r="AA2" i="82"/>
  <c r="H50" i="82"/>
  <c r="G50" i="82"/>
  <c r="E50" i="82"/>
  <c r="D50" i="82"/>
  <c r="B36" i="82"/>
  <c r="B10" i="82"/>
  <c r="D25" i="82"/>
  <c r="D10" i="82"/>
  <c r="C10" i="82"/>
  <c r="C24" i="82"/>
  <c r="D24" i="82"/>
  <c r="E24" i="82"/>
  <c r="F24" i="82"/>
  <c r="B26" i="82"/>
  <c r="E10" i="82"/>
  <c r="D15" i="82"/>
  <c r="E15" i="82"/>
  <c r="D16" i="82"/>
  <c r="E16" i="82"/>
  <c r="D17" i="82"/>
  <c r="E17" i="82"/>
  <c r="D18" i="82"/>
  <c r="E18" i="82"/>
  <c r="D19" i="82"/>
  <c r="E19" i="82"/>
  <c r="D20" i="82"/>
  <c r="E20" i="82"/>
  <c r="D14" i="82"/>
  <c r="E14" i="82"/>
  <c r="G13" i="82"/>
  <c r="F13" i="82"/>
  <c r="H10" i="82"/>
  <c r="G15" i="82"/>
  <c r="H9" i="82"/>
  <c r="F17" i="101"/>
  <c r="I15" i="101"/>
  <c r="I16" i="101"/>
  <c r="C10" i="101"/>
  <c r="I15" i="99"/>
  <c r="G16" i="99"/>
  <c r="F15" i="99"/>
  <c r="G17" i="99"/>
  <c r="F16" i="99"/>
  <c r="F14" i="99"/>
  <c r="G18" i="99"/>
  <c r="F17" i="99"/>
  <c r="G14" i="99"/>
  <c r="F18" i="99"/>
  <c r="C10" i="99"/>
  <c r="I21" i="97"/>
  <c r="G18" i="97"/>
  <c r="F18" i="97"/>
  <c r="I16" i="97"/>
  <c r="I20" i="97"/>
  <c r="I20" i="82"/>
  <c r="I17" i="82"/>
  <c r="F14" i="82"/>
  <c r="G20" i="82"/>
  <c r="F19" i="82"/>
  <c r="G16" i="82"/>
  <c r="F15" i="82"/>
  <c r="G14" i="82"/>
  <c r="F20" i="82"/>
  <c r="G17" i="82"/>
  <c r="F16" i="82"/>
  <c r="G18" i="82"/>
  <c r="F17" i="82"/>
  <c r="G19" i="82"/>
  <c r="F18" i="82"/>
  <c r="I18" i="82"/>
  <c r="I15" i="82"/>
  <c r="I19" i="82"/>
  <c r="I16" i="82"/>
  <c r="AA3" i="80"/>
  <c r="AA2" i="80"/>
  <c r="H42" i="80"/>
  <c r="G42" i="80"/>
  <c r="E42" i="80"/>
  <c r="D42" i="80"/>
  <c r="B32" i="80"/>
  <c r="B10" i="80"/>
  <c r="D21" i="80"/>
  <c r="D10" i="80"/>
  <c r="C20" i="80"/>
  <c r="D20" i="80"/>
  <c r="E20" i="80"/>
  <c r="F20" i="80"/>
  <c r="B22" i="80"/>
  <c r="E10" i="80"/>
  <c r="I16" i="80"/>
  <c r="D15" i="80"/>
  <c r="E15" i="80"/>
  <c r="D16" i="80"/>
  <c r="E16" i="80"/>
  <c r="D14" i="80"/>
  <c r="E14" i="80"/>
  <c r="G13" i="80"/>
  <c r="F13" i="80"/>
  <c r="H10" i="80"/>
  <c r="F16" i="80"/>
  <c r="H9" i="80"/>
  <c r="G15" i="80"/>
  <c r="F14" i="80"/>
  <c r="G16" i="80"/>
  <c r="F15" i="80"/>
  <c r="G14" i="80"/>
  <c r="G27" i="16"/>
  <c r="L27" i="16"/>
  <c r="I27" i="16"/>
  <c r="H27" i="16"/>
  <c r="J27" i="16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K172" i="14"/>
  <c r="K173" i="14"/>
  <c r="K174" i="14"/>
  <c r="K175" i="14"/>
  <c r="K176" i="14"/>
  <c r="K177" i="14"/>
  <c r="K178" i="14"/>
  <c r="K179" i="14"/>
  <c r="K180" i="14"/>
  <c r="K181" i="14"/>
  <c r="K182" i="14"/>
  <c r="K183" i="14"/>
  <c r="K184" i="14"/>
  <c r="K185" i="14"/>
  <c r="K186" i="14"/>
  <c r="K187" i="14"/>
  <c r="K188" i="14"/>
  <c r="K189" i="14"/>
  <c r="K190" i="14"/>
  <c r="K191" i="14"/>
  <c r="K192" i="14"/>
  <c r="K193" i="14"/>
  <c r="K194" i="14"/>
  <c r="K195" i="14"/>
  <c r="K196" i="14"/>
  <c r="K197" i="14"/>
  <c r="K198" i="14"/>
  <c r="K199" i="14"/>
  <c r="K200" i="14"/>
  <c r="K201" i="14"/>
  <c r="X172" i="14"/>
  <c r="X173" i="14"/>
  <c r="X174" i="14"/>
  <c r="X175" i="14"/>
  <c r="X176" i="14"/>
  <c r="X177" i="14"/>
  <c r="X178" i="14"/>
  <c r="X179" i="14"/>
  <c r="X180" i="14"/>
  <c r="X181" i="14"/>
  <c r="X182" i="14"/>
  <c r="X183" i="14"/>
  <c r="X184" i="14"/>
  <c r="X185" i="14"/>
  <c r="X186" i="14"/>
  <c r="X187" i="14"/>
  <c r="X188" i="14"/>
  <c r="X189" i="14"/>
  <c r="X190" i="14"/>
  <c r="X191" i="14"/>
  <c r="X192" i="14"/>
  <c r="X193" i="14"/>
  <c r="X194" i="14"/>
  <c r="X195" i="14"/>
  <c r="X196" i="14"/>
  <c r="X197" i="14"/>
  <c r="X198" i="14"/>
  <c r="X199" i="14"/>
  <c r="X200" i="14"/>
  <c r="X201" i="14"/>
  <c r="O172" i="14"/>
  <c r="Q172" i="14"/>
  <c r="S172" i="14"/>
  <c r="U172" i="14"/>
  <c r="O173" i="14"/>
  <c r="Q173" i="14"/>
  <c r="S173" i="14"/>
  <c r="U173" i="14"/>
  <c r="O174" i="14"/>
  <c r="Q174" i="14"/>
  <c r="S174" i="14"/>
  <c r="U174" i="14"/>
  <c r="O175" i="14"/>
  <c r="Q175" i="14"/>
  <c r="S175" i="14"/>
  <c r="U175" i="14"/>
  <c r="O176" i="14"/>
  <c r="Q176" i="14"/>
  <c r="S176" i="14"/>
  <c r="U176" i="14"/>
  <c r="O177" i="14"/>
  <c r="Q177" i="14"/>
  <c r="S177" i="14"/>
  <c r="U177" i="14"/>
  <c r="O178" i="14"/>
  <c r="Q178" i="14"/>
  <c r="S178" i="14"/>
  <c r="U178" i="14"/>
  <c r="O179" i="14"/>
  <c r="Q179" i="14"/>
  <c r="S179" i="14"/>
  <c r="U179" i="14"/>
  <c r="O180" i="14"/>
  <c r="Q180" i="14"/>
  <c r="S180" i="14"/>
  <c r="U180" i="14"/>
  <c r="O181" i="14"/>
  <c r="Q181" i="14"/>
  <c r="S181" i="14"/>
  <c r="U181" i="14"/>
  <c r="O182" i="14"/>
  <c r="Q182" i="14"/>
  <c r="S182" i="14"/>
  <c r="U182" i="14"/>
  <c r="O183" i="14"/>
  <c r="Q183" i="14"/>
  <c r="S183" i="14"/>
  <c r="U183" i="14"/>
  <c r="O184" i="14"/>
  <c r="Q184" i="14"/>
  <c r="S184" i="14"/>
  <c r="U184" i="14"/>
  <c r="O185" i="14"/>
  <c r="Q185" i="14"/>
  <c r="S185" i="14"/>
  <c r="U185" i="14"/>
  <c r="O186" i="14"/>
  <c r="Q186" i="14"/>
  <c r="S186" i="14"/>
  <c r="U186" i="14"/>
  <c r="O187" i="14"/>
  <c r="Q187" i="14"/>
  <c r="S187" i="14"/>
  <c r="U187" i="14"/>
  <c r="O188" i="14"/>
  <c r="Q188" i="14"/>
  <c r="S188" i="14"/>
  <c r="U188" i="14"/>
  <c r="O189" i="14"/>
  <c r="Q189" i="14"/>
  <c r="S189" i="14"/>
  <c r="U189" i="14"/>
  <c r="O190" i="14"/>
  <c r="Q190" i="14"/>
  <c r="S190" i="14"/>
  <c r="U190" i="14"/>
  <c r="O191" i="14"/>
  <c r="Q191" i="14"/>
  <c r="S191" i="14"/>
  <c r="U191" i="14"/>
  <c r="O192" i="14"/>
  <c r="Q192" i="14"/>
  <c r="S192" i="14"/>
  <c r="U192" i="14"/>
  <c r="O193" i="14"/>
  <c r="Q193" i="14"/>
  <c r="S193" i="14"/>
  <c r="U193" i="14"/>
  <c r="O194" i="14"/>
  <c r="Q194" i="14"/>
  <c r="S194" i="14"/>
  <c r="U194" i="14"/>
  <c r="O195" i="14"/>
  <c r="Q195" i="14"/>
  <c r="S195" i="14"/>
  <c r="U195" i="14"/>
  <c r="O196" i="14"/>
  <c r="Q196" i="14"/>
  <c r="S196" i="14"/>
  <c r="U196" i="14"/>
  <c r="O197" i="14"/>
  <c r="Q197" i="14"/>
  <c r="S197" i="14"/>
  <c r="U197" i="14"/>
  <c r="O198" i="14"/>
  <c r="Q198" i="14"/>
  <c r="S198" i="14"/>
  <c r="U198" i="14"/>
  <c r="O199" i="14"/>
  <c r="Q199" i="14"/>
  <c r="S199" i="14"/>
  <c r="U199" i="14"/>
  <c r="O200" i="14"/>
  <c r="Q200" i="14"/>
  <c r="S200" i="14"/>
  <c r="U200" i="14"/>
  <c r="O201" i="14"/>
  <c r="Q201" i="14"/>
  <c r="S201" i="14"/>
  <c r="U201" i="14"/>
  <c r="AC172" i="14"/>
  <c r="AC173" i="14"/>
  <c r="AC174" i="14"/>
  <c r="AC175" i="14"/>
  <c r="AC176" i="14"/>
  <c r="AC177" i="14"/>
  <c r="AC178" i="14"/>
  <c r="AC179" i="14"/>
  <c r="AC180" i="14"/>
  <c r="AC181" i="14"/>
  <c r="AC182" i="14"/>
  <c r="AC183" i="14"/>
  <c r="AC184" i="14"/>
  <c r="AC185" i="14"/>
  <c r="AC186" i="14"/>
  <c r="AC187" i="14"/>
  <c r="AC188" i="14"/>
  <c r="AC189" i="14"/>
  <c r="AC190" i="14"/>
  <c r="AC191" i="14"/>
  <c r="AC192" i="14"/>
  <c r="AC193" i="14"/>
  <c r="AC194" i="14"/>
  <c r="AC195" i="14"/>
  <c r="AC196" i="14"/>
  <c r="AC197" i="14"/>
  <c r="AC198" i="14"/>
  <c r="AC199" i="14"/>
  <c r="AC200" i="14"/>
  <c r="AC201" i="14"/>
  <c r="AC170" i="14"/>
  <c r="X170" i="14"/>
  <c r="U170" i="14"/>
  <c r="S170" i="14"/>
  <c r="Q170" i="14"/>
  <c r="O170" i="14"/>
  <c r="K170" i="14"/>
  <c r="AC169" i="14"/>
  <c r="X169" i="14"/>
  <c r="U169" i="14"/>
  <c r="S169" i="14"/>
  <c r="Q169" i="14"/>
  <c r="O169" i="14"/>
  <c r="K169" i="14"/>
  <c r="AC168" i="14"/>
  <c r="X168" i="14"/>
  <c r="U168" i="14"/>
  <c r="S168" i="14"/>
  <c r="Q168" i="14"/>
  <c r="O168" i="14"/>
  <c r="K168" i="14"/>
  <c r="AC167" i="14"/>
  <c r="X167" i="14"/>
  <c r="U167" i="14"/>
  <c r="S167" i="14"/>
  <c r="Q167" i="14"/>
  <c r="O167" i="14"/>
  <c r="K167" i="14"/>
  <c r="AC166" i="14"/>
  <c r="X166" i="14"/>
  <c r="U166" i="14"/>
  <c r="S166" i="14"/>
  <c r="Q166" i="14"/>
  <c r="O166" i="14"/>
  <c r="K166" i="14"/>
  <c r="AC165" i="14"/>
  <c r="X165" i="14"/>
  <c r="U165" i="14"/>
  <c r="S165" i="14"/>
  <c r="Q165" i="14"/>
  <c r="O165" i="14"/>
  <c r="K165" i="14"/>
  <c r="AC164" i="14"/>
  <c r="X164" i="14"/>
  <c r="U164" i="14"/>
  <c r="S164" i="14"/>
  <c r="Q164" i="14"/>
  <c r="O164" i="14"/>
  <c r="K164" i="14"/>
  <c r="AC163" i="14"/>
  <c r="X163" i="14"/>
  <c r="U163" i="14"/>
  <c r="S163" i="14"/>
  <c r="Q163" i="14"/>
  <c r="O163" i="14"/>
  <c r="K163" i="14"/>
  <c r="AC162" i="14"/>
  <c r="X162" i="14"/>
  <c r="U162" i="14"/>
  <c r="S162" i="14"/>
  <c r="Q162" i="14"/>
  <c r="O162" i="14"/>
  <c r="K162" i="14"/>
  <c r="AC161" i="14"/>
  <c r="X161" i="14"/>
  <c r="U161" i="14"/>
  <c r="S161" i="14"/>
  <c r="Q161" i="14"/>
  <c r="O161" i="14"/>
  <c r="K161" i="14"/>
  <c r="AC160" i="14"/>
  <c r="X160" i="14"/>
  <c r="U160" i="14"/>
  <c r="S160" i="14"/>
  <c r="Q160" i="14"/>
  <c r="O160" i="14"/>
  <c r="K160" i="14"/>
  <c r="AC159" i="14"/>
  <c r="X159" i="14"/>
  <c r="U159" i="14"/>
  <c r="S159" i="14"/>
  <c r="Q159" i="14"/>
  <c r="O159" i="14"/>
  <c r="K159" i="14"/>
  <c r="AC158" i="14"/>
  <c r="X158" i="14"/>
  <c r="U158" i="14"/>
  <c r="S158" i="14"/>
  <c r="Q158" i="14"/>
  <c r="O158" i="14"/>
  <c r="K158" i="14"/>
  <c r="AC157" i="14"/>
  <c r="X157" i="14"/>
  <c r="U157" i="14"/>
  <c r="S157" i="14"/>
  <c r="Q157" i="14"/>
  <c r="O157" i="14"/>
  <c r="K157" i="14"/>
  <c r="AC156" i="14"/>
  <c r="X156" i="14"/>
  <c r="U156" i="14"/>
  <c r="S156" i="14"/>
  <c r="Q156" i="14"/>
  <c r="O156" i="14"/>
  <c r="K156" i="14"/>
  <c r="AC155" i="14"/>
  <c r="X155" i="14"/>
  <c r="U155" i="14"/>
  <c r="S155" i="14"/>
  <c r="Q155" i="14"/>
  <c r="O155" i="14"/>
  <c r="K155" i="14"/>
  <c r="AC154" i="14"/>
  <c r="X154" i="14"/>
  <c r="U154" i="14"/>
  <c r="S154" i="14"/>
  <c r="Q154" i="14"/>
  <c r="O154" i="14"/>
  <c r="K154" i="14"/>
  <c r="AC153" i="14"/>
  <c r="X153" i="14"/>
  <c r="U153" i="14"/>
  <c r="S153" i="14"/>
  <c r="Q153" i="14"/>
  <c r="O153" i="14"/>
  <c r="K153" i="14"/>
  <c r="AC152" i="14"/>
  <c r="X152" i="14"/>
  <c r="U152" i="14"/>
  <c r="S152" i="14"/>
  <c r="Q152" i="14"/>
  <c r="O152" i="14"/>
  <c r="K152" i="14"/>
  <c r="AC151" i="14"/>
  <c r="X151" i="14"/>
  <c r="U151" i="14"/>
  <c r="S151" i="14"/>
  <c r="Q151" i="14"/>
  <c r="O151" i="14"/>
  <c r="K151" i="14"/>
  <c r="AC150" i="14"/>
  <c r="X150" i="14"/>
  <c r="U150" i="14"/>
  <c r="S150" i="14"/>
  <c r="Q150" i="14"/>
  <c r="O150" i="14"/>
  <c r="K150" i="14"/>
  <c r="AC149" i="14"/>
  <c r="X149" i="14"/>
  <c r="U149" i="14"/>
  <c r="S149" i="14"/>
  <c r="Q149" i="14"/>
  <c r="O149" i="14"/>
  <c r="K149" i="14"/>
  <c r="AC148" i="14"/>
  <c r="X148" i="14"/>
  <c r="U148" i="14"/>
  <c r="S148" i="14"/>
  <c r="Q148" i="14"/>
  <c r="O148" i="14"/>
  <c r="K148" i="14"/>
  <c r="AC147" i="14"/>
  <c r="X147" i="14"/>
  <c r="U147" i="14"/>
  <c r="S147" i="14"/>
  <c r="Q147" i="14"/>
  <c r="O147" i="14"/>
  <c r="K147" i="14"/>
  <c r="AC146" i="14"/>
  <c r="X146" i="14"/>
  <c r="U146" i="14"/>
  <c r="S146" i="14"/>
  <c r="Q146" i="14"/>
  <c r="O146" i="14"/>
  <c r="K146" i="14"/>
  <c r="AC145" i="14"/>
  <c r="X145" i="14"/>
  <c r="U145" i="14"/>
  <c r="S145" i="14"/>
  <c r="Q145" i="14"/>
  <c r="O145" i="14"/>
  <c r="K145" i="14"/>
  <c r="AC144" i="14"/>
  <c r="X144" i="14"/>
  <c r="U144" i="14"/>
  <c r="S144" i="14"/>
  <c r="Q144" i="14"/>
  <c r="O144" i="14"/>
  <c r="K144" i="14"/>
  <c r="AC143" i="14"/>
  <c r="X143" i="14"/>
  <c r="U143" i="14"/>
  <c r="S143" i="14"/>
  <c r="Q143" i="14"/>
  <c r="O143" i="14"/>
  <c r="K143" i="14"/>
  <c r="AC142" i="14"/>
  <c r="X142" i="14"/>
  <c r="U142" i="14"/>
  <c r="S142" i="14"/>
  <c r="Q142" i="14"/>
  <c r="O142" i="14"/>
  <c r="K142" i="14"/>
  <c r="AC141" i="14"/>
  <c r="X141" i="14"/>
  <c r="U141" i="14"/>
  <c r="S141" i="14"/>
  <c r="Q141" i="14"/>
  <c r="O141" i="14"/>
  <c r="K141" i="14"/>
  <c r="AC140" i="14"/>
  <c r="X140" i="14"/>
  <c r="U140" i="14"/>
  <c r="S140" i="14"/>
  <c r="Q140" i="14"/>
  <c r="O140" i="14"/>
  <c r="K140" i="14"/>
  <c r="AC139" i="14"/>
  <c r="X139" i="14"/>
  <c r="U139" i="14"/>
  <c r="S139" i="14"/>
  <c r="Q139" i="14"/>
  <c r="O139" i="14"/>
  <c r="K139" i="14"/>
  <c r="AC138" i="14"/>
  <c r="X138" i="14"/>
  <c r="U138" i="14"/>
  <c r="S138" i="14"/>
  <c r="Q138" i="14"/>
  <c r="O138" i="14"/>
  <c r="K138" i="14"/>
  <c r="AC137" i="14"/>
  <c r="X137" i="14"/>
  <c r="U137" i="14"/>
  <c r="S137" i="14"/>
  <c r="Q137" i="14"/>
  <c r="O137" i="14"/>
  <c r="K137" i="14"/>
  <c r="AC136" i="14"/>
  <c r="X136" i="14"/>
  <c r="U136" i="14"/>
  <c r="S136" i="14"/>
  <c r="Q136" i="14"/>
  <c r="O136" i="14"/>
  <c r="K136" i="14"/>
  <c r="AC135" i="14"/>
  <c r="X135" i="14"/>
  <c r="U135" i="14"/>
  <c r="S135" i="14"/>
  <c r="Q135" i="14"/>
  <c r="O135" i="14"/>
  <c r="K135" i="14"/>
  <c r="AC134" i="14"/>
  <c r="X134" i="14"/>
  <c r="U134" i="14"/>
  <c r="S134" i="14"/>
  <c r="Q134" i="14"/>
  <c r="O134" i="14"/>
  <c r="K134" i="14"/>
  <c r="AC133" i="14"/>
  <c r="X133" i="14"/>
  <c r="U133" i="14"/>
  <c r="S133" i="14"/>
  <c r="Q133" i="14"/>
  <c r="O133" i="14"/>
  <c r="K133" i="14"/>
  <c r="AC132" i="14"/>
  <c r="X132" i="14"/>
  <c r="U132" i="14"/>
  <c r="S132" i="14"/>
  <c r="Q132" i="14"/>
  <c r="O132" i="14"/>
  <c r="K132" i="14"/>
  <c r="AC131" i="14"/>
  <c r="X131" i="14"/>
  <c r="U131" i="14"/>
  <c r="S131" i="14"/>
  <c r="Q131" i="14"/>
  <c r="O131" i="14"/>
  <c r="K131" i="14"/>
  <c r="AC130" i="14"/>
  <c r="X130" i="14"/>
  <c r="U130" i="14"/>
  <c r="S130" i="14"/>
  <c r="Q130" i="14"/>
  <c r="O130" i="14"/>
  <c r="K130" i="14"/>
  <c r="AC129" i="14"/>
  <c r="X129" i="14"/>
  <c r="U129" i="14"/>
  <c r="S129" i="14"/>
  <c r="Q129" i="14"/>
  <c r="O129" i="14"/>
  <c r="K129" i="14"/>
  <c r="AC128" i="14"/>
  <c r="X128" i="14"/>
  <c r="U128" i="14"/>
  <c r="S128" i="14"/>
  <c r="Q128" i="14"/>
  <c r="O128" i="14"/>
  <c r="K128" i="14"/>
  <c r="AC127" i="14"/>
  <c r="X127" i="14"/>
  <c r="U127" i="14"/>
  <c r="S127" i="14"/>
  <c r="Q127" i="14"/>
  <c r="O127" i="14"/>
  <c r="K127" i="14"/>
  <c r="AC126" i="14"/>
  <c r="X126" i="14"/>
  <c r="U126" i="14"/>
  <c r="S126" i="14"/>
  <c r="Q126" i="14"/>
  <c r="O126" i="14"/>
  <c r="K126" i="14"/>
  <c r="AC125" i="14"/>
  <c r="X125" i="14"/>
  <c r="U125" i="14"/>
  <c r="S125" i="14"/>
  <c r="Q125" i="14"/>
  <c r="O125" i="14"/>
  <c r="K125" i="14"/>
  <c r="AC124" i="14"/>
  <c r="X124" i="14"/>
  <c r="U124" i="14"/>
  <c r="S124" i="14"/>
  <c r="Q124" i="14"/>
  <c r="O124" i="14"/>
  <c r="K124" i="14"/>
  <c r="AC123" i="14"/>
  <c r="X123" i="14"/>
  <c r="U123" i="14"/>
  <c r="S123" i="14"/>
  <c r="Q123" i="14"/>
  <c r="O123" i="14"/>
  <c r="K123" i="14"/>
  <c r="AC122" i="14"/>
  <c r="X122" i="14"/>
  <c r="U122" i="14"/>
  <c r="S122" i="14"/>
  <c r="Q122" i="14"/>
  <c r="O122" i="14"/>
  <c r="K122" i="14"/>
  <c r="AC121" i="14"/>
  <c r="X121" i="14"/>
  <c r="U121" i="14"/>
  <c r="S121" i="14"/>
  <c r="Q121" i="14"/>
  <c r="O121" i="14"/>
  <c r="K121" i="14"/>
  <c r="AC120" i="14"/>
  <c r="X120" i="14"/>
  <c r="U120" i="14"/>
  <c r="S120" i="14"/>
  <c r="Q120" i="14"/>
  <c r="O120" i="14"/>
  <c r="K120" i="14"/>
  <c r="AC119" i="14"/>
  <c r="X119" i="14"/>
  <c r="U119" i="14"/>
  <c r="S119" i="14"/>
  <c r="Q119" i="14"/>
  <c r="O119" i="14"/>
  <c r="K119" i="14"/>
  <c r="AC118" i="14"/>
  <c r="X118" i="14"/>
  <c r="U118" i="14"/>
  <c r="S118" i="14"/>
  <c r="Q118" i="14"/>
  <c r="O118" i="14"/>
  <c r="K118" i="14"/>
  <c r="AC117" i="14"/>
  <c r="X117" i="14"/>
  <c r="U117" i="14"/>
  <c r="S117" i="14"/>
  <c r="Q117" i="14"/>
  <c r="O117" i="14"/>
  <c r="K117" i="14"/>
  <c r="AC116" i="14"/>
  <c r="X116" i="14"/>
  <c r="U116" i="14"/>
  <c r="S116" i="14"/>
  <c r="Q116" i="14"/>
  <c r="O116" i="14"/>
  <c r="K116" i="14"/>
  <c r="AC115" i="14"/>
  <c r="X115" i="14"/>
  <c r="U115" i="14"/>
  <c r="S115" i="14"/>
  <c r="Q115" i="14"/>
  <c r="O115" i="14"/>
  <c r="K115" i="14"/>
  <c r="AC114" i="14"/>
  <c r="X114" i="14"/>
  <c r="U114" i="14"/>
  <c r="S114" i="14"/>
  <c r="Q114" i="14"/>
  <c r="O114" i="14"/>
  <c r="K114" i="14"/>
  <c r="AC113" i="14"/>
  <c r="X113" i="14"/>
  <c r="U113" i="14"/>
  <c r="S113" i="14"/>
  <c r="Q113" i="14"/>
  <c r="O113" i="14"/>
  <c r="K113" i="14"/>
  <c r="AC112" i="14"/>
  <c r="X112" i="14"/>
  <c r="U112" i="14"/>
  <c r="S112" i="14"/>
  <c r="Q112" i="14"/>
  <c r="O112" i="14"/>
  <c r="K112" i="14"/>
  <c r="AC111" i="14"/>
  <c r="X111" i="14"/>
  <c r="U111" i="14"/>
  <c r="S111" i="14"/>
  <c r="Q111" i="14"/>
  <c r="O111" i="14"/>
  <c r="K111" i="14"/>
  <c r="AC110" i="14"/>
  <c r="X110" i="14"/>
  <c r="U110" i="14"/>
  <c r="S110" i="14"/>
  <c r="Q110" i="14"/>
  <c r="O110" i="14"/>
  <c r="K110" i="14"/>
  <c r="AC109" i="14"/>
  <c r="X109" i="14"/>
  <c r="U109" i="14"/>
  <c r="S109" i="14"/>
  <c r="Q109" i="14"/>
  <c r="O109" i="14"/>
  <c r="K109" i="14"/>
  <c r="AC108" i="14"/>
  <c r="X108" i="14"/>
  <c r="U108" i="14"/>
  <c r="S108" i="14"/>
  <c r="Q108" i="14"/>
  <c r="O108" i="14"/>
  <c r="K108" i="14"/>
  <c r="AC107" i="14"/>
  <c r="X107" i="14"/>
  <c r="U107" i="14"/>
  <c r="S107" i="14"/>
  <c r="Q107" i="14"/>
  <c r="O107" i="14"/>
  <c r="K107" i="14"/>
  <c r="AC106" i="14"/>
  <c r="X106" i="14"/>
  <c r="U106" i="14"/>
  <c r="S106" i="14"/>
  <c r="Q106" i="14"/>
  <c r="O106" i="14"/>
  <c r="K106" i="14"/>
  <c r="AC105" i="14"/>
  <c r="X105" i="14"/>
  <c r="U105" i="14"/>
  <c r="S105" i="14"/>
  <c r="Q105" i="14"/>
  <c r="O105" i="14"/>
  <c r="K105" i="14"/>
  <c r="AC104" i="14"/>
  <c r="X104" i="14"/>
  <c r="U104" i="14"/>
  <c r="S104" i="14"/>
  <c r="Q104" i="14"/>
  <c r="O104" i="14"/>
  <c r="K104" i="14"/>
  <c r="AC103" i="14"/>
  <c r="X103" i="14"/>
  <c r="U103" i="14"/>
  <c r="S103" i="14"/>
  <c r="Q103" i="14"/>
  <c r="O103" i="14"/>
  <c r="K103" i="14"/>
  <c r="AC102" i="14"/>
  <c r="X102" i="14"/>
  <c r="U102" i="14"/>
  <c r="S102" i="14"/>
  <c r="Q102" i="14"/>
  <c r="O102" i="14"/>
  <c r="K102" i="14"/>
  <c r="AC101" i="14"/>
  <c r="X101" i="14"/>
  <c r="U101" i="14"/>
  <c r="S101" i="14"/>
  <c r="Q101" i="14"/>
  <c r="O101" i="14"/>
  <c r="K101" i="14"/>
  <c r="AC100" i="14"/>
  <c r="X100" i="14"/>
  <c r="U100" i="14"/>
  <c r="S100" i="14"/>
  <c r="Q100" i="14"/>
  <c r="O100" i="14"/>
  <c r="K100" i="14"/>
  <c r="AC99" i="14"/>
  <c r="X99" i="14"/>
  <c r="U99" i="14"/>
  <c r="S99" i="14"/>
  <c r="Q99" i="14"/>
  <c r="O99" i="14"/>
  <c r="K99" i="14"/>
  <c r="AC98" i="14"/>
  <c r="X98" i="14"/>
  <c r="U98" i="14"/>
  <c r="S98" i="14"/>
  <c r="Q98" i="14"/>
  <c r="O98" i="14"/>
  <c r="K98" i="14"/>
  <c r="AC97" i="14"/>
  <c r="X97" i="14"/>
  <c r="U97" i="14"/>
  <c r="S97" i="14"/>
  <c r="Q97" i="14"/>
  <c r="O97" i="14"/>
  <c r="K97" i="14"/>
  <c r="AC96" i="14"/>
  <c r="X96" i="14"/>
  <c r="U96" i="14"/>
  <c r="S96" i="14"/>
  <c r="Q96" i="14"/>
  <c r="O96" i="14"/>
  <c r="K96" i="14"/>
  <c r="AC95" i="14"/>
  <c r="X95" i="14"/>
  <c r="U95" i="14"/>
  <c r="S95" i="14"/>
  <c r="Q95" i="14"/>
  <c r="O95" i="14"/>
  <c r="K95" i="14"/>
  <c r="AC94" i="14"/>
  <c r="X94" i="14"/>
  <c r="U94" i="14"/>
  <c r="S94" i="14"/>
  <c r="Q94" i="14"/>
  <c r="O94" i="14"/>
  <c r="K94" i="14"/>
  <c r="AC93" i="14"/>
  <c r="X93" i="14"/>
  <c r="U93" i="14"/>
  <c r="S93" i="14"/>
  <c r="Q93" i="14"/>
  <c r="O93" i="14"/>
  <c r="K93" i="14"/>
  <c r="AC92" i="14"/>
  <c r="X92" i="14"/>
  <c r="U92" i="14"/>
  <c r="S92" i="14"/>
  <c r="Q92" i="14"/>
  <c r="O92" i="14"/>
  <c r="K92" i="14"/>
  <c r="AC91" i="14"/>
  <c r="X91" i="14"/>
  <c r="U91" i="14"/>
  <c r="S91" i="14"/>
  <c r="Q91" i="14"/>
  <c r="O91" i="14"/>
  <c r="K91" i="14"/>
  <c r="AC90" i="14"/>
  <c r="X90" i="14"/>
  <c r="U90" i="14"/>
  <c r="S90" i="14"/>
  <c r="Q90" i="14"/>
  <c r="O90" i="14"/>
  <c r="K90" i="14"/>
  <c r="AC89" i="14"/>
  <c r="X89" i="14"/>
  <c r="U89" i="14"/>
  <c r="S89" i="14"/>
  <c r="Q89" i="14"/>
  <c r="O89" i="14"/>
  <c r="K89" i="14"/>
  <c r="AC88" i="14"/>
  <c r="X88" i="14"/>
  <c r="U88" i="14"/>
  <c r="S88" i="14"/>
  <c r="Q88" i="14"/>
  <c r="O88" i="14"/>
  <c r="K88" i="14"/>
  <c r="AC87" i="14"/>
  <c r="X87" i="14"/>
  <c r="U87" i="14"/>
  <c r="S87" i="14"/>
  <c r="Q87" i="14"/>
  <c r="O87" i="14"/>
  <c r="K87" i="14"/>
  <c r="AC86" i="14"/>
  <c r="X86" i="14"/>
  <c r="U86" i="14"/>
  <c r="S86" i="14"/>
  <c r="Q86" i="14"/>
  <c r="O86" i="14"/>
  <c r="K86" i="14"/>
  <c r="AC85" i="14"/>
  <c r="X85" i="14"/>
  <c r="U85" i="14"/>
  <c r="S85" i="14"/>
  <c r="Q85" i="14"/>
  <c r="O85" i="14"/>
  <c r="K85" i="14"/>
  <c r="AC84" i="14"/>
  <c r="X84" i="14"/>
  <c r="U84" i="14"/>
  <c r="S84" i="14"/>
  <c r="Q84" i="14"/>
  <c r="O84" i="14"/>
  <c r="K84" i="14"/>
  <c r="AC83" i="14"/>
  <c r="X83" i="14"/>
  <c r="U83" i="14"/>
  <c r="S83" i="14"/>
  <c r="Q83" i="14"/>
  <c r="O83" i="14"/>
  <c r="K83" i="14"/>
  <c r="AC82" i="14"/>
  <c r="X82" i="14"/>
  <c r="U82" i="14"/>
  <c r="S82" i="14"/>
  <c r="Q82" i="14"/>
  <c r="O82" i="14"/>
  <c r="K82" i="14"/>
  <c r="AC81" i="14"/>
  <c r="X81" i="14"/>
  <c r="U81" i="14"/>
  <c r="S81" i="14"/>
  <c r="Q81" i="14"/>
  <c r="O81" i="14"/>
  <c r="K81" i="14"/>
  <c r="AC80" i="14"/>
  <c r="X80" i="14"/>
  <c r="U80" i="14"/>
  <c r="S80" i="14"/>
  <c r="Q80" i="14"/>
  <c r="O80" i="14"/>
  <c r="K80" i="14"/>
  <c r="AC79" i="14"/>
  <c r="X79" i="14"/>
  <c r="U79" i="14"/>
  <c r="S79" i="14"/>
  <c r="Q79" i="14"/>
  <c r="O79" i="14"/>
  <c r="K79" i="14"/>
  <c r="AC78" i="14"/>
  <c r="X78" i="14"/>
  <c r="U78" i="14"/>
  <c r="S78" i="14"/>
  <c r="Q78" i="14"/>
  <c r="O78" i="14"/>
  <c r="K78" i="14"/>
  <c r="AC77" i="14"/>
  <c r="X77" i="14"/>
  <c r="U77" i="14"/>
  <c r="S77" i="14"/>
  <c r="Q77" i="14"/>
  <c r="O77" i="14"/>
  <c r="K77" i="14"/>
  <c r="AC76" i="14"/>
  <c r="X76" i="14"/>
  <c r="U76" i="14"/>
  <c r="S76" i="14"/>
  <c r="Q76" i="14"/>
  <c r="O76" i="14"/>
  <c r="K76" i="14"/>
  <c r="AC75" i="14"/>
  <c r="X75" i="14"/>
  <c r="U75" i="14"/>
  <c r="S75" i="14"/>
  <c r="Q75" i="14"/>
  <c r="O75" i="14"/>
  <c r="K75" i="14"/>
  <c r="AC74" i="14"/>
  <c r="X74" i="14"/>
  <c r="U74" i="14"/>
  <c r="S74" i="14"/>
  <c r="Q74" i="14"/>
  <c r="O74" i="14"/>
  <c r="K74" i="14"/>
  <c r="AC73" i="14"/>
  <c r="X73" i="14"/>
  <c r="U73" i="14"/>
  <c r="S73" i="14"/>
  <c r="Q73" i="14"/>
  <c r="O73" i="14"/>
  <c r="K73" i="14"/>
  <c r="AC72" i="14"/>
  <c r="X72" i="14"/>
  <c r="U72" i="14"/>
  <c r="S72" i="14"/>
  <c r="Q72" i="14"/>
  <c r="O72" i="14"/>
  <c r="K72" i="14"/>
  <c r="AC71" i="14"/>
  <c r="X71" i="14"/>
  <c r="U71" i="14"/>
  <c r="S71" i="14"/>
  <c r="Q71" i="14"/>
  <c r="O71" i="14"/>
  <c r="K71" i="14"/>
  <c r="AC70" i="14"/>
  <c r="X70" i="14"/>
  <c r="U70" i="14"/>
  <c r="S70" i="14"/>
  <c r="Q70" i="14"/>
  <c r="O70" i="14"/>
  <c r="K70" i="14"/>
  <c r="AC69" i="14"/>
  <c r="X69" i="14"/>
  <c r="U69" i="14"/>
  <c r="S69" i="14"/>
  <c r="Q69" i="14"/>
  <c r="O69" i="14"/>
  <c r="K69" i="14"/>
  <c r="AC68" i="14"/>
  <c r="X68" i="14"/>
  <c r="U68" i="14"/>
  <c r="S68" i="14"/>
  <c r="Q68" i="14"/>
  <c r="O68" i="14"/>
  <c r="K68" i="14"/>
  <c r="AC67" i="14"/>
  <c r="X67" i="14"/>
  <c r="U67" i="14"/>
  <c r="S67" i="14"/>
  <c r="Q67" i="14"/>
  <c r="O67" i="14"/>
  <c r="K67" i="14"/>
  <c r="AC66" i="14"/>
  <c r="X66" i="14"/>
  <c r="U66" i="14"/>
  <c r="S66" i="14"/>
  <c r="Q66" i="14"/>
  <c r="O66" i="14"/>
  <c r="K66" i="14"/>
  <c r="AC65" i="14"/>
  <c r="X65" i="14"/>
  <c r="U65" i="14"/>
  <c r="S65" i="14"/>
  <c r="Q65" i="14"/>
  <c r="O65" i="14"/>
  <c r="K65" i="14"/>
  <c r="AC64" i="14"/>
  <c r="X64" i="14"/>
  <c r="U64" i="14"/>
  <c r="S64" i="14"/>
  <c r="Q64" i="14"/>
  <c r="O64" i="14"/>
  <c r="K64" i="14"/>
  <c r="AC63" i="14"/>
  <c r="X63" i="14"/>
  <c r="U63" i="14"/>
  <c r="S63" i="14"/>
  <c r="Q63" i="14"/>
  <c r="O63" i="14"/>
  <c r="K63" i="14"/>
  <c r="AC62" i="14"/>
  <c r="X62" i="14"/>
  <c r="U62" i="14"/>
  <c r="S62" i="14"/>
  <c r="Q62" i="14"/>
  <c r="O62" i="14"/>
  <c r="K62" i="14"/>
  <c r="AC61" i="14"/>
  <c r="X61" i="14"/>
  <c r="U61" i="14"/>
  <c r="S61" i="14"/>
  <c r="Q61" i="14"/>
  <c r="O61" i="14"/>
  <c r="K61" i="14"/>
  <c r="AC60" i="14"/>
  <c r="X60" i="14"/>
  <c r="U60" i="14"/>
  <c r="S60" i="14"/>
  <c r="Q60" i="14"/>
  <c r="O60" i="14"/>
  <c r="K60" i="14"/>
  <c r="AC59" i="14"/>
  <c r="X59" i="14"/>
  <c r="U59" i="14"/>
  <c r="S59" i="14"/>
  <c r="Q59" i="14"/>
  <c r="O59" i="14"/>
  <c r="K59" i="14"/>
  <c r="AC58" i="14"/>
  <c r="X58" i="14"/>
  <c r="U58" i="14"/>
  <c r="S58" i="14"/>
  <c r="Q58" i="14"/>
  <c r="O58" i="14"/>
  <c r="K58" i="14"/>
  <c r="AC57" i="14"/>
  <c r="X57" i="14"/>
  <c r="U57" i="14"/>
  <c r="S57" i="14"/>
  <c r="Q57" i="14"/>
  <c r="O57" i="14"/>
  <c r="K57" i="14"/>
  <c r="AC56" i="14"/>
  <c r="X56" i="14"/>
  <c r="U56" i="14"/>
  <c r="S56" i="14"/>
  <c r="Q56" i="14"/>
  <c r="O56" i="14"/>
  <c r="K56" i="14"/>
  <c r="AC55" i="14"/>
  <c r="X55" i="14"/>
  <c r="U55" i="14"/>
  <c r="S55" i="14"/>
  <c r="Q55" i="14"/>
  <c r="O55" i="14"/>
  <c r="K55" i="14"/>
  <c r="AC54" i="14"/>
  <c r="X54" i="14"/>
  <c r="U54" i="14"/>
  <c r="S54" i="14"/>
  <c r="Q54" i="14"/>
  <c r="O54" i="14"/>
  <c r="K54" i="14"/>
  <c r="AC53" i="14"/>
  <c r="X53" i="14"/>
  <c r="U53" i="14"/>
  <c r="S53" i="14"/>
  <c r="Q53" i="14"/>
  <c r="O53" i="14"/>
  <c r="K53" i="14"/>
  <c r="AC52" i="14"/>
  <c r="X52" i="14"/>
  <c r="U52" i="14"/>
  <c r="S52" i="14"/>
  <c r="Q52" i="14"/>
  <c r="O52" i="14"/>
  <c r="K52" i="14"/>
  <c r="AC51" i="14"/>
  <c r="X51" i="14"/>
  <c r="U51" i="14"/>
  <c r="S51" i="14"/>
  <c r="Q51" i="14"/>
  <c r="O51" i="14"/>
  <c r="K51" i="14"/>
  <c r="AC50" i="14"/>
  <c r="X50" i="14"/>
  <c r="U50" i="14"/>
  <c r="S50" i="14"/>
  <c r="Q50" i="14"/>
  <c r="O50" i="14"/>
  <c r="K50" i="14"/>
  <c r="AC49" i="14"/>
  <c r="X49" i="14"/>
  <c r="U49" i="14"/>
  <c r="S49" i="14"/>
  <c r="Q49" i="14"/>
  <c r="O49" i="14"/>
  <c r="K49" i="14"/>
  <c r="AC48" i="14"/>
  <c r="X48" i="14"/>
  <c r="U48" i="14"/>
  <c r="S48" i="14"/>
  <c r="Q48" i="14"/>
  <c r="O48" i="14"/>
  <c r="K48" i="14"/>
  <c r="AC47" i="14"/>
  <c r="X47" i="14"/>
  <c r="U47" i="14"/>
  <c r="S47" i="14"/>
  <c r="Q47" i="14"/>
  <c r="O47" i="14"/>
  <c r="K47" i="14"/>
  <c r="AC46" i="14"/>
  <c r="X46" i="14"/>
  <c r="U46" i="14"/>
  <c r="S46" i="14"/>
  <c r="Q46" i="14"/>
  <c r="O46" i="14"/>
  <c r="K46" i="14"/>
  <c r="AC45" i="14"/>
  <c r="X45" i="14"/>
  <c r="U45" i="14"/>
  <c r="S45" i="14"/>
  <c r="Q45" i="14"/>
  <c r="O45" i="14"/>
  <c r="K45" i="14"/>
  <c r="AC44" i="14"/>
  <c r="X44" i="14"/>
  <c r="U44" i="14"/>
  <c r="S44" i="14"/>
  <c r="Q44" i="14"/>
  <c r="O44" i="14"/>
  <c r="K44" i="14"/>
  <c r="AC43" i="14"/>
  <c r="X43" i="14"/>
  <c r="U43" i="14"/>
  <c r="S43" i="14"/>
  <c r="Q43" i="14"/>
  <c r="O43" i="14"/>
  <c r="K43" i="14"/>
  <c r="AC42" i="14"/>
  <c r="X42" i="14"/>
  <c r="U42" i="14"/>
  <c r="S42" i="14"/>
  <c r="Q42" i="14"/>
  <c r="O42" i="14"/>
  <c r="K42" i="14"/>
  <c r="AC41" i="14"/>
  <c r="X41" i="14"/>
  <c r="U41" i="14"/>
  <c r="S41" i="14"/>
  <c r="Q41" i="14"/>
  <c r="O41" i="14"/>
  <c r="K41" i="14"/>
  <c r="AC40" i="14"/>
  <c r="X40" i="14"/>
  <c r="U40" i="14"/>
  <c r="S40" i="14"/>
  <c r="Q40" i="14"/>
  <c r="O40" i="14"/>
  <c r="K40" i="14"/>
  <c r="AC39" i="14"/>
  <c r="X39" i="14"/>
  <c r="U39" i="14"/>
  <c r="S39" i="14"/>
  <c r="Q39" i="14"/>
  <c r="O39" i="14"/>
  <c r="K39" i="14"/>
  <c r="AC38" i="14"/>
  <c r="X38" i="14"/>
  <c r="U38" i="14"/>
  <c r="S38" i="14"/>
  <c r="Q38" i="14"/>
  <c r="O38" i="14"/>
  <c r="K38" i="14"/>
  <c r="AC37" i="14"/>
  <c r="X37" i="14"/>
  <c r="U37" i="14"/>
  <c r="S37" i="14"/>
  <c r="Q37" i="14"/>
  <c r="O37" i="14"/>
  <c r="K37" i="14"/>
  <c r="AC36" i="14"/>
  <c r="X36" i="14"/>
  <c r="U36" i="14"/>
  <c r="S36" i="14"/>
  <c r="Q36" i="14"/>
  <c r="O36" i="14"/>
  <c r="K36" i="14"/>
  <c r="AC35" i="14"/>
  <c r="X35" i="14"/>
  <c r="U35" i="14"/>
  <c r="S35" i="14"/>
  <c r="Q35" i="14"/>
  <c r="O35" i="14"/>
  <c r="K35" i="14"/>
  <c r="AC34" i="14"/>
  <c r="X34" i="14"/>
  <c r="U34" i="14"/>
  <c r="S34" i="14"/>
  <c r="Q34" i="14"/>
  <c r="O34" i="14"/>
  <c r="K34" i="14"/>
  <c r="AC33" i="14"/>
  <c r="X33" i="14"/>
  <c r="U33" i="14"/>
  <c r="S33" i="14"/>
  <c r="Q33" i="14"/>
  <c r="O33" i="14"/>
  <c r="K33" i="14"/>
  <c r="AC32" i="14"/>
  <c r="X32" i="14"/>
  <c r="U32" i="14"/>
  <c r="S32" i="14"/>
  <c r="Q32" i="14"/>
  <c r="O32" i="14"/>
  <c r="K32" i="14"/>
  <c r="AC31" i="14"/>
  <c r="X31" i="14"/>
  <c r="U31" i="14"/>
  <c r="S31" i="14"/>
  <c r="Q31" i="14"/>
  <c r="O31" i="14"/>
  <c r="K31" i="14"/>
  <c r="AC30" i="14"/>
  <c r="X30" i="14"/>
  <c r="U30" i="14"/>
  <c r="S30" i="14"/>
  <c r="Q30" i="14"/>
  <c r="O30" i="14"/>
  <c r="K30" i="14"/>
  <c r="AC29" i="14"/>
  <c r="X29" i="14"/>
  <c r="U29" i="14"/>
  <c r="S29" i="14"/>
  <c r="Q29" i="14"/>
  <c r="O29" i="14"/>
  <c r="K29" i="14"/>
  <c r="AC28" i="14"/>
  <c r="X28" i="14"/>
  <c r="U28" i="14"/>
  <c r="S28" i="14"/>
  <c r="Q28" i="14"/>
  <c r="O28" i="14"/>
  <c r="K28" i="14"/>
  <c r="AC27" i="14"/>
  <c r="X27" i="14"/>
  <c r="U27" i="14"/>
  <c r="S27" i="14"/>
  <c r="Q27" i="14"/>
  <c r="O27" i="14"/>
  <c r="K27" i="14"/>
  <c r="AC26" i="14"/>
  <c r="X26" i="14"/>
  <c r="U26" i="14"/>
  <c r="S26" i="14"/>
  <c r="Q26" i="14"/>
  <c r="O26" i="14"/>
  <c r="K26" i="14"/>
  <c r="AC25" i="14"/>
  <c r="X25" i="14"/>
  <c r="U25" i="14"/>
  <c r="S25" i="14"/>
  <c r="Q25" i="14"/>
  <c r="O25" i="14"/>
  <c r="K25" i="14"/>
  <c r="AC24" i="14"/>
  <c r="X24" i="14"/>
  <c r="U24" i="14"/>
  <c r="S24" i="14"/>
  <c r="Q24" i="14"/>
  <c r="O24" i="14"/>
  <c r="K24" i="14"/>
  <c r="AC23" i="14"/>
  <c r="X23" i="14"/>
  <c r="U23" i="14"/>
  <c r="S23" i="14"/>
  <c r="Q23" i="14"/>
  <c r="O23" i="14"/>
  <c r="K23" i="14"/>
  <c r="AC22" i="14"/>
  <c r="X22" i="14"/>
  <c r="U22" i="14"/>
  <c r="S22" i="14"/>
  <c r="Q22" i="14"/>
  <c r="O22" i="14"/>
  <c r="K22" i="14"/>
  <c r="AC21" i="14"/>
  <c r="X21" i="14"/>
  <c r="U21" i="14"/>
  <c r="S21" i="14"/>
  <c r="Q21" i="14"/>
  <c r="O21" i="14"/>
  <c r="K21" i="14"/>
  <c r="AC20" i="14"/>
  <c r="X20" i="14"/>
  <c r="U20" i="14"/>
  <c r="S20" i="14"/>
  <c r="Q20" i="14"/>
  <c r="O20" i="14"/>
  <c r="K20" i="14"/>
  <c r="AC19" i="14"/>
  <c r="X19" i="14"/>
  <c r="U19" i="14"/>
  <c r="S19" i="14"/>
  <c r="Q19" i="14"/>
  <c r="O19" i="14"/>
  <c r="K19" i="14"/>
  <c r="AC18" i="14"/>
  <c r="X18" i="14"/>
  <c r="U18" i="14"/>
  <c r="S18" i="14"/>
  <c r="Q18" i="14"/>
  <c r="O18" i="14"/>
  <c r="K18" i="14"/>
  <c r="AC17" i="14"/>
  <c r="X17" i="14"/>
  <c r="U17" i="14"/>
  <c r="S17" i="14"/>
  <c r="Q17" i="14"/>
  <c r="O17" i="14"/>
  <c r="K17" i="14"/>
  <c r="AC16" i="14"/>
  <c r="X16" i="14"/>
  <c r="U16" i="14"/>
  <c r="S16" i="14"/>
  <c r="Q16" i="14"/>
  <c r="O16" i="14"/>
  <c r="K16" i="14"/>
  <c r="AC15" i="14"/>
  <c r="X15" i="14"/>
  <c r="U15" i="14"/>
  <c r="S15" i="14"/>
  <c r="Q15" i="14"/>
  <c r="O15" i="14"/>
  <c r="K15" i="14"/>
  <c r="AC14" i="14"/>
  <c r="X14" i="14"/>
  <c r="U14" i="14"/>
  <c r="S14" i="14"/>
  <c r="Q14" i="14"/>
  <c r="O14" i="14"/>
  <c r="K14" i="14"/>
  <c r="AC13" i="14"/>
  <c r="X13" i="14"/>
  <c r="U13" i="14"/>
  <c r="S13" i="14"/>
  <c r="Q13" i="14"/>
  <c r="O13" i="14"/>
  <c r="K13" i="14"/>
  <c r="AC12" i="14"/>
  <c r="X12" i="14"/>
  <c r="U12" i="14"/>
  <c r="S12" i="14"/>
  <c r="Q12" i="14"/>
  <c r="O12" i="14"/>
  <c r="K12" i="14"/>
  <c r="AC11" i="14"/>
  <c r="X11" i="14"/>
  <c r="U11" i="14"/>
  <c r="S11" i="14"/>
  <c r="Q11" i="14"/>
  <c r="O11" i="14"/>
  <c r="K11" i="14"/>
  <c r="AC10" i="14"/>
  <c r="X10" i="14"/>
  <c r="U10" i="14"/>
  <c r="S10" i="14"/>
  <c r="Q10" i="14"/>
  <c r="O10" i="14"/>
  <c r="K10" i="14"/>
  <c r="AC9" i="14"/>
  <c r="X9" i="14"/>
  <c r="U9" i="14"/>
  <c r="S9" i="14"/>
  <c r="Q9" i="14"/>
  <c r="O9" i="14"/>
  <c r="K9" i="14"/>
  <c r="AC8" i="14"/>
  <c r="X8" i="14"/>
  <c r="U8" i="14"/>
  <c r="S8" i="14"/>
  <c r="Q8" i="14"/>
  <c r="O8" i="14"/>
  <c r="K8" i="14"/>
  <c r="AC7" i="14"/>
  <c r="X7" i="14"/>
  <c r="U7" i="14"/>
  <c r="S7" i="14"/>
  <c r="Q7" i="14"/>
  <c r="O7" i="14"/>
  <c r="K7" i="14"/>
  <c r="AC6" i="14"/>
  <c r="X6" i="14"/>
  <c r="U6" i="14"/>
  <c r="S6" i="14"/>
  <c r="Q6" i="14"/>
  <c r="O6" i="14"/>
  <c r="K6" i="14"/>
  <c r="AC5" i="14"/>
  <c r="X5" i="14"/>
  <c r="U5" i="14"/>
  <c r="S5" i="14"/>
  <c r="Q5" i="14"/>
  <c r="O5" i="14"/>
  <c r="K5" i="14"/>
  <c r="AC4" i="14"/>
  <c r="X4" i="14"/>
  <c r="U4" i="14"/>
  <c r="S4" i="14"/>
  <c r="Q4" i="14"/>
  <c r="O4" i="14"/>
  <c r="K4" i="14"/>
  <c r="C101" i="12"/>
  <c r="C100" i="12"/>
  <c r="C99" i="12"/>
  <c r="C98" i="12"/>
  <c r="C97" i="12"/>
  <c r="C96" i="12"/>
  <c r="D92" i="12"/>
  <c r="D91" i="12"/>
  <c r="D90" i="12"/>
  <c r="D89" i="12"/>
  <c r="M79" i="12"/>
  <c r="L79" i="12"/>
  <c r="K79" i="12"/>
  <c r="J79" i="12"/>
  <c r="I79" i="12"/>
  <c r="H79" i="12"/>
  <c r="G79" i="12"/>
  <c r="F79" i="12"/>
  <c r="E79" i="12"/>
  <c r="D79" i="12"/>
  <c r="C79" i="12"/>
  <c r="M78" i="12"/>
  <c r="L78" i="12"/>
  <c r="K78" i="12"/>
  <c r="J78" i="12"/>
  <c r="I78" i="12"/>
  <c r="H78" i="12"/>
  <c r="G78" i="12"/>
  <c r="F78" i="12"/>
  <c r="E78" i="12"/>
  <c r="D78" i="12"/>
  <c r="C78" i="12"/>
  <c r="M77" i="12"/>
  <c r="L77" i="12"/>
  <c r="K77" i="12"/>
  <c r="J77" i="12"/>
  <c r="I77" i="12"/>
  <c r="H77" i="12"/>
  <c r="G77" i="12"/>
  <c r="F77" i="12"/>
  <c r="E77" i="12"/>
  <c r="D77" i="12"/>
  <c r="C77" i="12"/>
  <c r="M76" i="12"/>
  <c r="L76" i="12"/>
  <c r="K76" i="12"/>
  <c r="J76" i="12"/>
  <c r="I76" i="12"/>
  <c r="H76" i="12"/>
  <c r="G76" i="12"/>
  <c r="F76" i="12"/>
  <c r="E76" i="12"/>
  <c r="D76" i="12"/>
  <c r="C76" i="12"/>
  <c r="M75" i="12"/>
  <c r="M83" i="12"/>
  <c r="L75" i="12"/>
  <c r="K75" i="12"/>
  <c r="K80" i="12"/>
  <c r="H92" i="12"/>
  <c r="J75" i="12"/>
  <c r="J80" i="12"/>
  <c r="G92" i="12"/>
  <c r="I75" i="12"/>
  <c r="I81" i="12"/>
  <c r="H75" i="12"/>
  <c r="H82" i="12"/>
  <c r="G75" i="12"/>
  <c r="F75" i="12"/>
  <c r="E75" i="12"/>
  <c r="D75" i="12"/>
  <c r="C75" i="12"/>
  <c r="M65" i="12"/>
  <c r="L65" i="12"/>
  <c r="K65" i="12"/>
  <c r="J65" i="12"/>
  <c r="I65" i="12"/>
  <c r="H65" i="12"/>
  <c r="G65" i="12"/>
  <c r="F65" i="12"/>
  <c r="E65" i="12"/>
  <c r="D65" i="12"/>
  <c r="C65" i="12"/>
  <c r="M64" i="12"/>
  <c r="L64" i="12"/>
  <c r="K64" i="12"/>
  <c r="J64" i="12"/>
  <c r="I64" i="12"/>
  <c r="H64" i="12"/>
  <c r="G64" i="12"/>
  <c r="F64" i="12"/>
  <c r="E64" i="12"/>
  <c r="D64" i="12"/>
  <c r="C64" i="12"/>
  <c r="M63" i="12"/>
  <c r="L63" i="12"/>
  <c r="K63" i="12"/>
  <c r="J63" i="12"/>
  <c r="I63" i="12"/>
  <c r="H63" i="12"/>
  <c r="G63" i="12"/>
  <c r="F63" i="12"/>
  <c r="E63" i="12"/>
  <c r="D63" i="12"/>
  <c r="C63" i="12"/>
  <c r="M62" i="12"/>
  <c r="L62" i="12"/>
  <c r="K62" i="12"/>
  <c r="J62" i="12"/>
  <c r="I62" i="12"/>
  <c r="H62" i="12"/>
  <c r="G62" i="12"/>
  <c r="F62" i="12"/>
  <c r="E62" i="12"/>
  <c r="D62" i="12"/>
  <c r="C62" i="12"/>
  <c r="M61" i="12"/>
  <c r="L61" i="12"/>
  <c r="K61" i="12"/>
  <c r="J61" i="12"/>
  <c r="I61" i="12"/>
  <c r="H61" i="12"/>
  <c r="G61" i="12"/>
  <c r="F61" i="12"/>
  <c r="E61" i="12"/>
  <c r="D61" i="12"/>
  <c r="C61" i="12"/>
  <c r="M60" i="12"/>
  <c r="L60" i="12"/>
  <c r="K60" i="12"/>
  <c r="J60" i="12"/>
  <c r="I60" i="12"/>
  <c r="H60" i="12"/>
  <c r="G60" i="12"/>
  <c r="F60" i="12"/>
  <c r="E60" i="12"/>
  <c r="D60" i="12"/>
  <c r="C60" i="12"/>
  <c r="M59" i="12"/>
  <c r="L59" i="12"/>
  <c r="K59" i="12"/>
  <c r="J59" i="12"/>
  <c r="I59" i="12"/>
  <c r="H59" i="12"/>
  <c r="G59" i="12"/>
  <c r="F59" i="12"/>
  <c r="E59" i="12"/>
  <c r="D59" i="12"/>
  <c r="C59" i="12"/>
  <c r="M58" i="12"/>
  <c r="L58" i="12"/>
  <c r="K58" i="12"/>
  <c r="J58" i="12"/>
  <c r="I58" i="12"/>
  <c r="H58" i="12"/>
  <c r="G58" i="12"/>
  <c r="F58" i="12"/>
  <c r="E58" i="12"/>
  <c r="D58" i="12"/>
  <c r="C58" i="12"/>
  <c r="M57" i="12"/>
  <c r="M66" i="12"/>
  <c r="J91" i="12"/>
  <c r="L57" i="12"/>
  <c r="K57" i="12"/>
  <c r="J57" i="12"/>
  <c r="J68" i="12"/>
  <c r="I57" i="12"/>
  <c r="I67" i="12"/>
  <c r="H57" i="12"/>
  <c r="H69" i="12"/>
  <c r="G57" i="12"/>
  <c r="F57" i="12"/>
  <c r="E57" i="12"/>
  <c r="D57" i="12"/>
  <c r="C57" i="12"/>
  <c r="M47" i="12"/>
  <c r="L47" i="12"/>
  <c r="K47" i="12"/>
  <c r="J47" i="12"/>
  <c r="I47" i="12"/>
  <c r="H47" i="12"/>
  <c r="G47" i="12"/>
  <c r="F47" i="12"/>
  <c r="E47" i="12"/>
  <c r="D47" i="12"/>
  <c r="C47" i="12"/>
  <c r="M46" i="12"/>
  <c r="L46" i="12"/>
  <c r="K46" i="12"/>
  <c r="J46" i="12"/>
  <c r="I46" i="12"/>
  <c r="H46" i="12"/>
  <c r="G46" i="12"/>
  <c r="F46" i="12"/>
  <c r="E46" i="12"/>
  <c r="D46" i="12"/>
  <c r="C46" i="12"/>
  <c r="M45" i="12"/>
  <c r="L45" i="12"/>
  <c r="K45" i="12"/>
  <c r="J45" i="12"/>
  <c r="I45" i="12"/>
  <c r="H45" i="12"/>
  <c r="G45" i="12"/>
  <c r="F45" i="12"/>
  <c r="E45" i="12"/>
  <c r="D45" i="12"/>
  <c r="C45" i="12"/>
  <c r="M44" i="12"/>
  <c r="L44" i="12"/>
  <c r="K44" i="12"/>
  <c r="J44" i="12"/>
  <c r="I44" i="12"/>
  <c r="H44" i="12"/>
  <c r="G44" i="12"/>
  <c r="F44" i="12"/>
  <c r="E44" i="12"/>
  <c r="D44" i="12"/>
  <c r="C44" i="12"/>
  <c r="M43" i="12"/>
  <c r="L43" i="12"/>
  <c r="K43" i="12"/>
  <c r="J43" i="12"/>
  <c r="I43" i="12"/>
  <c r="H43" i="12"/>
  <c r="G43" i="12"/>
  <c r="F43" i="12"/>
  <c r="E43" i="12"/>
  <c r="D43" i="12"/>
  <c r="C43" i="12"/>
  <c r="M42" i="12"/>
  <c r="M48" i="12"/>
  <c r="J90" i="12"/>
  <c r="L42" i="12"/>
  <c r="K42" i="12"/>
  <c r="J42" i="12"/>
  <c r="I42" i="12"/>
  <c r="I48" i="12"/>
  <c r="F90" i="12"/>
  <c r="H42" i="12"/>
  <c r="H49" i="12"/>
  <c r="G42" i="12"/>
  <c r="F42" i="12"/>
  <c r="E42" i="12"/>
  <c r="D42" i="12"/>
  <c r="C42" i="12"/>
  <c r="M32" i="12"/>
  <c r="L32" i="12"/>
  <c r="K32" i="12"/>
  <c r="J32" i="12"/>
  <c r="I32" i="12"/>
  <c r="H32" i="12"/>
  <c r="G32" i="12"/>
  <c r="F32" i="12"/>
  <c r="E32" i="12"/>
  <c r="D32" i="12"/>
  <c r="C32" i="12"/>
  <c r="M31" i="12"/>
  <c r="L31" i="12"/>
  <c r="K31" i="12"/>
  <c r="J31" i="12"/>
  <c r="I31" i="12"/>
  <c r="H31" i="12"/>
  <c r="G31" i="12"/>
  <c r="F31" i="12"/>
  <c r="E31" i="12"/>
  <c r="D31" i="12"/>
  <c r="C31" i="12"/>
  <c r="M30" i="12"/>
  <c r="L30" i="12"/>
  <c r="K30" i="12"/>
  <c r="J30" i="12"/>
  <c r="I30" i="12"/>
  <c r="H30" i="12"/>
  <c r="G30" i="12"/>
  <c r="F30" i="12"/>
  <c r="E30" i="12"/>
  <c r="D30" i="12"/>
  <c r="C30" i="12"/>
  <c r="M29" i="12"/>
  <c r="L29" i="12"/>
  <c r="K29" i="12"/>
  <c r="J29" i="12"/>
  <c r="I29" i="12"/>
  <c r="H29" i="12"/>
  <c r="G29" i="12"/>
  <c r="F29" i="12"/>
  <c r="E29" i="12"/>
  <c r="D29" i="12"/>
  <c r="C29" i="12"/>
  <c r="M28" i="12"/>
  <c r="L28" i="12"/>
  <c r="K28" i="12"/>
  <c r="J28" i="12"/>
  <c r="I28" i="12"/>
  <c r="H28" i="12"/>
  <c r="G28" i="12"/>
  <c r="F28" i="12"/>
  <c r="E28" i="12"/>
  <c r="D28" i="12"/>
  <c r="C28" i="12"/>
  <c r="M27" i="12"/>
  <c r="L27" i="12"/>
  <c r="K27" i="12"/>
  <c r="J27" i="12"/>
  <c r="I27" i="12"/>
  <c r="H27" i="12"/>
  <c r="G27" i="12"/>
  <c r="F27" i="12"/>
  <c r="E27" i="12"/>
  <c r="D27" i="12"/>
  <c r="C27" i="12"/>
  <c r="M26" i="12"/>
  <c r="L26" i="12"/>
  <c r="K26" i="12"/>
  <c r="J26" i="12"/>
  <c r="I26" i="12"/>
  <c r="H26" i="12"/>
  <c r="G26" i="12"/>
  <c r="F26" i="12"/>
  <c r="E26" i="12"/>
  <c r="D26" i="12"/>
  <c r="C26" i="12"/>
  <c r="M25" i="12"/>
  <c r="L25" i="12"/>
  <c r="K25" i="12"/>
  <c r="J25" i="12"/>
  <c r="I25" i="12"/>
  <c r="H25" i="12"/>
  <c r="G25" i="12"/>
  <c r="F25" i="12"/>
  <c r="E25" i="12"/>
  <c r="D25" i="12"/>
  <c r="C25" i="12"/>
  <c r="M24" i="12"/>
  <c r="L24" i="12"/>
  <c r="K24" i="12"/>
  <c r="J24" i="12"/>
  <c r="I24" i="12"/>
  <c r="H24" i="12"/>
  <c r="G24" i="12"/>
  <c r="F24" i="12"/>
  <c r="E24" i="12"/>
  <c r="D24" i="12"/>
  <c r="C24" i="12"/>
  <c r="M23" i="12"/>
  <c r="L23" i="12"/>
  <c r="K23" i="12"/>
  <c r="J23" i="12"/>
  <c r="I23" i="12"/>
  <c r="H23" i="12"/>
  <c r="G23" i="12"/>
  <c r="F23" i="12"/>
  <c r="E23" i="12"/>
  <c r="D23" i="12"/>
  <c r="C23" i="12"/>
  <c r="M22" i="12"/>
  <c r="L22" i="12"/>
  <c r="K22" i="12"/>
  <c r="J22" i="12"/>
  <c r="I22" i="12"/>
  <c r="H22" i="12"/>
  <c r="G22" i="12"/>
  <c r="F22" i="12"/>
  <c r="E22" i="12"/>
  <c r="D22" i="12"/>
  <c r="C22" i="12"/>
  <c r="M21" i="12"/>
  <c r="L21" i="12"/>
  <c r="K21" i="12"/>
  <c r="J21" i="12"/>
  <c r="I21" i="12"/>
  <c r="H21" i="12"/>
  <c r="G21" i="12"/>
  <c r="F21" i="12"/>
  <c r="E21" i="12"/>
  <c r="D21" i="12"/>
  <c r="C21" i="12"/>
  <c r="M20" i="12"/>
  <c r="L20" i="12"/>
  <c r="K20" i="12"/>
  <c r="J20" i="12"/>
  <c r="I20" i="12"/>
  <c r="H20" i="12"/>
  <c r="G20" i="12"/>
  <c r="F20" i="12"/>
  <c r="E20" i="12"/>
  <c r="D20" i="12"/>
  <c r="C20" i="12"/>
  <c r="M19" i="12"/>
  <c r="L19" i="12"/>
  <c r="K19" i="12"/>
  <c r="J19" i="12"/>
  <c r="I19" i="12"/>
  <c r="H19" i="12"/>
  <c r="G19" i="12"/>
  <c r="F19" i="12"/>
  <c r="E19" i="12"/>
  <c r="D19" i="12"/>
  <c r="C19" i="12"/>
  <c r="M18" i="12"/>
  <c r="L18" i="12"/>
  <c r="K18" i="12"/>
  <c r="J18" i="12"/>
  <c r="I18" i="12"/>
  <c r="H18" i="12"/>
  <c r="G18" i="12"/>
  <c r="F18" i="12"/>
  <c r="E18" i="12"/>
  <c r="D18" i="12"/>
  <c r="C18" i="12"/>
  <c r="M17" i="12"/>
  <c r="L17" i="12"/>
  <c r="K17" i="12"/>
  <c r="J17" i="12"/>
  <c r="I17" i="12"/>
  <c r="H17" i="12"/>
  <c r="G17" i="12"/>
  <c r="F17" i="12"/>
  <c r="E17" i="12"/>
  <c r="D17" i="12"/>
  <c r="C17" i="12"/>
  <c r="M16" i="12"/>
  <c r="M33" i="12"/>
  <c r="J89" i="12"/>
  <c r="L16" i="12"/>
  <c r="L33" i="12"/>
  <c r="I89" i="12"/>
  <c r="K16" i="12"/>
  <c r="K35" i="12"/>
  <c r="J16" i="12"/>
  <c r="J33" i="12"/>
  <c r="G89" i="12"/>
  <c r="J34" i="12"/>
  <c r="I16" i="12"/>
  <c r="H16" i="12"/>
  <c r="H33" i="12"/>
  <c r="E89" i="12"/>
  <c r="G16" i="12"/>
  <c r="F16" i="12"/>
  <c r="E16" i="12"/>
  <c r="D16" i="12"/>
  <c r="C16" i="12"/>
  <c r="G9" i="12"/>
  <c r="G56" i="12"/>
  <c r="F9" i="12"/>
  <c r="H9" i="12"/>
  <c r="L9" i="12"/>
  <c r="E9" i="12"/>
  <c r="E56" i="12"/>
  <c r="D9" i="12"/>
  <c r="D74" i="12"/>
  <c r="C9" i="12"/>
  <c r="C74" i="12"/>
  <c r="B9" i="12"/>
  <c r="B41" i="12"/>
  <c r="B56" i="12"/>
  <c r="AF101" i="12"/>
  <c r="AG67" i="12"/>
  <c r="AG89" i="12"/>
  <c r="AG48" i="12"/>
  <c r="AF102" i="12"/>
  <c r="AG52" i="12"/>
  <c r="AG38" i="12"/>
  <c r="AG41" i="12"/>
  <c r="AG31" i="12"/>
  <c r="AG27" i="12"/>
  <c r="AG23" i="12"/>
  <c r="AG19" i="12"/>
  <c r="AG15" i="12"/>
  <c r="AF75" i="12"/>
  <c r="AG68" i="12"/>
  <c r="AF53" i="12"/>
  <c r="AG42" i="12"/>
  <c r="AF86" i="12"/>
  <c r="AF44" i="12"/>
  <c r="AG66" i="12"/>
  <c r="AF35" i="12"/>
  <c r="AG20" i="12"/>
  <c r="AG75" i="12"/>
  <c r="AG98" i="12"/>
  <c r="AF87" i="12"/>
  <c r="AF29" i="12"/>
  <c r="AG95" i="12"/>
  <c r="AG71" i="12"/>
  <c r="AG62" i="12"/>
  <c r="AG58" i="12"/>
  <c r="AG84" i="12"/>
  <c r="AG65" i="12"/>
  <c r="AG61" i="12"/>
  <c r="AG57" i="12"/>
  <c r="AF42" i="12"/>
  <c r="AF68" i="12"/>
  <c r="AG64" i="12"/>
  <c r="AG60" i="12"/>
  <c r="AG56" i="12"/>
  <c r="AF67" i="12"/>
  <c r="AG46" i="12"/>
  <c r="AF80" i="12"/>
  <c r="AG59" i="12"/>
  <c r="AG35" i="12"/>
  <c r="AG78" i="12"/>
  <c r="AG51" i="12"/>
  <c r="AG45" i="12"/>
  <c r="AG44" i="12"/>
  <c r="AF28" i="12"/>
  <c r="AF61" i="12"/>
  <c r="AG94" i="12"/>
  <c r="AG103" i="12"/>
  <c r="AG92" i="12"/>
  <c r="AG88" i="12"/>
  <c r="AF78" i="12"/>
  <c r="AF77" i="12"/>
  <c r="AF72" i="12"/>
  <c r="AF85" i="12"/>
  <c r="AG54" i="12"/>
  <c r="AG63" i="12"/>
  <c r="AF14" i="12"/>
  <c r="AF79" i="12"/>
  <c r="AF59" i="12"/>
  <c r="AF63" i="12"/>
  <c r="AF20" i="12"/>
  <c r="AF81" i="12"/>
  <c r="AF45" i="12"/>
  <c r="AF37" i="12"/>
  <c r="AG91" i="12"/>
  <c r="AG16" i="12"/>
  <c r="AF23" i="12"/>
  <c r="AG101" i="12"/>
  <c r="AF60" i="12"/>
  <c r="AF34" i="12"/>
  <c r="AF103" i="12"/>
  <c r="AG85" i="12"/>
  <c r="AG72" i="12"/>
  <c r="AG33" i="12"/>
  <c r="AF88" i="12"/>
  <c r="AF74" i="12"/>
  <c r="AG102" i="12"/>
  <c r="AG99" i="12"/>
  <c r="AF55" i="12"/>
  <c r="AF51" i="12"/>
  <c r="AG49" i="12"/>
  <c r="AF90" i="12"/>
  <c r="AF36" i="12"/>
  <c r="AG22" i="12"/>
  <c r="AG40" i="12"/>
  <c r="AG25" i="12"/>
  <c r="AF95" i="12"/>
  <c r="AG79" i="12"/>
  <c r="AF91" i="12"/>
  <c r="AF25" i="12"/>
  <c r="AF32" i="12"/>
  <c r="AF21" i="12"/>
  <c r="AF57" i="12"/>
  <c r="AG86" i="12"/>
  <c r="AF93" i="12"/>
  <c r="AG96" i="12"/>
  <c r="AG90" i="12"/>
  <c r="AF76" i="12"/>
  <c r="AF50" i="12"/>
  <c r="AF22" i="12"/>
  <c r="AG14" i="12"/>
  <c r="AF66" i="12"/>
  <c r="AF26" i="12"/>
  <c r="AF96" i="12"/>
  <c r="AF49" i="12"/>
  <c r="AG76" i="12"/>
  <c r="AG50" i="12"/>
  <c r="AG73" i="12"/>
  <c r="AG36" i="12"/>
  <c r="AF89" i="12"/>
  <c r="AG17" i="12"/>
  <c r="AF30" i="12"/>
  <c r="AF43" i="12"/>
  <c r="AF19" i="12"/>
  <c r="AF83" i="12"/>
  <c r="AF46" i="12"/>
  <c r="AG34" i="12"/>
  <c r="AF58" i="12"/>
  <c r="AF100" i="12"/>
  <c r="AG97" i="12"/>
  <c r="AG47" i="12"/>
  <c r="AG104" i="12"/>
  <c r="AF84" i="12"/>
  <c r="AG77" i="12"/>
  <c r="AF24" i="12"/>
  <c r="AF70" i="12"/>
  <c r="AF94" i="12"/>
  <c r="AF52" i="12"/>
  <c r="AF18" i="12"/>
  <c r="AF56" i="12"/>
  <c r="AG28" i="12"/>
  <c r="AF17" i="12"/>
  <c r="AG83" i="12"/>
  <c r="AF33" i="12"/>
  <c r="AF98" i="12"/>
  <c r="AG32" i="12"/>
  <c r="AF47" i="12"/>
  <c r="AG100" i="12"/>
  <c r="AF97" i="12"/>
  <c r="AG93" i="12"/>
  <c r="AF40" i="12"/>
  <c r="AG80" i="12"/>
  <c r="AG18" i="12"/>
  <c r="AG70" i="12"/>
  <c r="AG21" i="12"/>
  <c r="AF92" i="12"/>
  <c r="AF104" i="12"/>
  <c r="AF48" i="12"/>
  <c r="AF64" i="12"/>
  <c r="AG24" i="12"/>
  <c r="AF38" i="12"/>
  <c r="AF65" i="12"/>
  <c r="AF99" i="12"/>
  <c r="AG69" i="12"/>
  <c r="AF62" i="12"/>
  <c r="AG82" i="12"/>
  <c r="AF82" i="12"/>
  <c r="AG39" i="12"/>
  <c r="AF15" i="12"/>
  <c r="AG74" i="12"/>
  <c r="AF41" i="12"/>
  <c r="AF27" i="12"/>
  <c r="AF31" i="12"/>
  <c r="AG37" i="12"/>
  <c r="AF16" i="12"/>
  <c r="AG43" i="12"/>
  <c r="AF39" i="12"/>
  <c r="AG29" i="12"/>
  <c r="AG53" i="12"/>
  <c r="AF71" i="12"/>
  <c r="AF73" i="12"/>
  <c r="AG81" i="12"/>
  <c r="AG30" i="12"/>
  <c r="AF69" i="12"/>
  <c r="AG55" i="12"/>
  <c r="AG87" i="12"/>
  <c r="AG26" i="12"/>
  <c r="AF54" i="12"/>
  <c r="H81" i="12"/>
  <c r="M81" i="12"/>
  <c r="M51" i="12"/>
  <c r="H66" i="12"/>
  <c r="E91" i="12"/>
  <c r="I69" i="12"/>
  <c r="K81" i="12"/>
  <c r="K83" i="12"/>
  <c r="M49" i="12"/>
  <c r="F41" i="12"/>
  <c r="K82" i="12"/>
  <c r="M50" i="12"/>
  <c r="I82" i="12"/>
  <c r="C15" i="12"/>
  <c r="H67" i="12"/>
  <c r="I80" i="12"/>
  <c r="F92" i="12"/>
  <c r="G15" i="12"/>
  <c r="J35" i="12"/>
  <c r="J67" i="12"/>
  <c r="M82" i="12"/>
  <c r="C56" i="12"/>
  <c r="L35" i="12"/>
  <c r="M67" i="12"/>
  <c r="M36" i="12"/>
  <c r="M69" i="12"/>
  <c r="M80" i="12"/>
  <c r="J92" i="12"/>
  <c r="I83" i="12"/>
  <c r="I35" i="12"/>
  <c r="I33" i="12"/>
  <c r="F89" i="12"/>
  <c r="I34" i="12"/>
  <c r="I36" i="12"/>
  <c r="L56" i="12"/>
  <c r="H80" i="12"/>
  <c r="E92" i="12"/>
  <c r="K34" i="12"/>
  <c r="L41" i="12"/>
  <c r="L50" i="12"/>
  <c r="L49" i="12"/>
  <c r="D56" i="12"/>
  <c r="D15" i="12"/>
  <c r="M34" i="12"/>
  <c r="E74" i="12"/>
  <c r="E41" i="12"/>
  <c r="I9" i="12"/>
  <c r="E15" i="12"/>
  <c r="L51" i="12"/>
  <c r="K68" i="12"/>
  <c r="K66" i="12"/>
  <c r="H91" i="12"/>
  <c r="K69" i="12"/>
  <c r="K67" i="12"/>
  <c r="B74" i="12"/>
  <c r="J51" i="12"/>
  <c r="J49" i="12"/>
  <c r="K51" i="12"/>
  <c r="K49" i="12"/>
  <c r="K50" i="12"/>
  <c r="K48" i="12"/>
  <c r="H90" i="12"/>
  <c r="K9" i="12"/>
  <c r="F74" i="12"/>
  <c r="M9" i="12"/>
  <c r="J48" i="12"/>
  <c r="G90" i="12"/>
  <c r="L69" i="12"/>
  <c r="L67" i="12"/>
  <c r="L66" i="12"/>
  <c r="I91" i="12"/>
  <c r="L82" i="12"/>
  <c r="L80" i="12"/>
  <c r="I92" i="12"/>
  <c r="L83" i="12"/>
  <c r="L81" i="12"/>
  <c r="K33" i="12"/>
  <c r="H89" i="12"/>
  <c r="K36" i="12"/>
  <c r="D41" i="12"/>
  <c r="H48" i="12"/>
  <c r="E90" i="12"/>
  <c r="H51" i="12"/>
  <c r="H50" i="12"/>
  <c r="L48" i="12"/>
  <c r="I90" i="12"/>
  <c r="J50" i="12"/>
  <c r="L68" i="12"/>
  <c r="H36" i="12"/>
  <c r="H34" i="12"/>
  <c r="H35" i="12"/>
  <c r="J82" i="12"/>
  <c r="J81" i="12"/>
  <c r="J83" i="12"/>
  <c r="G74" i="12"/>
  <c r="G41" i="12"/>
  <c r="M68" i="12"/>
  <c r="C41" i="12"/>
  <c r="I68" i="12"/>
  <c r="I66" i="12"/>
  <c r="F91" i="12"/>
  <c r="H74" i="12"/>
  <c r="K15" i="12"/>
  <c r="I56" i="12"/>
  <c r="G26" i="5"/>
  <c r="F26" i="5"/>
  <c r="H26" i="5"/>
  <c r="I26" i="5"/>
  <c r="E26" i="5"/>
  <c r="J26" i="5"/>
  <c r="K26" i="5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2" i="2"/>
  <c r="Y3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Y2" i="2"/>
  <c r="V2" i="2"/>
  <c r="S2" i="2"/>
  <c r="Q2" i="2"/>
  <c r="O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2" i="2"/>
  <c r="B9" i="4"/>
  <c r="B74" i="4"/>
  <c r="B41" i="4"/>
  <c r="C9" i="4"/>
  <c r="C41" i="4"/>
  <c r="D9" i="4"/>
  <c r="D56" i="4"/>
  <c r="D41" i="4"/>
  <c r="E9" i="4"/>
  <c r="E56" i="4"/>
  <c r="F9" i="4"/>
  <c r="F15" i="4"/>
  <c r="G9" i="4"/>
  <c r="G56" i="4"/>
  <c r="C96" i="4"/>
  <c r="D15" i="4"/>
  <c r="D89" i="4"/>
  <c r="D90" i="4"/>
  <c r="D91" i="4"/>
  <c r="D92" i="4"/>
  <c r="AH26" i="4"/>
  <c r="AG83" i="4"/>
  <c r="AH63" i="4"/>
  <c r="AH140" i="4"/>
  <c r="AH32" i="4"/>
  <c r="AH113" i="4"/>
  <c r="AG51" i="4"/>
  <c r="AH31" i="4"/>
  <c r="AH118" i="4"/>
  <c r="AG189" i="4"/>
  <c r="AH219" i="4"/>
  <c r="AH48" i="4"/>
  <c r="AG59" i="4"/>
  <c r="AG93" i="4"/>
  <c r="AH20" i="4"/>
  <c r="AH82" i="4"/>
  <c r="AH22" i="4"/>
  <c r="AH50" i="4"/>
  <c r="AG96" i="4"/>
  <c r="AH55" i="4"/>
  <c r="AH124" i="4"/>
  <c r="AG91" i="4"/>
  <c r="AG75" i="4"/>
  <c r="AH109" i="4"/>
  <c r="AH187" i="4"/>
  <c r="AG38" i="4"/>
  <c r="AH105" i="4"/>
  <c r="AH152" i="4"/>
  <c r="AG170" i="4"/>
  <c r="AH16" i="4"/>
  <c r="AG61" i="4"/>
  <c r="AH92" i="4"/>
  <c r="AG26" i="4"/>
  <c r="AH17" i="4"/>
  <c r="AG77" i="4"/>
  <c r="AH84" i="4"/>
  <c r="AG20" i="4"/>
  <c r="AH89" i="4"/>
  <c r="AG99" i="4"/>
  <c r="AH198" i="4"/>
  <c r="AG89" i="4"/>
  <c r="AG152" i="4"/>
  <c r="AG212" i="4"/>
  <c r="AH73" i="4"/>
  <c r="AG73" i="4"/>
  <c r="AH18" i="4"/>
  <c r="AH175" i="4"/>
  <c r="AH42" i="4"/>
  <c r="AG21" i="4"/>
  <c r="AG107" i="4"/>
  <c r="AH25" i="4"/>
  <c r="AG71" i="4"/>
  <c r="AG131" i="4"/>
  <c r="AG33" i="4"/>
  <c r="AG53" i="4"/>
  <c r="AG102" i="4"/>
  <c r="AG98" i="4"/>
  <c r="AH52" i="4"/>
  <c r="AG57" i="4"/>
  <c r="AH119" i="4"/>
  <c r="AG210" i="4"/>
  <c r="AH101" i="4"/>
  <c r="AG74" i="4"/>
  <c r="AG205" i="4"/>
  <c r="AG118" i="4"/>
  <c r="AG22" i="4"/>
  <c r="AG29" i="4"/>
  <c r="AH37" i="4"/>
  <c r="AG109" i="4"/>
  <c r="AG84" i="4"/>
  <c r="AH21" i="4"/>
  <c r="AG18" i="4"/>
  <c r="AH123" i="4"/>
  <c r="AG103" i="4"/>
  <c r="AH218" i="4"/>
  <c r="AG191" i="4"/>
  <c r="AH39" i="4"/>
  <c r="AG44" i="4"/>
  <c r="AH131" i="4"/>
  <c r="AG101" i="4"/>
  <c r="AH24" i="4"/>
  <c r="AH74" i="4"/>
  <c r="AG190" i="4"/>
  <c r="AG177" i="4"/>
  <c r="AH173" i="4"/>
  <c r="AH128" i="4"/>
  <c r="AG141" i="4"/>
  <c r="AG194" i="4"/>
  <c r="AG17" i="4"/>
  <c r="AG185" i="4"/>
  <c r="AG151" i="4"/>
  <c r="AH130" i="4"/>
  <c r="AH95" i="4"/>
  <c r="AH216" i="4"/>
  <c r="AG162" i="4"/>
  <c r="AH69" i="4"/>
  <c r="AG119" i="4"/>
  <c r="AH195" i="4"/>
  <c r="AH161" i="4"/>
  <c r="AH151" i="4"/>
  <c r="AH34" i="4"/>
  <c r="AG130" i="4"/>
  <c r="AH179" i="4"/>
  <c r="AG192" i="4"/>
  <c r="AG114" i="4"/>
  <c r="AH133" i="4"/>
  <c r="AH40" i="4"/>
  <c r="AG100" i="4"/>
  <c r="AH220" i="4"/>
  <c r="AG85" i="4"/>
  <c r="AH77" i="4"/>
  <c r="AG215" i="4"/>
  <c r="AG16" i="4"/>
  <c r="AH68" i="4"/>
  <c r="AH56" i="4"/>
  <c r="AH79" i="4"/>
  <c r="AH97" i="4"/>
  <c r="AG106" i="4"/>
  <c r="AG214" i="4"/>
  <c r="AG126" i="4"/>
  <c r="AG110" i="4"/>
  <c r="AG181" i="4"/>
  <c r="AG68" i="4"/>
  <c r="AH199" i="4"/>
  <c r="AG149" i="4"/>
  <c r="AH194" i="4"/>
  <c r="AG37" i="4"/>
  <c r="AH87" i="4"/>
  <c r="AH172" i="4"/>
  <c r="AG187" i="4"/>
  <c r="AG69" i="4"/>
  <c r="AH99" i="4"/>
  <c r="AH162" i="4"/>
  <c r="AH115" i="4"/>
  <c r="AG172" i="4"/>
  <c r="AH75" i="4"/>
  <c r="AH214" i="4"/>
  <c r="AG176" i="4"/>
  <c r="AG64" i="4"/>
  <c r="AG34" i="4"/>
  <c r="AG129" i="4"/>
  <c r="AG179" i="4"/>
  <c r="AG142" i="4"/>
  <c r="AH43" i="4"/>
  <c r="AH201" i="4"/>
  <c r="AH80" i="4"/>
  <c r="AH70" i="4"/>
  <c r="AG30" i="4"/>
  <c r="AG72" i="4"/>
  <c r="AG138" i="4"/>
  <c r="AH29" i="4"/>
  <c r="AG163" i="4"/>
  <c r="AH189" i="4"/>
  <c r="AG31" i="4"/>
  <c r="AH27" i="4"/>
  <c r="AH90" i="4"/>
  <c r="AH182" i="4"/>
  <c r="AH169" i="4"/>
  <c r="AG56" i="4"/>
  <c r="AH190" i="4"/>
  <c r="AH114" i="4"/>
  <c r="AG25" i="4"/>
  <c r="AG122" i="4"/>
  <c r="AG120" i="4"/>
  <c r="AH206" i="4"/>
  <c r="AG95" i="4"/>
  <c r="AH14" i="4"/>
  <c r="AG219" i="4"/>
  <c r="AH215" i="4"/>
  <c r="AH106" i="4"/>
  <c r="AG94" i="4"/>
  <c r="AG76" i="4"/>
  <c r="AG186" i="4"/>
  <c r="AG209" i="4"/>
  <c r="AG218" i="4"/>
  <c r="AG108" i="4"/>
  <c r="AH41" i="4"/>
  <c r="AH136" i="4"/>
  <c r="AG182" i="4"/>
  <c r="AG178" i="4"/>
  <c r="AG137" i="4"/>
  <c r="AH166" i="4"/>
  <c r="AG159" i="4"/>
  <c r="AH159" i="4"/>
  <c r="AH174" i="4"/>
  <c r="AH160" i="4"/>
  <c r="AH170" i="4"/>
  <c r="AH139" i="4"/>
  <c r="AG196" i="4"/>
  <c r="AG60" i="4"/>
  <c r="AH203" i="4"/>
  <c r="AG66" i="4"/>
  <c r="AG161" i="4"/>
  <c r="AG32" i="4"/>
  <c r="AG217" i="4"/>
  <c r="AH23" i="4"/>
  <c r="AG55" i="4"/>
  <c r="AG90" i="4"/>
  <c r="AH150" i="4"/>
  <c r="AG208" i="4"/>
  <c r="AH125" i="4"/>
  <c r="AH196" i="4"/>
  <c r="AH137" i="4"/>
  <c r="AH19" i="4"/>
  <c r="AH36" i="4"/>
  <c r="AG48" i="4"/>
  <c r="AH38" i="4"/>
  <c r="AG81" i="4"/>
  <c r="AH110" i="4"/>
  <c r="AH88" i="4"/>
  <c r="AH65" i="4"/>
  <c r="AG49" i="4"/>
  <c r="AH47" i="4"/>
  <c r="AH191" i="4"/>
  <c r="AG45" i="4"/>
  <c r="AG70" i="4"/>
  <c r="AH28" i="4"/>
  <c r="AG184" i="4"/>
  <c r="AH148" i="4"/>
  <c r="AH127" i="4"/>
  <c r="AH163" i="4"/>
  <c r="AH165" i="4"/>
  <c r="AH126" i="4"/>
  <c r="AG23" i="4"/>
  <c r="AG153" i="4"/>
  <c r="AH85" i="4"/>
  <c r="AG169" i="4"/>
  <c r="AH180" i="4"/>
  <c r="AG134" i="4"/>
  <c r="AG39" i="4"/>
  <c r="AG27" i="4"/>
  <c r="AG92" i="4"/>
  <c r="AH144" i="4"/>
  <c r="AG35" i="4"/>
  <c r="AH33" i="4"/>
  <c r="AH135" i="4"/>
  <c r="AH71" i="4"/>
  <c r="AH61" i="4"/>
  <c r="AH145" i="4"/>
  <c r="AH104" i="4"/>
  <c r="AG198" i="4"/>
  <c r="AH132" i="4"/>
  <c r="AH183" i="4"/>
  <c r="AG80" i="4"/>
  <c r="AG47" i="4"/>
  <c r="AH102" i="4"/>
  <c r="AH185" i="4"/>
  <c r="AH210" i="4"/>
  <c r="AG133" i="4"/>
  <c r="AH221" i="4"/>
  <c r="AH154" i="4"/>
  <c r="AH147" i="4"/>
  <c r="AH134" i="4"/>
  <c r="AG54" i="4"/>
  <c r="AH121" i="4"/>
  <c r="AG155" i="4"/>
  <c r="AH120" i="4"/>
  <c r="AG97" i="4"/>
  <c r="AG115" i="4"/>
  <c r="AG112" i="4"/>
  <c r="AG62" i="4"/>
  <c r="AH178" i="4"/>
  <c r="AH112" i="4"/>
  <c r="AG150" i="4"/>
  <c r="AH116" i="4"/>
  <c r="AG63" i="4"/>
  <c r="AG135" i="4"/>
  <c r="AH44" i="4"/>
  <c r="AG46" i="4"/>
  <c r="AH54" i="4"/>
  <c r="AG164" i="4"/>
  <c r="AH111" i="4"/>
  <c r="AH171" i="4"/>
  <c r="AG52" i="4"/>
  <c r="AH146" i="4"/>
  <c r="AG213" i="4"/>
  <c r="AH188" i="4"/>
  <c r="AH167" i="4"/>
  <c r="AG180" i="4"/>
  <c r="AG199" i="4"/>
  <c r="AH177" i="4"/>
  <c r="AG42" i="4"/>
  <c r="AG43" i="4"/>
  <c r="AH186" i="4"/>
  <c r="AH107" i="4"/>
  <c r="AG148" i="4"/>
  <c r="AH204" i="4"/>
  <c r="AH212" i="4"/>
  <c r="AG211" i="4"/>
  <c r="AH83" i="4"/>
  <c r="AH108" i="4"/>
  <c r="AH15" i="4"/>
  <c r="AG145" i="4"/>
  <c r="AG125" i="4"/>
  <c r="AG157" i="4"/>
  <c r="AG195" i="4"/>
  <c r="AG165" i="4"/>
  <c r="AH142" i="4"/>
  <c r="AH184" i="4"/>
  <c r="AG82" i="4"/>
  <c r="AG221" i="4"/>
  <c r="AG104" i="4"/>
  <c r="AG156" i="4"/>
  <c r="AH211" i="4"/>
  <c r="AG128" i="4"/>
  <c r="AG14" i="4"/>
  <c r="AH60" i="4"/>
  <c r="AG136" i="4"/>
  <c r="AH103" i="4"/>
  <c r="AH49" i="4"/>
  <c r="AH94" i="4"/>
  <c r="AH46" i="4"/>
  <c r="AH45" i="4"/>
  <c r="AH176" i="4"/>
  <c r="AH64" i="4"/>
  <c r="AG139" i="4"/>
  <c r="AH62" i="4"/>
  <c r="AG79" i="4"/>
  <c r="AG86" i="4"/>
  <c r="AH96" i="4"/>
  <c r="AH129" i="4"/>
  <c r="AG19" i="4"/>
  <c r="AH66" i="4"/>
  <c r="AG28" i="4"/>
  <c r="AG200" i="4"/>
  <c r="AG116" i="4"/>
  <c r="AG113" i="4"/>
  <c r="AG201" i="4"/>
  <c r="AH192" i="4"/>
  <c r="AH209" i="4"/>
  <c r="AG167" i="4"/>
  <c r="AH78" i="4"/>
  <c r="AH30" i="4"/>
  <c r="AG171" i="4"/>
  <c r="AG143" i="4"/>
  <c r="AG160" i="4"/>
  <c r="AH98" i="4"/>
  <c r="AG183" i="4"/>
  <c r="AG140" i="4"/>
  <c r="AG193" i="4"/>
  <c r="AH193" i="4"/>
  <c r="AH164" i="4"/>
  <c r="AH208" i="4"/>
  <c r="AG87" i="4"/>
  <c r="AH53" i="4"/>
  <c r="AG127" i="4"/>
  <c r="AH156" i="4"/>
  <c r="AH207" i="4"/>
  <c r="AH100" i="4"/>
  <c r="AG58" i="4"/>
  <c r="AG147" i="4"/>
  <c r="AG220" i="4"/>
  <c r="AG188" i="4"/>
  <c r="AH76" i="4"/>
  <c r="AG132" i="4"/>
  <c r="AG105" i="4"/>
  <c r="AH141" i="4"/>
  <c r="AG173" i="4"/>
  <c r="AG154" i="4"/>
  <c r="AH138" i="4"/>
  <c r="AG216" i="4"/>
  <c r="AH35" i="4"/>
  <c r="AH57" i="4"/>
  <c r="AH67" i="4"/>
  <c r="AG36" i="4"/>
  <c r="AG111" i="4"/>
  <c r="AH72" i="4"/>
  <c r="AH51" i="4"/>
  <c r="AG146" i="4"/>
  <c r="AG207" i="4"/>
  <c r="AG158" i="4"/>
  <c r="AG168" i="4"/>
  <c r="AG121" i="4"/>
  <c r="AH149" i="4"/>
  <c r="AH157" i="4"/>
  <c r="AH202" i="4"/>
  <c r="AH59" i="4"/>
  <c r="AG40" i="4"/>
  <c r="AG88" i="4"/>
  <c r="AH155" i="4"/>
  <c r="AH58" i="4"/>
  <c r="AG78" i="4"/>
  <c r="AG41" i="4"/>
  <c r="AH117" i="4"/>
  <c r="AG50" i="4"/>
  <c r="AG197" i="4"/>
  <c r="AH153" i="4"/>
  <c r="AH197" i="4"/>
  <c r="AH122" i="4"/>
  <c r="AH158" i="4"/>
  <c r="AH205" i="4"/>
  <c r="AG123" i="4"/>
  <c r="AG65" i="4"/>
  <c r="AH200" i="4"/>
  <c r="AG15" i="4"/>
  <c r="AH81" i="4"/>
  <c r="AG174" i="4"/>
  <c r="AG202" i="4"/>
  <c r="AH181" i="4"/>
  <c r="AG67" i="4"/>
  <c r="AH217" i="4"/>
  <c r="AH91" i="4"/>
  <c r="AG144" i="4"/>
  <c r="AG203" i="4"/>
  <c r="AG117" i="4"/>
  <c r="AG175" i="4"/>
  <c r="AH93" i="4"/>
  <c r="AG124" i="4"/>
  <c r="AG204" i="4"/>
  <c r="AH168" i="4"/>
  <c r="AH143" i="4"/>
  <c r="AG166" i="4"/>
  <c r="AG24" i="4"/>
  <c r="AG206" i="4"/>
  <c r="AH213" i="4"/>
  <c r="AH86" i="4"/>
  <c r="J76" i="4"/>
  <c r="K26" i="4"/>
  <c r="C61" i="4"/>
  <c r="J20" i="4"/>
  <c r="M16" i="4"/>
  <c r="M36" i="4"/>
  <c r="L77" i="4"/>
  <c r="H76" i="4"/>
  <c r="K42" i="4"/>
  <c r="K78" i="4"/>
  <c r="H62" i="4"/>
  <c r="I19" i="4"/>
  <c r="I65" i="4"/>
  <c r="J63" i="4"/>
  <c r="J42" i="4"/>
  <c r="J50" i="4"/>
  <c r="H21" i="4"/>
  <c r="H17" i="4"/>
  <c r="H46" i="4"/>
  <c r="C60" i="4"/>
  <c r="K47" i="4"/>
  <c r="H30" i="4"/>
  <c r="H22" i="4"/>
  <c r="H57" i="4"/>
  <c r="H67" i="4"/>
  <c r="J78" i="4"/>
  <c r="F31" i="4"/>
  <c r="C22" i="4"/>
  <c r="L47" i="4"/>
  <c r="J57" i="4"/>
  <c r="I76" i="4"/>
  <c r="C17" i="4"/>
  <c r="I24" i="4"/>
  <c r="C118" i="4"/>
  <c r="I21" i="4"/>
  <c r="M20" i="4"/>
  <c r="C117" i="4"/>
  <c r="G42" i="4"/>
  <c r="E15" i="4"/>
  <c r="I64" i="4"/>
  <c r="J23" i="4"/>
  <c r="J22" i="4"/>
  <c r="L59" i="4"/>
  <c r="H58" i="4"/>
  <c r="H60" i="4"/>
  <c r="H27" i="4"/>
  <c r="H32" i="4"/>
  <c r="L30" i="4"/>
  <c r="I75" i="4"/>
  <c r="G47" i="4"/>
  <c r="D76" i="4"/>
  <c r="E16" i="4"/>
  <c r="E76" i="4"/>
  <c r="D16" i="4"/>
  <c r="J65" i="4"/>
  <c r="J30" i="4"/>
  <c r="I25" i="4"/>
  <c r="K22" i="4"/>
  <c r="H45" i="4"/>
  <c r="D22" i="4"/>
  <c r="C120" i="4"/>
  <c r="F76" i="4"/>
  <c r="C74" i="4"/>
  <c r="E60" i="4"/>
  <c r="C56" i="4"/>
  <c r="L42" i="4"/>
  <c r="G31" i="4"/>
  <c r="D21" i="4"/>
  <c r="F17" i="4"/>
  <c r="C16" i="4"/>
  <c r="D42" i="4"/>
  <c r="C30" i="4"/>
  <c r="F42" i="4"/>
  <c r="L16" i="4"/>
  <c r="L34" i="4"/>
  <c r="K30" i="4"/>
  <c r="C106" i="4"/>
  <c r="G75" i="4"/>
  <c r="G63" i="4"/>
  <c r="C46" i="4"/>
  <c r="E41" i="4"/>
  <c r="K16" i="4"/>
  <c r="C15" i="4"/>
  <c r="I78" i="4"/>
  <c r="H61" i="4"/>
  <c r="L24" i="4"/>
  <c r="I22" i="4"/>
  <c r="M57" i="4"/>
  <c r="C107" i="4"/>
  <c r="M24" i="4"/>
  <c r="K59" i="4"/>
  <c r="I18" i="4"/>
  <c r="C98" i="4"/>
  <c r="F63" i="4"/>
  <c r="D44" i="4"/>
  <c r="G18" i="4"/>
  <c r="F16" i="4"/>
  <c r="B15" i="4"/>
  <c r="I47" i="4"/>
  <c r="I29" i="4"/>
  <c r="M28" i="4"/>
  <c r="M22" i="4"/>
  <c r="L57" i="4"/>
  <c r="F47" i="4"/>
  <c r="K18" i="4"/>
  <c r="I9" i="4"/>
  <c r="H78" i="4"/>
  <c r="E75" i="4"/>
  <c r="C97" i="4"/>
  <c r="G78" i="4"/>
  <c r="E74" i="4"/>
  <c r="G62" i="4"/>
  <c r="L43" i="4"/>
  <c r="G23" i="4"/>
  <c r="I77" i="4"/>
  <c r="J58" i="4"/>
  <c r="G30" i="4"/>
  <c r="F24" i="4"/>
  <c r="I23" i="4"/>
  <c r="G74" i="4"/>
  <c r="G15" i="4"/>
  <c r="G41" i="4"/>
  <c r="C119" i="4"/>
  <c r="F78" i="4"/>
  <c r="F46" i="4"/>
  <c r="D30" i="4"/>
  <c r="M26" i="4"/>
  <c r="E24" i="4"/>
  <c r="I27" i="4"/>
  <c r="E21" i="4"/>
  <c r="G22" i="4"/>
  <c r="K24" i="4"/>
  <c r="C27" i="4"/>
  <c r="E28" i="4"/>
  <c r="F29" i="4"/>
  <c r="C43" i="4"/>
  <c r="F44" i="4"/>
  <c r="F45" i="4"/>
  <c r="C58" i="4"/>
  <c r="C59" i="4"/>
  <c r="F60" i="4"/>
  <c r="G76" i="4"/>
  <c r="J77" i="4"/>
  <c r="L78" i="4"/>
  <c r="C99" i="4"/>
  <c r="C110" i="4"/>
  <c r="C121" i="4"/>
  <c r="F26" i="4"/>
  <c r="L29" i="4"/>
  <c r="C47" i="4"/>
  <c r="F57" i="4"/>
  <c r="D63" i="4"/>
  <c r="E79" i="4"/>
  <c r="C113" i="4"/>
  <c r="D24" i="4"/>
  <c r="E47" i="4"/>
  <c r="I58" i="4"/>
  <c r="G64" i="4"/>
  <c r="C19" i="4"/>
  <c r="E20" i="4"/>
  <c r="F21" i="4"/>
  <c r="C26" i="4"/>
  <c r="D27" i="4"/>
  <c r="G28" i="4"/>
  <c r="G29" i="4"/>
  <c r="M32" i="4"/>
  <c r="D43" i="4"/>
  <c r="G44" i="4"/>
  <c r="M47" i="4"/>
  <c r="D58" i="4"/>
  <c r="F59" i="4"/>
  <c r="G60" i="4"/>
  <c r="J62" i="4"/>
  <c r="D65" i="4"/>
  <c r="C79" i="4"/>
  <c r="L79" i="4"/>
  <c r="C100" i="4"/>
  <c r="C111" i="4"/>
  <c r="C112" i="4"/>
  <c r="E19" i="4"/>
  <c r="C25" i="4"/>
  <c r="D32" i="4"/>
  <c r="L61" i="4"/>
  <c r="G65" i="4"/>
  <c r="F18" i="4"/>
  <c r="L22" i="4"/>
  <c r="G26" i="4"/>
  <c r="D31" i="4"/>
  <c r="L44" i="4"/>
  <c r="J59" i="4"/>
  <c r="E63" i="4"/>
  <c r="C18" i="4"/>
  <c r="D19" i="4"/>
  <c r="G20" i="4"/>
  <c r="G21" i="4"/>
  <c r="E26" i="4"/>
  <c r="E27" i="4"/>
  <c r="H28" i="4"/>
  <c r="C32" i="4"/>
  <c r="G43" i="4"/>
  <c r="H44" i="4"/>
  <c r="K45" i="4"/>
  <c r="D57" i="4"/>
  <c r="E58" i="4"/>
  <c r="M62" i="4"/>
  <c r="C64" i="4"/>
  <c r="F65" i="4"/>
  <c r="D79" i="4"/>
  <c r="C101" i="4"/>
  <c r="E18" i="4"/>
  <c r="C24" i="4"/>
  <c r="F58" i="4"/>
  <c r="D64" i="4"/>
  <c r="D78" i="4"/>
  <c r="C105" i="4"/>
  <c r="L21" i="4"/>
  <c r="F25" i="4"/>
  <c r="E32" i="4"/>
  <c r="G57" i="4"/>
  <c r="H65" i="4"/>
  <c r="E62" i="4"/>
  <c r="E45" i="4"/>
  <c r="E29" i="4"/>
  <c r="F23" i="4"/>
  <c r="C109" i="4"/>
  <c r="G79" i="4"/>
  <c r="D77" i="4"/>
  <c r="E61" i="4"/>
  <c r="D45" i="4"/>
  <c r="F32" i="4"/>
  <c r="D29" i="4"/>
  <c r="D23" i="4"/>
  <c r="G77" i="4"/>
  <c r="H26" i="4"/>
  <c r="C108" i="4"/>
  <c r="F79" i="4"/>
  <c r="C77" i="4"/>
  <c r="D61" i="4"/>
  <c r="C45" i="4"/>
  <c r="H31" i="4"/>
  <c r="M58" i="4"/>
  <c r="E42" i="4"/>
  <c r="K23" i="4"/>
  <c r="M60" i="4"/>
  <c r="K9" i="4"/>
  <c r="K15" i="4"/>
  <c r="J79" i="4"/>
  <c r="J25" i="4"/>
  <c r="J21" i="4"/>
  <c r="G16" i="4"/>
  <c r="D17" i="4"/>
  <c r="L17" i="4"/>
  <c r="F19" i="4"/>
  <c r="C20" i="4"/>
  <c r="E22" i="4"/>
  <c r="G24" i="4"/>
  <c r="D25" i="4"/>
  <c r="L25" i="4"/>
  <c r="F27" i="4"/>
  <c r="C28" i="4"/>
  <c r="E30" i="4"/>
  <c r="M30" i="4"/>
  <c r="G32" i="4"/>
  <c r="E43" i="4"/>
  <c r="G45" i="4"/>
  <c r="D46" i="4"/>
  <c r="L46" i="4"/>
  <c r="G58" i="4"/>
  <c r="D59" i="4"/>
  <c r="F61" i="4"/>
  <c r="C62" i="4"/>
  <c r="E64" i="4"/>
  <c r="M64" i="4"/>
  <c r="C75" i="4"/>
  <c r="E77" i="4"/>
  <c r="M77" i="4"/>
  <c r="E17" i="4"/>
  <c r="G19" i="4"/>
  <c r="D20" i="4"/>
  <c r="F22" i="4"/>
  <c r="C23" i="4"/>
  <c r="E25" i="4"/>
  <c r="J26" i="4"/>
  <c r="G27" i="4"/>
  <c r="D28" i="4"/>
  <c r="L28" i="4"/>
  <c r="F30" i="4"/>
  <c r="C31" i="4"/>
  <c r="I42" i="4"/>
  <c r="F43" i="4"/>
  <c r="C44" i="4"/>
  <c r="E46" i="4"/>
  <c r="J47" i="4"/>
  <c r="C57" i="4"/>
  <c r="K57" i="4"/>
  <c r="E59" i="4"/>
  <c r="J60" i="4"/>
  <c r="G61" i="4"/>
  <c r="D62" i="4"/>
  <c r="F64" i="4"/>
  <c r="C65" i="4"/>
  <c r="D75" i="4"/>
  <c r="L75" i="4"/>
  <c r="L82" i="4"/>
  <c r="F77" i="4"/>
  <c r="C78" i="4"/>
  <c r="G17" i="4"/>
  <c r="D18" i="4"/>
  <c r="F20" i="4"/>
  <c r="C21" i="4"/>
  <c r="E23" i="4"/>
  <c r="J24" i="4"/>
  <c r="G25" i="4"/>
  <c r="D26" i="4"/>
  <c r="F28" i="4"/>
  <c r="C29" i="4"/>
  <c r="E31" i="4"/>
  <c r="J32" i="4"/>
  <c r="C42" i="4"/>
  <c r="E44" i="4"/>
  <c r="J45" i="4"/>
  <c r="G46" i="4"/>
  <c r="D47" i="4"/>
  <c r="E57" i="4"/>
  <c r="G59" i="4"/>
  <c r="D60" i="4"/>
  <c r="F62" i="4"/>
  <c r="C63" i="4"/>
  <c r="E65" i="4"/>
  <c r="F75" i="4"/>
  <c r="C76" i="4"/>
  <c r="H77" i="4"/>
  <c r="E78" i="4"/>
  <c r="K65" i="4"/>
  <c r="M65" i="4"/>
  <c r="K63" i="4"/>
  <c r="M27" i="4"/>
  <c r="I16" i="4"/>
  <c r="L65" i="4"/>
  <c r="K79" i="4"/>
  <c r="M29" i="4"/>
  <c r="L27" i="4"/>
  <c r="K61" i="4"/>
  <c r="M25" i="4"/>
  <c r="L23" i="4"/>
  <c r="K43" i="4"/>
  <c r="M21" i="4"/>
  <c r="J18" i="4"/>
  <c r="K44" i="4"/>
  <c r="H23" i="4"/>
  <c r="I28" i="4"/>
  <c r="M42" i="4"/>
  <c r="M51" i="4"/>
  <c r="K77" i="4"/>
  <c r="K28" i="4"/>
  <c r="M45" i="4"/>
  <c r="L32" i="4"/>
  <c r="K62" i="4"/>
  <c r="L62" i="4"/>
  <c r="K32" i="4"/>
  <c r="H64" i="4"/>
  <c r="H20" i="4"/>
  <c r="H59" i="4"/>
  <c r="L45" i="4"/>
  <c r="L49" i="4"/>
  <c r="J27" i="4"/>
  <c r="I31" i="4"/>
  <c r="H18" i="4"/>
  <c r="H43" i="4"/>
  <c r="L26" i="4"/>
  <c r="H24" i="4"/>
  <c r="I60" i="4"/>
  <c r="L18" i="4"/>
  <c r="K64" i="4"/>
  <c r="H75" i="4"/>
  <c r="J16" i="4"/>
  <c r="L31" i="4"/>
  <c r="M76" i="4"/>
  <c r="H79" i="4"/>
  <c r="H29" i="4"/>
  <c r="I59" i="4"/>
  <c r="I30" i="4"/>
  <c r="H63" i="4"/>
  <c r="I44" i="4"/>
  <c r="H47" i="4"/>
  <c r="J28" i="4"/>
  <c r="I63" i="4"/>
  <c r="J44" i="4"/>
  <c r="I20" i="4"/>
  <c r="I45" i="4"/>
  <c r="I32" i="4"/>
  <c r="K76" i="4"/>
  <c r="J31" i="4"/>
  <c r="L64" i="4"/>
  <c r="H19" i="4"/>
  <c r="I61" i="4"/>
  <c r="I43" i="4"/>
  <c r="I46" i="4"/>
  <c r="I17" i="4"/>
  <c r="H25" i="4"/>
  <c r="L60" i="4"/>
  <c r="M44" i="4"/>
  <c r="L76" i="4"/>
  <c r="L83" i="4"/>
  <c r="M31" i="4"/>
  <c r="K29" i="4"/>
  <c r="M23" i="4"/>
  <c r="M59" i="4"/>
  <c r="L20" i="4"/>
  <c r="M43" i="4"/>
  <c r="J64" i="4"/>
  <c r="J61" i="4"/>
  <c r="J43" i="4"/>
  <c r="M18" i="4"/>
  <c r="H16" i="4"/>
  <c r="J19" i="4"/>
  <c r="I79" i="4"/>
  <c r="I81" i="4"/>
  <c r="K46" i="4"/>
  <c r="M46" i="4"/>
  <c r="H42" i="4"/>
  <c r="I57" i="4"/>
  <c r="I67" i="4"/>
  <c r="I62" i="4"/>
  <c r="M78" i="4"/>
  <c r="I26" i="4"/>
  <c r="K20" i="4"/>
  <c r="J29" i="4"/>
  <c r="K25" i="4"/>
  <c r="K27" i="4"/>
  <c r="K19" i="4"/>
  <c r="K58" i="4"/>
  <c r="K31" i="4"/>
  <c r="M75" i="4"/>
  <c r="M82" i="4"/>
  <c r="J17" i="4"/>
  <c r="J75" i="4"/>
  <c r="J81" i="4"/>
  <c r="K60" i="4"/>
  <c r="M19" i="4"/>
  <c r="K17" i="4"/>
  <c r="K75" i="4"/>
  <c r="K83" i="4"/>
  <c r="K41" i="4"/>
  <c r="M79" i="4"/>
  <c r="J46" i="4"/>
  <c r="M61" i="4"/>
  <c r="L58" i="4"/>
  <c r="L19" i="4"/>
  <c r="K21" i="4"/>
  <c r="M17" i="4"/>
  <c r="M63" i="4"/>
  <c r="L63" i="4"/>
  <c r="K51" i="4"/>
  <c r="J67" i="4"/>
  <c r="H81" i="4"/>
  <c r="L48" i="4"/>
  <c r="I90" i="4"/>
  <c r="L50" i="4"/>
  <c r="L51" i="4"/>
  <c r="H69" i="4"/>
  <c r="H48" i="4"/>
  <c r="E90" i="4"/>
  <c r="I82" i="4"/>
  <c r="K50" i="4"/>
  <c r="J66" i="4"/>
  <c r="G91" i="4"/>
  <c r="K49" i="4"/>
  <c r="J36" i="4"/>
  <c r="H50" i="4"/>
  <c r="H80" i="4"/>
  <c r="E92" i="4"/>
  <c r="L80" i="4"/>
  <c r="I92" i="4"/>
  <c r="I51" i="4"/>
  <c r="L81" i="4"/>
  <c r="L33" i="4"/>
  <c r="I89" i="4"/>
  <c r="H49" i="4"/>
  <c r="H83" i="4"/>
  <c r="I48" i="4"/>
  <c r="F90" i="4"/>
  <c r="H36" i="4"/>
  <c r="H82" i="4"/>
  <c r="I50" i="4"/>
  <c r="H51" i="4"/>
  <c r="M50" i="4"/>
  <c r="I36" i="4"/>
  <c r="I83" i="4"/>
  <c r="I66" i="4"/>
  <c r="F91" i="4"/>
  <c r="I80" i="4"/>
  <c r="F92" i="4"/>
  <c r="J34" i="4"/>
  <c r="I49" i="4"/>
  <c r="J35" i="4"/>
  <c r="J69" i="4"/>
  <c r="K48" i="4"/>
  <c r="H90" i="4"/>
  <c r="I68" i="4"/>
  <c r="L35" i="4"/>
  <c r="H35" i="4"/>
  <c r="M66" i="4"/>
  <c r="J91" i="4"/>
  <c r="I35" i="4"/>
  <c r="M48" i="4"/>
  <c r="J90" i="4"/>
  <c r="I33" i="4"/>
  <c r="F89" i="4"/>
  <c r="M49" i="4"/>
  <c r="J68" i="4"/>
  <c r="I34" i="4"/>
  <c r="J33" i="4"/>
  <c r="G89" i="4"/>
  <c r="L36" i="4"/>
  <c r="L66" i="4"/>
  <c r="I91" i="4"/>
  <c r="L68" i="4"/>
  <c r="L67" i="4"/>
  <c r="L69" i="4"/>
  <c r="J83" i="4"/>
  <c r="J48" i="4"/>
  <c r="G90" i="4"/>
  <c r="K67" i="4"/>
  <c r="K68" i="4"/>
  <c r="M80" i="4"/>
  <c r="J92" i="4"/>
  <c r="M83" i="4"/>
  <c r="M81" i="4"/>
  <c r="K81" i="4"/>
  <c r="K80" i="4"/>
  <c r="H92" i="4"/>
  <c r="M67" i="4"/>
  <c r="M33" i="4"/>
  <c r="J89" i="4"/>
  <c r="M35" i="4"/>
  <c r="M34" i="4"/>
  <c r="K33" i="4"/>
  <c r="H89" i="4"/>
  <c r="K35" i="4"/>
  <c r="K36" i="4"/>
  <c r="K34" i="4"/>
  <c r="J49" i="4"/>
  <c r="J51" i="4"/>
  <c r="AE101" i="12"/>
  <c r="AP62" i="12"/>
  <c r="AN80" i="12"/>
  <c r="AO42" i="12"/>
  <c r="AN73" i="12"/>
  <c r="AN51" i="12"/>
  <c r="AP47" i="12"/>
  <c r="AJ96" i="12"/>
  <c r="AR32" i="12"/>
  <c r="AJ67" i="12"/>
  <c r="AS46" i="12"/>
  <c r="AM18" i="12"/>
  <c r="AE64" i="12"/>
  <c r="AL100" i="12"/>
  <c r="AE80" i="12"/>
  <c r="AE73" i="12"/>
  <c r="AO37" i="12"/>
  <c r="AJ50" i="12"/>
  <c r="AS14" i="12"/>
  <c r="AE47" i="12"/>
  <c r="AL93" i="12"/>
  <c r="AJ32" i="12"/>
  <c r="AL66" i="12"/>
  <c r="AL34" i="12"/>
  <c r="AQ17" i="12"/>
  <c r="AS51" i="12"/>
  <c r="AN67" i="12"/>
  <c r="AT98" i="12"/>
  <c r="AL62" i="12"/>
  <c r="AO91" i="12"/>
  <c r="AP37" i="12"/>
  <c r="AR83" i="12"/>
  <c r="AT32" i="12"/>
  <c r="AL74" i="12"/>
  <c r="AE22" i="12"/>
  <c r="AI102" i="12"/>
  <c r="AI20" i="12"/>
  <c r="AE94" i="12"/>
  <c r="AM94" i="12"/>
  <c r="AS103" i="12"/>
  <c r="AR61" i="12"/>
  <c r="AE58" i="12"/>
  <c r="AN65" i="12"/>
  <c r="AQ64" i="12"/>
  <c r="AJ78" i="12"/>
  <c r="AN102" i="12"/>
  <c r="AO29" i="12"/>
  <c r="AT30" i="12"/>
  <c r="AS22" i="12"/>
  <c r="AO73" i="12"/>
  <c r="AL49" i="12"/>
  <c r="AI95" i="12"/>
  <c r="AP48" i="12"/>
  <c r="AE91" i="12"/>
  <c r="AQ85" i="12"/>
  <c r="AJ94" i="12"/>
  <c r="AN36" i="12"/>
  <c r="AJ26" i="12"/>
  <c r="AO31" i="12"/>
  <c r="AO49" i="12"/>
  <c r="AS21" i="12"/>
  <c r="AI47" i="12"/>
  <c r="AJ51" i="12"/>
  <c r="AM53" i="12"/>
  <c r="AL71" i="12"/>
  <c r="AT64" i="12"/>
  <c r="AJ60" i="12"/>
  <c r="AT67" i="12"/>
  <c r="AL68" i="12"/>
  <c r="AO82" i="12"/>
  <c r="AE102" i="12"/>
  <c r="AL15" i="12"/>
  <c r="AE34" i="12"/>
  <c r="AE37" i="12"/>
  <c r="AL26" i="12"/>
  <c r="AJ55" i="12"/>
  <c r="AT92" i="12"/>
  <c r="AQ98" i="12"/>
  <c r="AJ57" i="12"/>
  <c r="AP94" i="12"/>
  <c r="AT88" i="12"/>
  <c r="AL38" i="12"/>
  <c r="AI14" i="12"/>
  <c r="AL89" i="12"/>
  <c r="AE29" i="12"/>
  <c r="AS96" i="12"/>
  <c r="AE75" i="12"/>
  <c r="AP66" i="12"/>
  <c r="AT51" i="12"/>
  <c r="AQ46" i="12"/>
  <c r="AT87" i="12"/>
  <c r="AT43" i="12"/>
  <c r="AS24" i="12"/>
  <c r="AN57" i="12"/>
  <c r="AP15" i="12"/>
  <c r="AL55" i="12"/>
  <c r="AN38" i="12"/>
  <c r="AL22" i="12"/>
  <c r="AR65" i="12"/>
  <c r="AJ81" i="12"/>
  <c r="AI92" i="12"/>
  <c r="AM50" i="12"/>
  <c r="AJ65" i="12"/>
  <c r="AI32" i="12"/>
  <c r="AN74" i="12"/>
  <c r="AN59" i="12"/>
  <c r="AI53" i="12"/>
  <c r="AN95" i="12"/>
  <c r="AL46" i="12"/>
  <c r="AQ23" i="12"/>
  <c r="AQ93" i="12"/>
  <c r="AN46" i="12"/>
  <c r="AJ92" i="12"/>
  <c r="AQ77" i="12"/>
  <c r="AT62" i="12"/>
  <c r="AJ18" i="12"/>
  <c r="AJ66" i="12"/>
  <c r="AL47" i="12"/>
  <c r="AI36" i="12"/>
  <c r="AO67" i="12"/>
  <c r="AN29" i="12"/>
  <c r="AT96" i="12"/>
  <c r="AM95" i="12"/>
  <c r="AP31" i="12"/>
  <c r="AS92" i="12"/>
  <c r="AR79" i="12"/>
  <c r="AJ31" i="12"/>
  <c r="AR95" i="12"/>
  <c r="AP58" i="12"/>
  <c r="AS75" i="12"/>
  <c r="AJ38" i="12"/>
  <c r="AO68" i="12"/>
  <c r="AS104" i="12"/>
  <c r="AR46" i="12"/>
  <c r="AJ98" i="12"/>
  <c r="AR28" i="12"/>
  <c r="AO57" i="12"/>
  <c r="AL37" i="12"/>
  <c r="AS25" i="12"/>
  <c r="AR37" i="12"/>
  <c r="AP40" i="12"/>
  <c r="AM74" i="12"/>
  <c r="AQ37" i="12"/>
  <c r="AR103" i="12"/>
  <c r="AL97" i="12"/>
  <c r="AP41" i="12"/>
  <c r="AJ85" i="12"/>
  <c r="AJ28" i="12"/>
  <c r="AO56" i="12"/>
  <c r="AN35" i="12"/>
  <c r="AO23" i="12"/>
  <c r="AM35" i="12"/>
  <c r="AJ102" i="12"/>
  <c r="AI83" i="12"/>
  <c r="AJ100" i="12"/>
  <c r="AL63" i="12"/>
  <c r="AP93" i="12"/>
  <c r="AL58" i="12"/>
  <c r="AT83" i="12"/>
  <c r="AN32" i="12"/>
  <c r="AE77" i="12"/>
  <c r="AT28" i="12"/>
  <c r="AM67" i="12"/>
  <c r="AE18" i="12"/>
  <c r="AM90" i="12"/>
  <c r="AP99" i="12"/>
  <c r="AP79" i="12"/>
  <c r="AE56" i="12"/>
  <c r="AI97" i="12"/>
  <c r="AO55" i="12"/>
  <c r="AN50" i="12"/>
  <c r="AJ59" i="12"/>
  <c r="AT49" i="12"/>
  <c r="AM69" i="12"/>
  <c r="AQ80" i="12"/>
  <c r="AP83" i="12"/>
  <c r="AE104" i="12"/>
  <c r="AN55" i="12"/>
  <c r="AI46" i="12"/>
  <c r="AO98" i="12"/>
  <c r="AR100" i="12"/>
  <c r="AQ83" i="12"/>
  <c r="AM78" i="12"/>
  <c r="AP86" i="12"/>
  <c r="AO97" i="12"/>
  <c r="AE20" i="12"/>
  <c r="AJ29" i="12"/>
  <c r="AL31" i="12"/>
  <c r="AT74" i="12"/>
  <c r="AO15" i="12"/>
  <c r="AP95" i="12"/>
  <c r="AQ36" i="12"/>
  <c r="AQ94" i="12"/>
  <c r="AT33" i="12"/>
  <c r="AI30" i="12"/>
  <c r="AT91" i="12"/>
  <c r="AI99" i="12"/>
  <c r="AR57" i="12"/>
  <c r="AS53" i="12"/>
  <c r="AN61" i="12"/>
  <c r="AS76" i="12"/>
  <c r="AP84" i="12"/>
  <c r="AO96" i="12"/>
  <c r="AS67" i="12"/>
  <c r="AQ35" i="12"/>
  <c r="AR71" i="12"/>
  <c r="AS100" i="12"/>
  <c r="AM56" i="12"/>
  <c r="AM14" i="12"/>
  <c r="AJ49" i="12"/>
  <c r="AR104" i="12"/>
  <c r="AM66" i="12"/>
  <c r="AL101" i="12"/>
  <c r="AE74" i="12"/>
  <c r="AR22" i="12"/>
  <c r="AS61" i="12"/>
  <c r="AP87" i="12"/>
  <c r="AS83" i="12"/>
  <c r="AE98" i="12"/>
  <c r="AL56" i="12"/>
  <c r="AT54" i="12"/>
  <c r="AQ75" i="12"/>
  <c r="AL99" i="12"/>
  <c r="AN24" i="12"/>
  <c r="AP49" i="12"/>
  <c r="AE81" i="12"/>
  <c r="AI91" i="12"/>
  <c r="AR50" i="12"/>
  <c r="AO18" i="12"/>
  <c r="AJ84" i="12"/>
  <c r="AJ64" i="12"/>
  <c r="AL21" i="12"/>
  <c r="AJ17" i="12"/>
  <c r="AO65" i="12"/>
  <c r="AR33" i="12"/>
  <c r="AR27" i="12"/>
  <c r="AE25" i="12"/>
  <c r="AT60" i="12"/>
  <c r="AE71" i="12"/>
  <c r="AE65" i="12"/>
  <c r="AS41" i="12"/>
  <c r="AQ43" i="12"/>
  <c r="AM15" i="12"/>
  <c r="AJ83" i="12"/>
  <c r="AL75" i="12"/>
  <c r="AQ86" i="12"/>
  <c r="AN82" i="12"/>
  <c r="AP89" i="12"/>
  <c r="AE84" i="12"/>
  <c r="AE55" i="12"/>
  <c r="AI61" i="12"/>
  <c r="AS57" i="12"/>
  <c r="AP100" i="12"/>
  <c r="AN79" i="12"/>
  <c r="AQ22" i="12"/>
  <c r="AQ69" i="12"/>
  <c r="AM102" i="12"/>
  <c r="AE88" i="12"/>
  <c r="AS87" i="12"/>
  <c r="AT34" i="12"/>
  <c r="AJ58" i="12"/>
  <c r="AS16" i="12"/>
  <c r="AN21" i="12"/>
  <c r="AR21" i="12"/>
  <c r="AO43" i="12"/>
  <c r="AS91" i="12"/>
  <c r="AQ82" i="12"/>
  <c r="AM49" i="12"/>
  <c r="AL52" i="12"/>
  <c r="AP34" i="12"/>
  <c r="AE49" i="12"/>
  <c r="AL78" i="12"/>
  <c r="AN39" i="12"/>
  <c r="AM28" i="12"/>
  <c r="AI90" i="12"/>
  <c r="AE40" i="12"/>
  <c r="AE24" i="12"/>
  <c r="AO26" i="12"/>
  <c r="AO53" i="12"/>
  <c r="AJ82" i="12"/>
  <c r="AN53" i="12"/>
  <c r="AI101" i="12"/>
  <c r="AM77" i="12"/>
  <c r="AP19" i="12"/>
  <c r="AN30" i="12"/>
  <c r="AL42" i="12"/>
  <c r="AS86" i="12"/>
  <c r="AT44" i="12"/>
  <c r="AO60" i="12"/>
  <c r="AP90" i="12"/>
  <c r="AL29" i="12"/>
  <c r="AE43" i="12"/>
  <c r="AL18" i="12"/>
  <c r="AE66" i="12"/>
  <c r="AQ26" i="12"/>
  <c r="AP36" i="12"/>
  <c r="AP81" i="12"/>
  <c r="AO81" i="12"/>
  <c r="AL51" i="12"/>
  <c r="AM93" i="12"/>
  <c r="AN15" i="12"/>
  <c r="AQ84" i="12"/>
  <c r="AQ102" i="12"/>
  <c r="AI55" i="12"/>
  <c r="AJ41" i="12"/>
  <c r="AS64" i="12"/>
  <c r="AI24" i="12"/>
  <c r="AR77" i="12"/>
  <c r="AO17" i="12"/>
  <c r="AI19" i="12"/>
  <c r="AQ96" i="12"/>
  <c r="AP65" i="12"/>
  <c r="AQ87" i="12"/>
  <c r="AM42" i="12"/>
  <c r="AS80" i="12"/>
  <c r="AE27" i="12"/>
  <c r="AE52" i="12"/>
  <c r="AN77" i="12"/>
  <c r="AI16" i="12"/>
  <c r="AL72" i="12"/>
  <c r="AJ91" i="12"/>
  <c r="AO51" i="12"/>
  <c r="AL57" i="12"/>
  <c r="AM88" i="12"/>
  <c r="AP26" i="12"/>
  <c r="AP43" i="12"/>
  <c r="AO44" i="12"/>
  <c r="AQ15" i="12"/>
  <c r="AO52" i="12"/>
  <c r="AL85" i="12"/>
  <c r="AR90" i="12"/>
  <c r="AI45" i="12"/>
  <c r="AI66" i="12"/>
  <c r="AN70" i="12"/>
  <c r="AN16" i="12"/>
  <c r="AM37" i="12"/>
  <c r="AN47" i="12"/>
  <c r="AL70" i="12"/>
  <c r="AQ31" i="12"/>
  <c r="AL41" i="12"/>
  <c r="AE78" i="12"/>
  <c r="AN69" i="12"/>
  <c r="AN103" i="12"/>
  <c r="AN98" i="12"/>
  <c r="AP92" i="12"/>
  <c r="AI69" i="12"/>
  <c r="AJ93" i="12"/>
  <c r="AN81" i="12"/>
  <c r="AT45" i="12"/>
  <c r="AT77" i="12"/>
  <c r="AE53" i="12"/>
  <c r="AO77" i="12"/>
  <c r="AO74" i="12"/>
  <c r="AR56" i="12"/>
  <c r="AM103" i="12"/>
  <c r="AL16" i="12"/>
  <c r="AP101" i="12"/>
  <c r="AQ58" i="12"/>
  <c r="AI26" i="12"/>
  <c r="AL48" i="12"/>
  <c r="AR23" i="12"/>
  <c r="AI85" i="12"/>
  <c r="AN94" i="12"/>
  <c r="AP73" i="12"/>
  <c r="AR54" i="12"/>
  <c r="AT36" i="12"/>
  <c r="AO39" i="12"/>
  <c r="AE35" i="12"/>
  <c r="AI67" i="12"/>
  <c r="AQ65" i="12"/>
  <c r="AN17" i="12"/>
  <c r="AP24" i="12"/>
  <c r="AR15" i="12"/>
  <c r="AT86" i="12"/>
  <c r="AI51" i="12"/>
  <c r="AM52" i="12"/>
  <c r="AT81" i="12"/>
  <c r="AP39" i="12"/>
  <c r="AS23" i="12"/>
  <c r="AM36" i="12"/>
  <c r="AN34" i="12"/>
  <c r="AN84" i="12"/>
  <c r="AP53" i="12"/>
  <c r="AN25" i="12"/>
  <c r="AJ22" i="12"/>
  <c r="AP51" i="12"/>
  <c r="AR64" i="12"/>
  <c r="AP69" i="12"/>
  <c r="AL24" i="12"/>
  <c r="AO88" i="12"/>
  <c r="AL76" i="12"/>
  <c r="AE62" i="12"/>
  <c r="AM62" i="12"/>
  <c r="AP14" i="12"/>
  <c r="AM101" i="12"/>
  <c r="AL23" i="12"/>
  <c r="AR40" i="12"/>
  <c r="AI57" i="12"/>
  <c r="AR35" i="12"/>
  <c r="AO63" i="12"/>
  <c r="AM97" i="12"/>
  <c r="AT50" i="12"/>
  <c r="AQ73" i="12"/>
  <c r="AT19" i="12"/>
  <c r="AP97" i="12"/>
  <c r="AQ55" i="12"/>
  <c r="AQ97" i="12"/>
  <c r="AI42" i="12"/>
  <c r="AI78" i="12"/>
  <c r="AN37" i="12"/>
  <c r="AT94" i="12"/>
  <c r="AE82" i="12"/>
  <c r="AI75" i="12"/>
  <c r="AQ66" i="12"/>
  <c r="AE61" i="12"/>
  <c r="AE33" i="12"/>
  <c r="AJ54" i="12"/>
  <c r="AL103" i="12"/>
  <c r="AL50" i="12"/>
  <c r="AL81" i="12"/>
  <c r="AM29" i="12"/>
  <c r="AN92" i="12"/>
  <c r="AN54" i="12"/>
  <c r="AP61" i="12"/>
  <c r="AM83" i="12"/>
  <c r="AT35" i="12"/>
  <c r="AE23" i="12"/>
  <c r="AJ45" i="12"/>
  <c r="AN87" i="12"/>
  <c r="AM59" i="12"/>
  <c r="AL90" i="12"/>
  <c r="AE54" i="12"/>
  <c r="AI87" i="12"/>
  <c r="AS47" i="12"/>
  <c r="AP22" i="12"/>
  <c r="AE38" i="12"/>
  <c r="AL96" i="12"/>
  <c r="AR85" i="12"/>
  <c r="AP33" i="12"/>
  <c r="AJ86" i="12"/>
  <c r="AL40" i="12"/>
  <c r="AQ53" i="12"/>
  <c r="AR62" i="12"/>
  <c r="AJ101" i="12"/>
  <c r="AT24" i="12"/>
  <c r="AS40" i="12"/>
  <c r="AE60" i="12"/>
  <c r="AO80" i="12"/>
  <c r="AI29" i="12"/>
  <c r="AR49" i="12"/>
  <c r="AN101" i="12"/>
  <c r="AS94" i="12"/>
  <c r="AP85" i="12"/>
  <c r="AN56" i="12"/>
  <c r="AS52" i="12"/>
  <c r="AL77" i="12"/>
  <c r="AI60" i="12"/>
  <c r="AQ32" i="12"/>
  <c r="AI50" i="12"/>
  <c r="AM32" i="12"/>
  <c r="AN62" i="12"/>
  <c r="AS68" i="12"/>
  <c r="AS49" i="12"/>
  <c r="AI44" i="12"/>
  <c r="AQ90" i="12"/>
  <c r="AR70" i="12"/>
  <c r="AI18" i="12"/>
  <c r="AM30" i="12"/>
  <c r="AL69" i="12"/>
  <c r="AM87" i="12"/>
  <c r="AE67" i="12"/>
  <c r="AN48" i="12"/>
  <c r="AT29" i="12"/>
  <c r="AL32" i="12"/>
  <c r="AT27" i="12"/>
  <c r="AR51" i="12"/>
  <c r="AT22" i="12"/>
  <c r="AS89" i="12"/>
  <c r="AO48" i="12"/>
  <c r="AM92" i="12"/>
  <c r="AO78" i="12"/>
  <c r="AS66" i="12"/>
  <c r="AT25" i="12"/>
  <c r="AQ59" i="12"/>
  <c r="AR14" i="12"/>
  <c r="AP70" i="12"/>
  <c r="AO19" i="12"/>
  <c r="AE17" i="12"/>
  <c r="AE57" i="12"/>
  <c r="AT23" i="12"/>
  <c r="AN75" i="12"/>
  <c r="AE99" i="12"/>
  <c r="AO79" i="12"/>
  <c r="AJ71" i="12"/>
  <c r="AO46" i="12"/>
  <c r="AS48" i="12"/>
  <c r="AJ103" i="12"/>
  <c r="AP63" i="12"/>
  <c r="AR66" i="12"/>
  <c r="AS34" i="12"/>
  <c r="AJ95" i="12"/>
  <c r="AM99" i="12"/>
  <c r="AN52" i="12"/>
  <c r="AJ37" i="12"/>
  <c r="AL65" i="12"/>
  <c r="AI73" i="12"/>
  <c r="AO40" i="12"/>
  <c r="AL94" i="12"/>
  <c r="AR94" i="12"/>
  <c r="AR42" i="12"/>
  <c r="AJ68" i="12"/>
  <c r="AE21" i="12"/>
  <c r="AO32" i="12"/>
  <c r="AE59" i="12"/>
  <c r="AI39" i="12"/>
  <c r="AT53" i="12"/>
  <c r="AN90" i="12"/>
  <c r="AS32" i="12"/>
  <c r="AS59" i="12"/>
  <c r="AR73" i="12"/>
  <c r="AM44" i="12"/>
  <c r="AJ39" i="12"/>
  <c r="AO104" i="12"/>
  <c r="AT65" i="12"/>
  <c r="AM100" i="12"/>
  <c r="AE28" i="12"/>
  <c r="AT21" i="12"/>
  <c r="AQ60" i="12"/>
  <c r="AO66" i="12"/>
  <c r="AJ53" i="12"/>
  <c r="AE48" i="12"/>
  <c r="AN60" i="12"/>
  <c r="AQ63" i="12"/>
  <c r="AO87" i="12"/>
  <c r="AN85" i="12"/>
  <c r="AM75" i="12"/>
  <c r="AE96" i="12"/>
  <c r="AS95" i="12"/>
  <c r="AR26" i="12"/>
  <c r="AP30" i="12"/>
  <c r="AJ16" i="12"/>
  <c r="AO25" i="12"/>
  <c r="AO69" i="12"/>
  <c r="AE95" i="12"/>
  <c r="AP55" i="12"/>
  <c r="AE30" i="12"/>
  <c r="AQ40" i="12"/>
  <c r="AT26" i="12"/>
  <c r="AI77" i="12"/>
  <c r="AM72" i="12"/>
  <c r="AP104" i="12"/>
  <c r="AP25" i="12"/>
  <c r="AQ62" i="12"/>
  <c r="AM16" i="12"/>
  <c r="AQ95" i="12"/>
  <c r="AI41" i="12"/>
  <c r="AL61" i="12"/>
  <c r="AM80" i="12"/>
  <c r="AS98" i="12"/>
  <c r="AI74" i="12"/>
  <c r="AO101" i="12"/>
  <c r="AM79" i="12"/>
  <c r="AL17" i="12"/>
  <c r="AR44" i="12"/>
  <c r="AI62" i="12"/>
  <c r="AL39" i="12"/>
  <c r="AO70" i="12"/>
  <c r="AQ72" i="12"/>
  <c r="AL27" i="12"/>
  <c r="AQ57" i="12"/>
  <c r="AN33" i="12"/>
  <c r="AO61" i="12"/>
  <c r="AJ21" i="12"/>
  <c r="AM91" i="12"/>
  <c r="AO83" i="12"/>
  <c r="AO84" i="12"/>
  <c r="AT47" i="12"/>
  <c r="AT84" i="12"/>
  <c r="AR84" i="12"/>
  <c r="AO30" i="12"/>
  <c r="AS39" i="12"/>
  <c r="AL28" i="12"/>
  <c r="AS19" i="12"/>
  <c r="AJ27" i="12"/>
  <c r="AO76" i="12"/>
  <c r="AR17" i="12"/>
  <c r="AM38" i="12"/>
  <c r="AM76" i="12"/>
  <c r="AM68" i="12"/>
  <c r="AP38" i="12"/>
  <c r="AL43" i="12"/>
  <c r="AT101" i="12"/>
  <c r="AQ76" i="12"/>
  <c r="AT57" i="12"/>
  <c r="AR80" i="12"/>
  <c r="AS43" i="4"/>
  <c r="AM87" i="4"/>
  <c r="AP48" i="4"/>
  <c r="AS93" i="4"/>
  <c r="AJ16" i="4"/>
  <c r="AO73" i="4"/>
  <c r="AP22" i="4"/>
  <c r="AO88" i="4"/>
  <c r="AF82" i="4"/>
  <c r="AO151" i="4"/>
  <c r="AT141" i="4"/>
  <c r="AT33" i="4"/>
  <c r="AI119" i="4"/>
  <c r="AN41" i="4"/>
  <c r="AN124" i="4"/>
  <c r="AT63" i="4"/>
  <c r="AM60" i="4"/>
  <c r="AF80" i="4"/>
  <c r="AQ22" i="4"/>
  <c r="AI200" i="4"/>
  <c r="AP143" i="4"/>
  <c r="AR198" i="4"/>
  <c r="AM19" i="4"/>
  <c r="AI188" i="4"/>
  <c r="AF93" i="4"/>
  <c r="AJ111" i="4"/>
  <c r="AM97" i="4"/>
  <c r="AQ116" i="4"/>
  <c r="AN32" i="4"/>
  <c r="AJ130" i="4"/>
  <c r="AP43" i="4"/>
  <c r="AO135" i="4"/>
  <c r="AI59" i="4"/>
  <c r="AT107" i="4"/>
  <c r="AR19" i="4"/>
  <c r="AN120" i="4"/>
  <c r="AI91" i="4"/>
  <c r="AR23" i="4"/>
  <c r="AL136" i="4"/>
  <c r="AM34" i="4"/>
  <c r="AT148" i="4"/>
  <c r="AI42" i="4"/>
  <c r="AI138" i="4"/>
  <c r="AS144" i="4"/>
  <c r="AI93" i="12"/>
  <c r="AI79" i="12"/>
  <c r="AQ88" i="12"/>
  <c r="AE31" i="12"/>
  <c r="AR24" i="12"/>
  <c r="AQ27" i="12"/>
  <c r="AI96" i="12"/>
  <c r="AP74" i="12"/>
  <c r="AI86" i="12"/>
  <c r="AI94" i="12"/>
  <c r="AQ49" i="12"/>
  <c r="AN28" i="12"/>
  <c r="AT16" i="12"/>
  <c r="AS82" i="12"/>
  <c r="AT39" i="12"/>
  <c r="AN97" i="12"/>
  <c r="AS79" i="12"/>
  <c r="AR29" i="12"/>
  <c r="AS62" i="12"/>
  <c r="AS31" i="12"/>
  <c r="AT37" i="12"/>
  <c r="AL35" i="12"/>
  <c r="AJ61" i="12"/>
  <c r="AT71" i="12"/>
  <c r="AR68" i="12"/>
  <c r="AT46" i="12"/>
  <c r="AQ21" i="12"/>
  <c r="AR53" i="12"/>
  <c r="AL44" i="12"/>
  <c r="AT40" i="12"/>
  <c r="AO102" i="12"/>
  <c r="AQ71" i="12"/>
  <c r="AS88" i="12"/>
  <c r="AE41" i="12"/>
  <c r="AE39" i="12"/>
  <c r="AN45" i="12"/>
  <c r="AO95" i="12"/>
  <c r="AM85" i="12"/>
  <c r="AM64" i="12"/>
  <c r="AJ14" i="12"/>
  <c r="AE97" i="12"/>
  <c r="AM34" i="12"/>
  <c r="AS18" i="12"/>
  <c r="AE14" i="12"/>
  <c r="AR69" i="12"/>
  <c r="AP77" i="12"/>
  <c r="AI82" i="12"/>
  <c r="AR72" i="12"/>
  <c r="AS73" i="12"/>
  <c r="AS55" i="12"/>
  <c r="AE46" i="12"/>
  <c r="AN78" i="12"/>
  <c r="AO27" i="12"/>
  <c r="AQ99" i="12"/>
  <c r="AR55" i="12"/>
  <c r="AS63" i="12"/>
  <c r="AT14" i="12"/>
  <c r="AS42" i="12"/>
  <c r="AJ90" i="12"/>
  <c r="AE42" i="12"/>
  <c r="AJ23" i="12"/>
  <c r="AS33" i="12"/>
  <c r="AI43" i="12"/>
  <c r="AP72" i="12"/>
  <c r="AI38" i="12"/>
  <c r="AJ19" i="12"/>
  <c r="AS45" i="12"/>
  <c r="AE44" i="12"/>
  <c r="AT114" i="4"/>
  <c r="AP34" i="4"/>
  <c r="AQ119" i="4"/>
  <c r="AO41" i="4"/>
  <c r="AJ47" i="4"/>
  <c r="AO65" i="4"/>
  <c r="AT93" i="4"/>
  <c r="AT195" i="4"/>
  <c r="AF39" i="4"/>
  <c r="AL95" i="4"/>
  <c r="AR43" i="4"/>
  <c r="AI100" i="4"/>
  <c r="AT53" i="4"/>
  <c r="AN87" i="4"/>
  <c r="AR59" i="4"/>
  <c r="AS67" i="4"/>
  <c r="AN129" i="4"/>
  <c r="AS193" i="4"/>
  <c r="AN78" i="4"/>
  <c r="AT90" i="4"/>
  <c r="AT211" i="4"/>
  <c r="AQ73" i="4"/>
  <c r="AM21" i="4"/>
  <c r="AL38" i="4"/>
  <c r="AT44" i="4"/>
  <c r="AP102" i="4"/>
  <c r="AR50" i="4"/>
  <c r="AO109" i="4"/>
  <c r="AF76" i="4"/>
  <c r="AF117" i="4"/>
  <c r="AL181" i="4"/>
  <c r="AP23" i="4"/>
  <c r="AT84" i="4"/>
  <c r="AP135" i="4"/>
  <c r="AN53" i="4"/>
  <c r="AJ34" i="4"/>
  <c r="AQ72" i="4"/>
  <c r="AO39" i="4"/>
  <c r="AQ81" i="4"/>
  <c r="AT68" i="4"/>
  <c r="AN26" i="4"/>
  <c r="AR74" i="4"/>
  <c r="AO58" i="4"/>
  <c r="AM141" i="4"/>
  <c r="AJ128" i="4"/>
  <c r="AJ211" i="4"/>
  <c r="AT90" i="12"/>
  <c r="AP64" i="12"/>
  <c r="AM81" i="12"/>
  <c r="AE19" i="12"/>
  <c r="AR20" i="12"/>
  <c r="AE76" i="12"/>
  <c r="AO100" i="12"/>
  <c r="AP103" i="12"/>
  <c r="AQ67" i="12"/>
  <c r="AT70" i="12"/>
  <c r="AO75" i="12"/>
  <c r="AO103" i="12"/>
  <c r="AJ73" i="12"/>
  <c r="AL59" i="12"/>
  <c r="AQ44" i="12"/>
  <c r="AN20" i="12"/>
  <c r="AT99" i="12"/>
  <c r="AJ48" i="12"/>
  <c r="AQ28" i="12"/>
  <c r="AL33" i="12"/>
  <c r="AN71" i="12"/>
  <c r="AJ75" i="12"/>
  <c r="AN23" i="12"/>
  <c r="AN44" i="12"/>
  <c r="AR19" i="12"/>
  <c r="AO16" i="12"/>
  <c r="AO99" i="12"/>
  <c r="AT58" i="12"/>
  <c r="AS77" i="12"/>
  <c r="AQ50" i="12"/>
  <c r="AM40" i="12"/>
  <c r="AE93" i="12"/>
  <c r="AT82" i="12"/>
  <c r="AT89" i="12"/>
  <c r="AR25" i="12"/>
  <c r="AP54" i="12"/>
  <c r="AP32" i="12"/>
  <c r="AQ30" i="12"/>
  <c r="AQ61" i="12"/>
  <c r="AI22" i="12"/>
  <c r="AQ81" i="12"/>
  <c r="AS74" i="12"/>
  <c r="AJ70" i="12"/>
  <c r="AI63" i="12"/>
  <c r="AI80" i="12"/>
  <c r="AI35" i="12"/>
  <c r="AL102" i="12"/>
  <c r="AJ33" i="12"/>
  <c r="AL67" i="12"/>
  <c r="AM54" i="12"/>
  <c r="AN104" i="12"/>
  <c r="AM46" i="12"/>
  <c r="AO36" i="12"/>
  <c r="AL14" i="12"/>
  <c r="AM84" i="12"/>
  <c r="AQ18" i="12"/>
  <c r="AM25" i="12"/>
  <c r="AE32" i="12"/>
  <c r="AQ20" i="12"/>
  <c r="AR101" i="12"/>
  <c r="AQ56" i="12"/>
  <c r="AR92" i="12"/>
  <c r="AL91" i="12"/>
  <c r="AR39" i="12"/>
  <c r="AQ68" i="12"/>
  <c r="AN68" i="12"/>
  <c r="AR96" i="12"/>
  <c r="AP20" i="12"/>
  <c r="AO20" i="12"/>
  <c r="AS65" i="12"/>
  <c r="AN58" i="12"/>
  <c r="AS99" i="12"/>
  <c r="AQ98" i="4"/>
  <c r="AL88" i="4"/>
  <c r="AF107" i="4"/>
  <c r="AL103" i="4"/>
  <c r="AP120" i="4"/>
  <c r="AT24" i="4"/>
  <c r="AN126" i="4"/>
  <c r="AQ82" i="4"/>
  <c r="AJ75" i="4"/>
  <c r="AP16" i="4"/>
  <c r="AO27" i="4"/>
  <c r="AF38" i="4"/>
  <c r="AT94" i="4"/>
  <c r="AM45" i="4"/>
  <c r="AM103" i="4"/>
  <c r="AF68" i="4"/>
  <c r="AT67" i="4"/>
  <c r="AQ173" i="4"/>
  <c r="AP78" i="4"/>
  <c r="AS69" i="4"/>
  <c r="AF128" i="4"/>
  <c r="AS39" i="4"/>
  <c r="AT52" i="4"/>
  <c r="AM99" i="4"/>
  <c r="AQ57" i="4"/>
  <c r="AF25" i="4"/>
  <c r="AF28" i="4"/>
  <c r="AT100" i="4"/>
  <c r="AM35" i="4"/>
  <c r="AL109" i="4"/>
  <c r="AQ161" i="4"/>
  <c r="AS145" i="4"/>
  <c r="AS22" i="4"/>
  <c r="AT117" i="4"/>
  <c r="AQ183" i="4"/>
  <c r="AT87" i="4"/>
  <c r="AO57" i="4"/>
  <c r="AL76" i="4"/>
  <c r="AJ68" i="4"/>
  <c r="AT128" i="4"/>
  <c r="AM59" i="4"/>
  <c r="AR134" i="4"/>
  <c r="AT57" i="4"/>
  <c r="AS66" i="4"/>
  <c r="AJ173" i="4"/>
  <c r="AM104" i="12"/>
  <c r="AR91" i="12"/>
  <c r="AR16" i="12"/>
  <c r="AJ34" i="12"/>
  <c r="AT104" i="12"/>
  <c r="AT97" i="12"/>
  <c r="AJ52" i="12"/>
  <c r="AR30" i="12"/>
  <c r="AI104" i="12"/>
  <c r="AJ88" i="12"/>
  <c r="AI64" i="12"/>
  <c r="AR99" i="12"/>
  <c r="AM41" i="12"/>
  <c r="AO50" i="12"/>
  <c r="AP59" i="12"/>
  <c r="AS84" i="12"/>
  <c r="AO64" i="12"/>
  <c r="AI54" i="12"/>
  <c r="AS15" i="12"/>
  <c r="AR97" i="12"/>
  <c r="AS72" i="12"/>
  <c r="AQ19" i="12"/>
  <c r="AS56" i="12"/>
  <c r="AO24" i="12"/>
  <c r="AN63" i="12"/>
  <c r="AR59" i="12"/>
  <c r="AM39" i="12"/>
  <c r="AO28" i="12"/>
  <c r="AE103" i="12"/>
  <c r="AP78" i="12"/>
  <c r="AJ36" i="12"/>
  <c r="AO59" i="12"/>
  <c r="AO45" i="12"/>
  <c r="AR75" i="12"/>
  <c r="AJ63" i="12"/>
  <c r="AQ29" i="12"/>
  <c r="AR78" i="12"/>
  <c r="AT38" i="12"/>
  <c r="AQ91" i="12"/>
  <c r="AQ51" i="12"/>
  <c r="AS90" i="12"/>
  <c r="AO90" i="12"/>
  <c r="AI23" i="12"/>
  <c r="AM24" i="12"/>
  <c r="AT95" i="12"/>
  <c r="AT66" i="12"/>
  <c r="AR75" i="4"/>
  <c r="AL22" i="4"/>
  <c r="AI141" i="4"/>
  <c r="AI80" i="4"/>
  <c r="AO82" i="4"/>
  <c r="AL149" i="4"/>
  <c r="AS87" i="4"/>
  <c r="AM53" i="4"/>
  <c r="AS111" i="4"/>
  <c r="AJ87" i="4"/>
  <c r="AM33" i="4"/>
  <c r="AL163" i="4"/>
  <c r="AF63" i="4"/>
  <c r="AI54" i="4"/>
  <c r="AP53" i="4"/>
  <c r="AO29" i="4"/>
  <c r="AN123" i="4"/>
  <c r="AF86" i="4"/>
  <c r="AF85" i="4"/>
  <c r="AI31" i="4"/>
  <c r="AQ216" i="4"/>
  <c r="AO107" i="4"/>
  <c r="AN81" i="4"/>
  <c r="AQ47" i="4"/>
  <c r="AR90" i="4"/>
  <c r="AJ65" i="4"/>
  <c r="AJ42" i="4"/>
  <c r="AN147" i="4"/>
  <c r="AT147" i="4"/>
  <c r="AP54" i="4"/>
  <c r="AO94" i="4"/>
  <c r="AS100" i="4"/>
  <c r="AQ63" i="4"/>
  <c r="AM47" i="4"/>
  <c r="AF56" i="4"/>
  <c r="AR69" i="4"/>
  <c r="AS79" i="4"/>
  <c r="AQ60" i="4"/>
  <c r="AM131" i="4"/>
  <c r="AQ85" i="4"/>
  <c r="AP145" i="4"/>
  <c r="AP150" i="4"/>
  <c r="AS217" i="4"/>
  <c r="AP199" i="4"/>
  <c r="AJ33" i="4"/>
  <c r="AR158" i="4"/>
  <c r="AF101" i="4"/>
  <c r="AR124" i="4"/>
  <c r="AO183" i="4"/>
  <c r="AQ17" i="4"/>
  <c r="AI82" i="4"/>
  <c r="AS220" i="4"/>
  <c r="AL170" i="4"/>
  <c r="AT170" i="4"/>
  <c r="AJ55" i="4"/>
  <c r="AS62" i="4"/>
  <c r="AJ85" i="4"/>
  <c r="AS78" i="4"/>
  <c r="AI160" i="4"/>
  <c r="AQ93" i="4"/>
  <c r="AM158" i="4"/>
  <c r="AP63" i="4"/>
  <c r="AQ156" i="4"/>
  <c r="AJ21" i="4"/>
  <c r="AF191" i="4"/>
  <c r="AQ208" i="4"/>
  <c r="AR76" i="4"/>
  <c r="AR71" i="4"/>
  <c r="AS164" i="4"/>
  <c r="AM74" i="4"/>
  <c r="AM98" i="12"/>
  <c r="AP60" i="12"/>
  <c r="AR88" i="12"/>
  <c r="AM26" i="12"/>
  <c r="AI100" i="12"/>
  <c r="AO92" i="12"/>
  <c r="AM47" i="12"/>
  <c r="AO41" i="12"/>
  <c r="AR18" i="12"/>
  <c r="AN72" i="12"/>
  <c r="AE69" i="12"/>
  <c r="AE89" i="12"/>
  <c r="AI48" i="12"/>
  <c r="AO54" i="12"/>
  <c r="AQ52" i="12"/>
  <c r="AN91" i="12"/>
  <c r="AT31" i="12"/>
  <c r="AS60" i="12"/>
  <c r="AO22" i="12"/>
  <c r="AT85" i="12"/>
  <c r="AT73" i="12"/>
  <c r="AN100" i="12"/>
  <c r="AM82" i="12"/>
  <c r="AI49" i="12"/>
  <c r="AR48" i="12"/>
  <c r="AJ74" i="12"/>
  <c r="AJ44" i="12"/>
  <c r="AR67" i="12"/>
  <c r="AL25" i="12"/>
  <c r="AI27" i="12"/>
  <c r="AO62" i="12"/>
  <c r="AL73" i="12"/>
  <c r="AJ43" i="12"/>
  <c r="AT41" i="12"/>
  <c r="AS28" i="12"/>
  <c r="AN27" i="12"/>
  <c r="AM23" i="12"/>
  <c r="AL104" i="12"/>
  <c r="AM89" i="12"/>
  <c r="AQ104" i="12"/>
  <c r="AQ47" i="12"/>
  <c r="AS37" i="12"/>
  <c r="AT39" i="4"/>
  <c r="AN20" i="4"/>
  <c r="AF47" i="4"/>
  <c r="AI88" i="4"/>
  <c r="AS54" i="4"/>
  <c r="AR46" i="4"/>
  <c r="AR24" i="4"/>
  <c r="AP39" i="4"/>
  <c r="AP28" i="4"/>
  <c r="AO89" i="4"/>
  <c r="AN89" i="4"/>
  <c r="AJ97" i="4"/>
  <c r="AI120" i="4"/>
  <c r="AP52" i="4"/>
  <c r="AT178" i="4"/>
  <c r="AR97" i="4"/>
  <c r="AP99" i="4"/>
  <c r="AL66" i="4"/>
  <c r="AJ59" i="4"/>
  <c r="AI78" i="4"/>
  <c r="AJ70" i="4"/>
  <c r="AT41" i="4"/>
  <c r="AR150" i="4"/>
  <c r="AR36" i="4"/>
  <c r="AI20" i="4"/>
  <c r="AJ35" i="4"/>
  <c r="AF44" i="4"/>
  <c r="AS186" i="4"/>
  <c r="AP146" i="4"/>
  <c r="AS74" i="4"/>
  <c r="AI35" i="4"/>
  <c r="AI162" i="4"/>
  <c r="AJ61" i="4"/>
  <c r="AF69" i="4"/>
  <c r="AF96" i="4"/>
  <c r="AJ22" i="4"/>
  <c r="AI72" i="4"/>
  <c r="AR121" i="4"/>
  <c r="AO49" i="4"/>
  <c r="AP19" i="4"/>
  <c r="AI70" i="4"/>
  <c r="AN55" i="4"/>
  <c r="AI81" i="4"/>
  <c r="AT133" i="4"/>
  <c r="AR42" i="4"/>
  <c r="AO147" i="4"/>
  <c r="AQ179" i="4"/>
  <c r="AJ79" i="4"/>
  <c r="AT207" i="4"/>
  <c r="AP121" i="4"/>
  <c r="AM18" i="4"/>
  <c r="AF214" i="4"/>
  <c r="AI130" i="4"/>
  <c r="AN65" i="4"/>
  <c r="AQ197" i="4"/>
  <c r="AT216" i="4"/>
  <c r="AO169" i="4"/>
  <c r="AR107" i="4"/>
  <c r="AP157" i="4"/>
  <c r="AJ14" i="4"/>
  <c r="AI104" i="4"/>
  <c r="AF178" i="4"/>
  <c r="AQ75" i="4"/>
  <c r="AR20" i="4"/>
  <c r="AF40" i="4"/>
  <c r="AO87" i="4"/>
  <c r="AM160" i="4"/>
  <c r="AQ18" i="4"/>
  <c r="AO54" i="4"/>
  <c r="AN118" i="4"/>
  <c r="AO64" i="4"/>
  <c r="AO93" i="4"/>
  <c r="AP40" i="4"/>
  <c r="AF147" i="4"/>
  <c r="AL60" i="4"/>
  <c r="AT157" i="4"/>
  <c r="AJ188" i="4"/>
  <c r="AN104" i="4"/>
  <c r="AJ213" i="4"/>
  <c r="AL45" i="12"/>
  <c r="AT69" i="12"/>
  <c r="AJ35" i="12"/>
  <c r="AM60" i="12"/>
  <c r="AI98" i="12"/>
  <c r="AL60" i="12"/>
  <c r="AQ39" i="12"/>
  <c r="AR43" i="12"/>
  <c r="AQ41" i="12"/>
  <c r="AP27" i="12"/>
  <c r="AS17" i="12"/>
  <c r="AE92" i="12"/>
  <c r="AN66" i="12"/>
  <c r="AN18" i="12"/>
  <c r="AP28" i="12"/>
  <c r="AI17" i="12"/>
  <c r="AL84" i="12"/>
  <c r="AS38" i="12"/>
  <c r="AI89" i="12"/>
  <c r="AT93" i="12"/>
  <c r="AE36" i="12"/>
  <c r="AJ46" i="12"/>
  <c r="AM57" i="12"/>
  <c r="AO93" i="12"/>
  <c r="AN26" i="12"/>
  <c r="AQ103" i="12"/>
  <c r="AO14" i="12"/>
  <c r="AI25" i="12"/>
  <c r="AT79" i="12"/>
  <c r="AM19" i="12"/>
  <c r="AE87" i="12"/>
  <c r="AS36" i="12"/>
  <c r="AM21" i="12"/>
  <c r="AS29" i="12"/>
  <c r="AN22" i="12"/>
  <c r="AI59" i="12"/>
  <c r="AP47" i="4"/>
  <c r="AF67" i="4"/>
  <c r="AO76" i="4"/>
  <c r="AS182" i="4"/>
  <c r="AF72" i="4"/>
  <c r="AF126" i="4"/>
  <c r="AT156" i="4"/>
  <c r="AQ68" i="4"/>
  <c r="AQ40" i="4"/>
  <c r="AL48" i="4"/>
  <c r="AN90" i="4"/>
  <c r="AF145" i="4"/>
  <c r="AN63" i="4"/>
  <c r="AT42" i="4"/>
  <c r="AQ66" i="4"/>
  <c r="AP41" i="4"/>
  <c r="AS108" i="4"/>
  <c r="AF208" i="4"/>
  <c r="AL52" i="4"/>
  <c r="AL152" i="4"/>
  <c r="AQ96" i="4"/>
  <c r="AN15" i="4"/>
  <c r="AQ28" i="4"/>
  <c r="AF127" i="4"/>
  <c r="AQ145" i="4"/>
  <c r="AN77" i="4"/>
  <c r="AI208" i="4"/>
  <c r="AO114" i="4"/>
  <c r="AP148" i="4"/>
  <c r="AT210" i="4"/>
  <c r="AM220" i="4"/>
  <c r="AR79" i="4"/>
  <c r="AN164" i="4"/>
  <c r="AM112" i="4"/>
  <c r="AN69" i="4"/>
  <c r="AT159" i="4"/>
  <c r="AJ124" i="4"/>
  <c r="AO132" i="4"/>
  <c r="AI110" i="4"/>
  <c r="AO172" i="4"/>
  <c r="AL21" i="4"/>
  <c r="AT27" i="4"/>
  <c r="AL122" i="4"/>
  <c r="AL61" i="4"/>
  <c r="AO173" i="4"/>
  <c r="AN33" i="4"/>
  <c r="AN75" i="4"/>
  <c r="AS209" i="4"/>
  <c r="AR120" i="4"/>
  <c r="AL143" i="4"/>
  <c r="AQ32" i="4"/>
  <c r="AF185" i="4"/>
  <c r="AI197" i="4"/>
  <c r="AP66" i="4"/>
  <c r="AR87" i="4"/>
  <c r="AR148" i="4"/>
  <c r="AN194" i="4"/>
  <c r="AM147" i="4"/>
  <c r="AQ108" i="4"/>
  <c r="AS57" i="4"/>
  <c r="AM46" i="4"/>
  <c r="AF62" i="4"/>
  <c r="AR66" i="4"/>
  <c r="AJ40" i="4"/>
  <c r="AP46" i="4"/>
  <c r="AF34" i="4"/>
  <c r="AN46" i="4"/>
  <c r="AS118" i="4"/>
  <c r="AF74" i="4"/>
  <c r="AM212" i="4"/>
  <c r="AT122" i="4"/>
  <c r="AO158" i="4"/>
  <c r="AN166" i="4"/>
  <c r="AF218" i="4"/>
  <c r="AQ36" i="4"/>
  <c r="AR96" i="4"/>
  <c r="AQ51" i="4"/>
  <c r="AN36" i="4"/>
  <c r="AJ199" i="4"/>
  <c r="AM194" i="4"/>
  <c r="AN180" i="4"/>
  <c r="AN165" i="4"/>
  <c r="AN183" i="4"/>
  <c r="AP60" i="4"/>
  <c r="AP71" i="4"/>
  <c r="AN176" i="4"/>
  <c r="AM217" i="4"/>
  <c r="AF172" i="4"/>
  <c r="AN197" i="4"/>
  <c r="AP115" i="4"/>
  <c r="AT96" i="4"/>
  <c r="AO28" i="4"/>
  <c r="AN57" i="4"/>
  <c r="AN88" i="4"/>
  <c r="AS50" i="4"/>
  <c r="AO91" i="4"/>
  <c r="AF125" i="4"/>
  <c r="AJ181" i="4"/>
  <c r="AP68" i="4"/>
  <c r="AN152" i="4"/>
  <c r="AM20" i="4"/>
  <c r="AF35" i="4"/>
  <c r="AI97" i="4"/>
  <c r="AO188" i="4"/>
  <c r="AL194" i="4"/>
  <c r="AJ149" i="4"/>
  <c r="AO116" i="4"/>
  <c r="AN151" i="4"/>
  <c r="AL195" i="4"/>
  <c r="AQ172" i="4"/>
  <c r="AP184" i="4"/>
  <c r="AR211" i="4"/>
  <c r="AP186" i="4"/>
  <c r="AN24" i="4"/>
  <c r="AO72" i="4"/>
  <c r="AJ146" i="4"/>
  <c r="AO45" i="4"/>
  <c r="AN177" i="4"/>
  <c r="AO32" i="4"/>
  <c r="AP161" i="4"/>
  <c r="AP195" i="4"/>
  <c r="AQ212" i="4"/>
  <c r="AM190" i="4"/>
  <c r="AL189" i="4"/>
  <c r="AO175" i="4"/>
  <c r="AR117" i="4"/>
  <c r="AN191" i="4"/>
  <c r="AF81" i="4"/>
  <c r="AJ110" i="4"/>
  <c r="AT208" i="4"/>
  <c r="AP201" i="4"/>
  <c r="AM142" i="4"/>
  <c r="AQ207" i="4"/>
  <c r="AS16" i="4"/>
  <c r="AO143" i="4"/>
  <c r="AQ140" i="4"/>
  <c r="AM29" i="4"/>
  <c r="AO126" i="4"/>
  <c r="AP174" i="4"/>
  <c r="AM157" i="4"/>
  <c r="AO97" i="4"/>
  <c r="AS150" i="4"/>
  <c r="AQ152" i="4"/>
  <c r="AQ218" i="4"/>
  <c r="AN186" i="4"/>
  <c r="AR191" i="4"/>
  <c r="AO134" i="4"/>
  <c r="AP94" i="4"/>
  <c r="AJ58" i="4"/>
  <c r="AO113" i="4"/>
  <c r="AL119" i="4"/>
  <c r="AO42" i="4"/>
  <c r="AF102" i="4"/>
  <c r="AS187" i="4"/>
  <c r="AS170" i="4"/>
  <c r="AP133" i="4"/>
  <c r="AS135" i="4"/>
  <c r="AQ48" i="4"/>
  <c r="AO18" i="4"/>
  <c r="AO164" i="4"/>
  <c r="AJ131" i="4"/>
  <c r="AL69" i="4"/>
  <c r="AO120" i="4"/>
  <c r="AO117" i="4"/>
  <c r="AM44" i="4"/>
  <c r="AL211" i="4"/>
  <c r="AO184" i="4"/>
  <c r="AQ39" i="4"/>
  <c r="AS58" i="4"/>
  <c r="AR89" i="4"/>
  <c r="AQ14" i="4"/>
  <c r="AS61" i="4"/>
  <c r="AP155" i="4"/>
  <c r="AQ186" i="4"/>
  <c r="AT56" i="4"/>
  <c r="AQ19" i="4"/>
  <c r="AS77" i="4"/>
  <c r="AI95" i="4"/>
  <c r="AT129" i="4"/>
  <c r="AT221" i="4"/>
  <c r="AJ147" i="4"/>
  <c r="AI123" i="4"/>
  <c r="AR80" i="4"/>
  <c r="AO194" i="4"/>
  <c r="AN76" i="4"/>
  <c r="AJ66" i="4"/>
  <c r="AT103" i="4"/>
  <c r="AQ55" i="4"/>
  <c r="AF26" i="4"/>
  <c r="AM162" i="4"/>
  <c r="AR144" i="4"/>
  <c r="AF152" i="4"/>
  <c r="AJ15" i="4"/>
  <c r="AF148" i="4"/>
  <c r="AS155" i="4"/>
  <c r="AS37" i="4"/>
  <c r="AR33" i="4"/>
  <c r="AM62" i="4"/>
  <c r="AP203" i="4"/>
  <c r="AN173" i="4"/>
  <c r="AO133" i="4"/>
  <c r="AI183" i="4"/>
  <c r="AO216" i="4"/>
  <c r="AP137" i="4"/>
  <c r="AQ53" i="4"/>
  <c r="AF181" i="4"/>
  <c r="AP97" i="4"/>
  <c r="AT23" i="4"/>
  <c r="AS38" i="4"/>
  <c r="AP93" i="4"/>
  <c r="AO71" i="4"/>
  <c r="AI111" i="4"/>
  <c r="AL107" i="4"/>
  <c r="AL112" i="4"/>
  <c r="AI17" i="4"/>
  <c r="AM70" i="12"/>
  <c r="AP96" i="12"/>
  <c r="AT78" i="12"/>
  <c r="AS85" i="12"/>
  <c r="AJ24" i="12"/>
  <c r="AL82" i="12"/>
  <c r="AS35" i="12"/>
  <c r="AT20" i="12"/>
  <c r="AI21" i="12"/>
  <c r="AL88" i="12"/>
  <c r="AP46" i="12"/>
  <c r="AP98" i="12"/>
  <c r="AQ79" i="12"/>
  <c r="AT63" i="12"/>
  <c r="AQ54" i="12"/>
  <c r="AT103" i="12"/>
  <c r="AJ40" i="12"/>
  <c r="AM73" i="12"/>
  <c r="AS101" i="12"/>
  <c r="AQ42" i="12"/>
  <c r="AJ87" i="12"/>
  <c r="AS20" i="12"/>
  <c r="AP75" i="12"/>
  <c r="AJ89" i="12"/>
  <c r="AT15" i="12"/>
  <c r="AJ69" i="12"/>
  <c r="AN31" i="12"/>
  <c r="AR87" i="12"/>
  <c r="AN99" i="12"/>
  <c r="AE83" i="12"/>
  <c r="AP29" i="12"/>
  <c r="AM22" i="12"/>
  <c r="AI88" i="12"/>
  <c r="AO38" i="12"/>
  <c r="AM48" i="12"/>
  <c r="AO90" i="4"/>
  <c r="AT95" i="4"/>
  <c r="AM79" i="4"/>
  <c r="AT136" i="4"/>
  <c r="AQ105" i="4"/>
  <c r="AJ162" i="4"/>
  <c r="AR130" i="4"/>
  <c r="AR109" i="4"/>
  <c r="AT131" i="4"/>
  <c r="AM106" i="4"/>
  <c r="AJ51" i="4"/>
  <c r="AI62" i="4"/>
  <c r="AO59" i="4"/>
  <c r="AQ70" i="4"/>
  <c r="AO98" i="4"/>
  <c r="AP205" i="4"/>
  <c r="AO115" i="4"/>
  <c r="AI79" i="4"/>
  <c r="AF79" i="4"/>
  <c r="AR45" i="4"/>
  <c r="AR26" i="4"/>
  <c r="AJ108" i="4"/>
  <c r="AO74" i="4"/>
  <c r="AO86" i="4"/>
  <c r="AS73" i="4"/>
  <c r="AM196" i="4"/>
  <c r="AM56" i="4"/>
  <c r="AR30" i="4"/>
  <c r="AJ50" i="4"/>
  <c r="AN116" i="4"/>
  <c r="AJ209" i="4"/>
  <c r="AL45" i="4"/>
  <c r="AQ167" i="4"/>
  <c r="AM119" i="4"/>
  <c r="AI83" i="4"/>
  <c r="AO122" i="4"/>
  <c r="AT104" i="4"/>
  <c r="AM170" i="4"/>
  <c r="AL171" i="4"/>
  <c r="AF113" i="4"/>
  <c r="AQ162" i="4"/>
  <c r="AM156" i="4"/>
  <c r="AJ69" i="4"/>
  <c r="AN109" i="4"/>
  <c r="AO128" i="4"/>
  <c r="AS199" i="4"/>
  <c r="AT116" i="4"/>
  <c r="AN208" i="4"/>
  <c r="AN30" i="4"/>
  <c r="AL94" i="4"/>
  <c r="AQ170" i="4"/>
  <c r="AO37" i="4"/>
  <c r="AJ109" i="4"/>
  <c r="AT146" i="4"/>
  <c r="AO110" i="4"/>
  <c r="AJ140" i="4"/>
  <c r="AF115" i="4"/>
  <c r="AQ185" i="4"/>
  <c r="AI161" i="4"/>
  <c r="AN131" i="4"/>
  <c r="AI142" i="4"/>
  <c r="AS137" i="4"/>
  <c r="AN189" i="4"/>
  <c r="AS191" i="4"/>
  <c r="AT152" i="4"/>
  <c r="AN146" i="4"/>
  <c r="AR28" i="4"/>
  <c r="AP180" i="4"/>
  <c r="AJ204" i="4"/>
  <c r="AS91" i="4"/>
  <c r="AJ107" i="4"/>
  <c r="AJ44" i="4"/>
  <c r="AM75" i="4"/>
  <c r="AS95" i="4"/>
  <c r="AR102" i="4"/>
  <c r="AS23" i="4"/>
  <c r="AM36" i="4"/>
  <c r="AI102" i="4"/>
  <c r="AT32" i="4"/>
  <c r="AR128" i="4"/>
  <c r="AL35" i="4"/>
  <c r="AS201" i="4"/>
  <c r="AR165" i="4"/>
  <c r="AT85" i="4"/>
  <c r="AO174" i="4"/>
  <c r="AP130" i="4"/>
  <c r="AS24" i="4"/>
  <c r="AR136" i="4"/>
  <c r="AO46" i="4"/>
  <c r="AN162" i="4"/>
  <c r="AP210" i="4"/>
  <c r="AT215" i="4"/>
  <c r="AT155" i="4"/>
  <c r="AS84" i="4"/>
  <c r="AJ113" i="4"/>
  <c r="AQ174" i="4"/>
  <c r="AO139" i="4"/>
  <c r="AP197" i="4"/>
  <c r="AJ135" i="4"/>
  <c r="AF136" i="4"/>
  <c r="AO202" i="4"/>
  <c r="AM151" i="4"/>
  <c r="AL62" i="4"/>
  <c r="AT58" i="4"/>
  <c r="AS142" i="4"/>
  <c r="AQ190" i="4"/>
  <c r="AM137" i="4"/>
  <c r="AF21" i="4"/>
  <c r="AP77" i="4"/>
  <c r="AP101" i="4"/>
  <c r="AT37" i="4"/>
  <c r="AN139" i="4"/>
  <c r="AL30" i="4"/>
  <c r="AQ27" i="4"/>
  <c r="AQ146" i="4"/>
  <c r="AM179" i="4"/>
  <c r="AQ58" i="4"/>
  <c r="AI76" i="4"/>
  <c r="AM178" i="4"/>
  <c r="AM208" i="4"/>
  <c r="AL58" i="4"/>
  <c r="AF160" i="4"/>
  <c r="AI149" i="4"/>
  <c r="AO137" i="4"/>
  <c r="AT109" i="4"/>
  <c r="AM110" i="4"/>
  <c r="AJ148" i="4"/>
  <c r="AQ46" i="4"/>
  <c r="AJ93" i="4"/>
  <c r="AF22" i="4"/>
  <c r="AL186" i="4"/>
  <c r="AQ180" i="4"/>
  <c r="AM124" i="4"/>
  <c r="AO15" i="4"/>
  <c r="AS196" i="4"/>
  <c r="AQ49" i="4"/>
  <c r="AT80" i="4"/>
  <c r="AO34" i="4"/>
  <c r="AN80" i="4"/>
  <c r="AI163" i="4"/>
  <c r="AQ209" i="4"/>
  <c r="AJ207" i="4"/>
  <c r="AO211" i="4"/>
  <c r="AL108" i="4"/>
  <c r="AT124" i="4"/>
  <c r="AI127" i="4"/>
  <c r="AJ23" i="4"/>
  <c r="AR16" i="4"/>
  <c r="AN141" i="4"/>
  <c r="AI61" i="4"/>
  <c r="AN58" i="4"/>
  <c r="AQ33" i="4"/>
  <c r="AL146" i="4"/>
  <c r="AR147" i="4"/>
  <c r="AI192" i="4"/>
  <c r="AS221" i="4"/>
  <c r="AR172" i="4"/>
  <c r="AF203" i="4"/>
  <c r="AO56" i="4"/>
  <c r="AO165" i="4"/>
  <c r="AM72" i="4"/>
  <c r="AF92" i="4"/>
  <c r="AS197" i="4"/>
  <c r="AT161" i="4"/>
  <c r="AP158" i="4"/>
  <c r="AJ96" i="4"/>
  <c r="AR142" i="4"/>
  <c r="AN62" i="4"/>
  <c r="AP107" i="4"/>
  <c r="AS89" i="4"/>
  <c r="AM183" i="4"/>
  <c r="AF30" i="4"/>
  <c r="AI21" i="4"/>
  <c r="AQ50" i="4"/>
  <c r="AQ65" i="4"/>
  <c r="AL156" i="4"/>
  <c r="AN132" i="4"/>
  <c r="AM127" i="4"/>
  <c r="AJ144" i="4"/>
  <c r="AI39" i="4"/>
  <c r="AO100" i="4"/>
  <c r="AO210" i="4"/>
  <c r="AJ206" i="4"/>
  <c r="AR208" i="4"/>
  <c r="AI124" i="4"/>
  <c r="AQ164" i="4"/>
  <c r="AL209" i="4"/>
  <c r="AL20" i="4"/>
  <c r="AT72" i="4"/>
  <c r="AF61" i="4"/>
  <c r="AJ164" i="4"/>
  <c r="AJ212" i="4"/>
  <c r="AS49" i="4"/>
  <c r="AI189" i="4"/>
  <c r="AJ137" i="4"/>
  <c r="AF90" i="4"/>
  <c r="AT168" i="4"/>
  <c r="AR205" i="4"/>
  <c r="AL111" i="4"/>
  <c r="AR160" i="4"/>
  <c r="AN101" i="4"/>
  <c r="AO44" i="4"/>
  <c r="AJ133" i="4"/>
  <c r="AQ125" i="4"/>
  <c r="AS64" i="4"/>
  <c r="AS165" i="4"/>
  <c r="AT177" i="4"/>
  <c r="AR171" i="4"/>
  <c r="AT214" i="4"/>
  <c r="AI145" i="4"/>
  <c r="AN216" i="4"/>
  <c r="AJ214" i="4"/>
  <c r="AO112" i="4"/>
  <c r="AL86" i="12"/>
  <c r="AS97" i="12"/>
  <c r="AL30" i="12"/>
  <c r="AJ80" i="12"/>
  <c r="AR76" i="12"/>
  <c r="AP16" i="12"/>
  <c r="AE50" i="12"/>
  <c r="AT42" i="12"/>
  <c r="AL19" i="12"/>
  <c r="AT18" i="12"/>
  <c r="AI58" i="12"/>
  <c r="AE70" i="12"/>
  <c r="AQ101" i="12"/>
  <c r="AP23" i="12"/>
  <c r="AL83" i="12"/>
  <c r="AR31" i="12"/>
  <c r="AQ92" i="12"/>
  <c r="AS50" i="12"/>
  <c r="AL98" i="12"/>
  <c r="AO85" i="12"/>
  <c r="AS27" i="12"/>
  <c r="AR45" i="12"/>
  <c r="AQ48" i="12"/>
  <c r="AE86" i="12"/>
  <c r="AP82" i="12"/>
  <c r="AM55" i="12"/>
  <c r="AR38" i="12"/>
  <c r="AO21" i="12"/>
  <c r="AQ24" i="12"/>
  <c r="AE63" i="12"/>
  <c r="AE72" i="12"/>
  <c r="AM17" i="12"/>
  <c r="AM43" i="12"/>
  <c r="AS69" i="12"/>
  <c r="AF71" i="4"/>
  <c r="AL73" i="4"/>
  <c r="AF158" i="4"/>
  <c r="AJ119" i="4"/>
  <c r="AR100" i="4"/>
  <c r="AJ56" i="4"/>
  <c r="AP92" i="4"/>
  <c r="AP84" i="4"/>
  <c r="AL77" i="4"/>
  <c r="AP111" i="4"/>
  <c r="AJ43" i="4"/>
  <c r="AP80" i="4"/>
  <c r="AQ87" i="4"/>
  <c r="AF53" i="4"/>
  <c r="AF129" i="4"/>
  <c r="AN117" i="4"/>
  <c r="AT59" i="4"/>
  <c r="AP20" i="4"/>
  <c r="AS105" i="4"/>
  <c r="AJ46" i="4"/>
  <c r="AJ52" i="4"/>
  <c r="AL57" i="4"/>
  <c r="AJ216" i="4"/>
  <c r="AR51" i="4"/>
  <c r="AL59" i="4"/>
  <c r="AI172" i="4"/>
  <c r="AP26" i="4"/>
  <c r="AL34" i="4"/>
  <c r="AO68" i="4"/>
  <c r="AJ18" i="4"/>
  <c r="AI196" i="4"/>
  <c r="AN19" i="4"/>
  <c r="AS116" i="4"/>
  <c r="AR185" i="4"/>
  <c r="AM42" i="4"/>
  <c r="AQ131" i="4"/>
  <c r="AT106" i="4"/>
  <c r="AM186" i="4"/>
  <c r="AS34" i="4"/>
  <c r="AF206" i="4"/>
  <c r="AS174" i="4"/>
  <c r="AQ217" i="4"/>
  <c r="AO156" i="4"/>
  <c r="AM144" i="4"/>
  <c r="AF186" i="4"/>
  <c r="AQ95" i="4"/>
  <c r="AR37" i="4"/>
  <c r="AM167" i="4"/>
  <c r="AT111" i="4"/>
  <c r="AS134" i="4"/>
  <c r="AJ99" i="4"/>
  <c r="AN29" i="4"/>
  <c r="AI32" i="4"/>
  <c r="AO62" i="4"/>
  <c r="AL42" i="4"/>
  <c r="AQ23" i="4"/>
  <c r="AP114" i="4"/>
  <c r="AT98" i="4"/>
  <c r="AO185" i="4"/>
  <c r="AL218" i="4"/>
  <c r="AI179" i="4"/>
  <c r="AL178" i="4"/>
  <c r="AJ141" i="4"/>
  <c r="AI117" i="4"/>
  <c r="AQ136" i="4"/>
  <c r="AO145" i="4"/>
  <c r="AT46" i="4"/>
  <c r="AQ194" i="4"/>
  <c r="AO177" i="4"/>
  <c r="AO129" i="4"/>
  <c r="AM38" i="4"/>
  <c r="AR132" i="4"/>
  <c r="AJ169" i="4"/>
  <c r="AT201" i="4"/>
  <c r="AT35" i="4"/>
  <c r="AI48" i="4"/>
  <c r="AS114" i="4"/>
  <c r="AL123" i="4"/>
  <c r="AS171" i="4"/>
  <c r="AT38" i="4"/>
  <c r="AL210" i="4"/>
  <c r="AL91" i="4"/>
  <c r="AM67" i="4"/>
  <c r="AO43" i="4"/>
  <c r="AP76" i="4"/>
  <c r="AT97" i="4"/>
  <c r="AS94" i="4"/>
  <c r="AL180" i="4"/>
  <c r="AM188" i="4"/>
  <c r="AP126" i="4"/>
  <c r="AI209" i="4"/>
  <c r="AO166" i="4"/>
  <c r="AI105" i="4"/>
  <c r="AQ214" i="4"/>
  <c r="AO35" i="4"/>
  <c r="AT182" i="4"/>
  <c r="AO181" i="4"/>
  <c r="AO217" i="4"/>
  <c r="AL23" i="4"/>
  <c r="AT145" i="4"/>
  <c r="AN195" i="4"/>
  <c r="AN171" i="4"/>
  <c r="AQ15" i="4"/>
  <c r="AN137" i="4"/>
  <c r="AS82" i="4"/>
  <c r="AJ62" i="4"/>
  <c r="AO189" i="4"/>
  <c r="AF27" i="4"/>
  <c r="AS154" i="4"/>
  <c r="AT40" i="4"/>
  <c r="AF220" i="4"/>
  <c r="AF188" i="4"/>
  <c r="AR206" i="4"/>
  <c r="AF162" i="4"/>
  <c r="AF184" i="4"/>
  <c r="AN107" i="4"/>
  <c r="AO157" i="4"/>
  <c r="AO101" i="4"/>
  <c r="AO20" i="4"/>
  <c r="AL172" i="4"/>
  <c r="AO201" i="4"/>
  <c r="AP204" i="4"/>
  <c r="AT180" i="4"/>
  <c r="AP169" i="4"/>
  <c r="AR219" i="4"/>
  <c r="AR118" i="4"/>
  <c r="AJ37" i="4"/>
  <c r="AQ219" i="4"/>
  <c r="AL24" i="4"/>
  <c r="AO51" i="4"/>
  <c r="AL120" i="4"/>
  <c r="AM55" i="4"/>
  <c r="AM70" i="4"/>
  <c r="AN149" i="4"/>
  <c r="AP85" i="4"/>
  <c r="AP58" i="4"/>
  <c r="AM90" i="4"/>
  <c r="AQ138" i="4"/>
  <c r="AP190" i="4"/>
  <c r="AL114" i="4"/>
  <c r="AI185" i="4"/>
  <c r="AI53" i="4"/>
  <c r="AR94" i="4"/>
  <c r="AT183" i="4"/>
  <c r="AS200" i="4"/>
  <c r="AJ219" i="4"/>
  <c r="AI139" i="4"/>
  <c r="AM104" i="4"/>
  <c r="AJ74" i="4"/>
  <c r="AF103" i="4"/>
  <c r="AT119" i="4"/>
  <c r="AP57" i="12"/>
  <c r="AR58" i="12"/>
  <c r="AN76" i="12"/>
  <c r="AI52" i="12"/>
  <c r="AM65" i="12"/>
  <c r="AI71" i="12"/>
  <c r="AP52" i="12"/>
  <c r="AQ78" i="12"/>
  <c r="AR63" i="12"/>
  <c r="AR81" i="12"/>
  <c r="AQ45" i="12"/>
  <c r="AN19" i="12"/>
  <c r="AJ104" i="12"/>
  <c r="AJ72" i="12"/>
  <c r="AI56" i="12"/>
  <c r="AJ76" i="12"/>
  <c r="AE100" i="12"/>
  <c r="AJ15" i="12"/>
  <c r="AO94" i="12"/>
  <c r="AL20" i="12"/>
  <c r="AS58" i="12"/>
  <c r="AP42" i="12"/>
  <c r="AI34" i="4"/>
  <c r="AO85" i="4"/>
  <c r="AI58" i="4"/>
  <c r="AR38" i="4"/>
  <c r="AO61" i="4"/>
  <c r="AT154" i="4"/>
  <c r="AS141" i="4"/>
  <c r="AN220" i="4"/>
  <c r="AP96" i="4"/>
  <c r="AJ168" i="4"/>
  <c r="AI103" i="4"/>
  <c r="AT70" i="4"/>
  <c r="AJ20" i="4"/>
  <c r="AN54" i="4"/>
  <c r="AT20" i="4"/>
  <c r="AO17" i="4"/>
  <c r="AP30" i="4"/>
  <c r="AS56" i="4"/>
  <c r="AL51" i="4"/>
  <c r="AR70" i="4"/>
  <c r="AI51" i="4"/>
  <c r="AF108" i="4"/>
  <c r="AJ145" i="4"/>
  <c r="AP33" i="4"/>
  <c r="AS120" i="4"/>
  <c r="AS15" i="4"/>
  <c r="AF116" i="4"/>
  <c r="AS30" i="4"/>
  <c r="AF41" i="4"/>
  <c r="AN31" i="4"/>
  <c r="AN94" i="4"/>
  <c r="AT43" i="4"/>
  <c r="AI93" i="4"/>
  <c r="AR179" i="4"/>
  <c r="AO144" i="4"/>
  <c r="AO142" i="4"/>
  <c r="AT172" i="4"/>
  <c r="AS184" i="4"/>
  <c r="AP116" i="4"/>
  <c r="AR199" i="4"/>
  <c r="AP179" i="4"/>
  <c r="AR215" i="4"/>
  <c r="AN21" i="4"/>
  <c r="AI207" i="4"/>
  <c r="AI84" i="4"/>
  <c r="AN35" i="4"/>
  <c r="AF46" i="4"/>
  <c r="AT108" i="4"/>
  <c r="AS194" i="4"/>
  <c r="AF130" i="4"/>
  <c r="AN167" i="4"/>
  <c r="AO152" i="4"/>
  <c r="AN190" i="4"/>
  <c r="AN44" i="4"/>
  <c r="AN170" i="4"/>
  <c r="AS125" i="4"/>
  <c r="AQ34" i="4"/>
  <c r="AR64" i="4"/>
  <c r="AP73" i="4"/>
  <c r="AO124" i="4"/>
  <c r="AQ139" i="4"/>
  <c r="AM184" i="4"/>
  <c r="AQ211" i="4"/>
  <c r="AN68" i="4"/>
  <c r="AQ178" i="4"/>
  <c r="AL182" i="4"/>
  <c r="AP192" i="4"/>
  <c r="AF142" i="4"/>
  <c r="AP159" i="4"/>
  <c r="AN79" i="4"/>
  <c r="AJ106" i="4"/>
  <c r="AM115" i="4"/>
  <c r="AT18" i="4"/>
  <c r="AN114" i="4"/>
  <c r="AT164" i="4"/>
  <c r="AT160" i="4"/>
  <c r="AS136" i="4"/>
  <c r="AF202" i="4"/>
  <c r="AN218" i="4"/>
  <c r="AI133" i="4"/>
  <c r="AL113" i="4"/>
  <c r="AQ102" i="4"/>
  <c r="AN210" i="4"/>
  <c r="AQ126" i="4"/>
  <c r="AI184" i="4"/>
  <c r="AL196" i="4"/>
  <c r="AM168" i="4"/>
  <c r="AO19" i="4"/>
  <c r="AL33" i="4"/>
  <c r="AJ90" i="4"/>
  <c r="AI75" i="4"/>
  <c r="AR98" i="4"/>
  <c r="AQ110" i="4"/>
  <c r="AN202" i="4"/>
  <c r="AT78" i="4"/>
  <c r="AM195" i="4"/>
  <c r="AN59" i="4"/>
  <c r="AT163" i="4"/>
  <c r="AS210" i="4"/>
  <c r="AP212" i="4"/>
  <c r="AQ84" i="4"/>
  <c r="AF153" i="4"/>
  <c r="AI41" i="4"/>
  <c r="AI98" i="4"/>
  <c r="AT64" i="4"/>
  <c r="AP136" i="4"/>
  <c r="AL56" i="4"/>
  <c r="AN113" i="4"/>
  <c r="AQ177" i="4"/>
  <c r="AL46" i="4"/>
  <c r="AN205" i="4"/>
  <c r="AT184" i="4"/>
  <c r="AQ99" i="4"/>
  <c r="AS115" i="4"/>
  <c r="AS166" i="4"/>
  <c r="AF219" i="4"/>
  <c r="AQ204" i="4"/>
  <c r="AL28" i="4"/>
  <c r="AF141" i="4"/>
  <c r="AL214" i="4"/>
  <c r="AM107" i="4"/>
  <c r="AR62" i="4"/>
  <c r="AO159" i="4"/>
  <c r="AQ76" i="4"/>
  <c r="AN142" i="4"/>
  <c r="AP95" i="4"/>
  <c r="AJ116" i="4"/>
  <c r="AM216" i="4"/>
  <c r="AF195" i="4"/>
  <c r="AI186" i="4"/>
  <c r="AS85" i="4"/>
  <c r="AI94" i="4"/>
  <c r="AO171" i="4"/>
  <c r="AS173" i="4"/>
  <c r="AN159" i="4"/>
  <c r="AM155" i="4"/>
  <c r="AM205" i="4"/>
  <c r="AO69" i="4"/>
  <c r="AT17" i="4"/>
  <c r="AR183" i="4"/>
  <c r="AS28" i="4"/>
  <c r="AP181" i="4"/>
  <c r="AR146" i="4"/>
  <c r="AN83" i="4"/>
  <c r="AF167" i="4"/>
  <c r="AI199" i="4"/>
  <c r="AF95" i="4"/>
  <c r="AT79" i="4"/>
  <c r="AF179" i="4"/>
  <c r="AJ103" i="4"/>
  <c r="AI180" i="4"/>
  <c r="AN199" i="4"/>
  <c r="AF192" i="4"/>
  <c r="AL117" i="4"/>
  <c r="AN52" i="4"/>
  <c r="AS127" i="4"/>
  <c r="AQ199" i="4"/>
  <c r="AP106" i="4"/>
  <c r="AJ158" i="4"/>
  <c r="AF140" i="4"/>
  <c r="AI198" i="4"/>
  <c r="AN85" i="4"/>
  <c r="AI136" i="4"/>
  <c r="AN207" i="4"/>
  <c r="AL147" i="4"/>
  <c r="AI131" i="4"/>
  <c r="AL65" i="4"/>
  <c r="AP125" i="4"/>
  <c r="AI167" i="4"/>
  <c r="AJ26" i="4"/>
  <c r="AQ83" i="4"/>
  <c r="AL128" i="4"/>
  <c r="AS151" i="4"/>
  <c r="AF189" i="4"/>
  <c r="AL201" i="4"/>
  <c r="AF121" i="4"/>
  <c r="AN140" i="4"/>
  <c r="AI202" i="4"/>
  <c r="AM176" i="4"/>
  <c r="AR176" i="4"/>
  <c r="AF144" i="4"/>
  <c r="AO215" i="4"/>
  <c r="AO105" i="4"/>
  <c r="AP127" i="4"/>
  <c r="AJ104" i="4"/>
  <c r="AQ149" i="4"/>
  <c r="AJ190" i="4"/>
  <c r="AR21" i="4"/>
  <c r="AP221" i="4"/>
  <c r="AM52" i="4"/>
  <c r="AS189" i="4"/>
  <c r="AI150" i="4"/>
  <c r="AL158" i="4"/>
  <c r="AS68" i="4"/>
  <c r="AL206" i="4"/>
  <c r="AR52" i="12"/>
  <c r="AT55" i="12"/>
  <c r="AJ47" i="12"/>
  <c r="AS54" i="12"/>
  <c r="AR102" i="12"/>
  <c r="AP67" i="12"/>
  <c r="AI37" i="12"/>
  <c r="AP21" i="12"/>
  <c r="AP35" i="12"/>
  <c r="AE16" i="12"/>
  <c r="AO86" i="12"/>
  <c r="AI34" i="12"/>
  <c r="AN86" i="12"/>
  <c r="AR47" i="12"/>
  <c r="AI81" i="12"/>
  <c r="AM33" i="12"/>
  <c r="AN89" i="12"/>
  <c r="AM51" i="12"/>
  <c r="AS26" i="12"/>
  <c r="AI15" i="4"/>
  <c r="AN39" i="4"/>
  <c r="AS59" i="4"/>
  <c r="AL54" i="4"/>
  <c r="AF24" i="4"/>
  <c r="AI147" i="4"/>
  <c r="AP100" i="4"/>
  <c r="AQ142" i="4"/>
  <c r="AF91" i="4"/>
  <c r="AF205" i="4"/>
  <c r="AL205" i="4"/>
  <c r="AN158" i="4"/>
  <c r="AM30" i="4"/>
  <c r="AP91" i="4"/>
  <c r="AF66" i="4"/>
  <c r="AI30" i="4"/>
  <c r="AI73" i="4"/>
  <c r="AM95" i="4"/>
  <c r="AM83" i="4"/>
  <c r="AR68" i="4"/>
  <c r="AI170" i="4"/>
  <c r="AI151" i="4"/>
  <c r="AM211" i="4"/>
  <c r="AO79" i="4"/>
  <c r="AL83" i="4"/>
  <c r="AS204" i="4"/>
  <c r="AI85" i="4"/>
  <c r="AI173" i="4"/>
  <c r="AM50" i="4"/>
  <c r="AT82" i="4"/>
  <c r="AI129" i="4"/>
  <c r="AI214" i="4"/>
  <c r="AF57" i="4"/>
  <c r="AR104" i="4"/>
  <c r="AS83" i="4"/>
  <c r="AL55" i="4"/>
  <c r="AQ213" i="4"/>
  <c r="AT173" i="4"/>
  <c r="AS130" i="4"/>
  <c r="AQ43" i="4"/>
  <c r="AL90" i="4"/>
  <c r="AT115" i="4"/>
  <c r="AP45" i="4"/>
  <c r="AO155" i="4"/>
  <c r="AI159" i="4"/>
  <c r="AM93" i="4"/>
  <c r="AS53" i="4"/>
  <c r="AI26" i="4"/>
  <c r="AO31" i="4"/>
  <c r="AS36" i="4"/>
  <c r="AF217" i="4"/>
  <c r="AF143" i="4"/>
  <c r="AO141" i="4"/>
  <c r="AP144" i="4"/>
  <c r="AT49" i="4"/>
  <c r="AL184" i="4"/>
  <c r="AR200" i="4"/>
  <c r="AM109" i="4"/>
  <c r="AN150" i="4"/>
  <c r="AP74" i="4"/>
  <c r="AL192" i="4"/>
  <c r="AR25" i="4"/>
  <c r="AQ101" i="4"/>
  <c r="AR54" i="4"/>
  <c r="AN106" i="4"/>
  <c r="AN98" i="4"/>
  <c r="AF37" i="4"/>
  <c r="AM25" i="4"/>
  <c r="AL154" i="4"/>
  <c r="AI108" i="4"/>
  <c r="AF157" i="4"/>
  <c r="AT113" i="4"/>
  <c r="AI217" i="4"/>
  <c r="AF163" i="4"/>
  <c r="AR190" i="4"/>
  <c r="AM191" i="4"/>
  <c r="AP122" i="4"/>
  <c r="AP194" i="4"/>
  <c r="AI63" i="4"/>
  <c r="AI165" i="4"/>
  <c r="AJ160" i="4"/>
  <c r="AM193" i="4"/>
  <c r="AO207" i="4"/>
  <c r="AF177" i="4"/>
  <c r="AT197" i="4"/>
  <c r="AT92" i="4"/>
  <c r="AL41" i="4"/>
  <c r="AT142" i="4"/>
  <c r="AM200" i="4"/>
  <c r="AF213" i="4"/>
  <c r="AM40" i="4"/>
  <c r="AR18" i="4"/>
  <c r="AM86" i="4"/>
  <c r="AS147" i="4"/>
  <c r="AP182" i="4"/>
  <c r="AO50" i="4"/>
  <c r="AN61" i="4"/>
  <c r="AI213" i="4"/>
  <c r="AS131" i="4"/>
  <c r="AR82" i="4"/>
  <c r="AL179" i="4"/>
  <c r="AQ153" i="4"/>
  <c r="AO22" i="4"/>
  <c r="AF183" i="4"/>
  <c r="AJ156" i="4"/>
  <c r="AI212" i="4"/>
  <c r="AL75" i="4"/>
  <c r="AI29" i="4"/>
  <c r="AI153" i="4"/>
  <c r="AN144" i="4"/>
  <c r="AF19" i="4"/>
  <c r="AR116" i="4"/>
  <c r="AL130" i="4"/>
  <c r="AO182" i="4"/>
  <c r="AI115" i="4"/>
  <c r="AN160" i="4"/>
  <c r="AR188" i="4"/>
  <c r="AR204" i="4"/>
  <c r="AL207" i="4"/>
  <c r="AF216" i="4"/>
  <c r="AL26" i="4"/>
  <c r="AS216" i="4"/>
  <c r="AF210" i="4"/>
  <c r="AS21" i="4"/>
  <c r="AM166" i="4"/>
  <c r="AR101" i="4"/>
  <c r="AN169" i="4"/>
  <c r="AN182" i="4"/>
  <c r="AL144" i="4"/>
  <c r="AQ120" i="4"/>
  <c r="AP189" i="4"/>
  <c r="AR186" i="4"/>
  <c r="AI106" i="4"/>
  <c r="AR35" i="4"/>
  <c r="AM180" i="4"/>
  <c r="AT187" i="4"/>
  <c r="AM149" i="4"/>
  <c r="AM152" i="4"/>
  <c r="AQ171" i="4"/>
  <c r="AM175" i="4"/>
  <c r="AT162" i="4"/>
  <c r="AP62" i="4"/>
  <c r="AN188" i="4"/>
  <c r="AQ143" i="4"/>
  <c r="AS206" i="4"/>
  <c r="AI40" i="4"/>
  <c r="AN67" i="4"/>
  <c r="AS65" i="4"/>
  <c r="AS122" i="4"/>
  <c r="AF196" i="4"/>
  <c r="AQ200" i="4"/>
  <c r="AM139" i="4"/>
  <c r="AN97" i="4"/>
  <c r="AT220" i="4"/>
  <c r="AN27" i="4"/>
  <c r="AF204" i="4"/>
  <c r="AI220" i="4"/>
  <c r="AJ152" i="4"/>
  <c r="AS202" i="4"/>
  <c r="AJ191" i="4"/>
  <c r="AQ221" i="4"/>
  <c r="AS192" i="4"/>
  <c r="AI128" i="4"/>
  <c r="AR207" i="4"/>
  <c r="AI118" i="4"/>
  <c r="AI37" i="4"/>
  <c r="AS218" i="4"/>
  <c r="AF54" i="4"/>
  <c r="AL142" i="4"/>
  <c r="AS70" i="4"/>
  <c r="AS203" i="4"/>
  <c r="AI69" i="4"/>
  <c r="AQ144" i="4"/>
  <c r="AI19" i="4"/>
  <c r="AN34" i="4"/>
  <c r="AF122" i="4"/>
  <c r="AL125" i="4"/>
  <c r="AF165" i="4"/>
  <c r="AO180" i="4"/>
  <c r="AS98" i="4"/>
  <c r="AQ38" i="4"/>
  <c r="AS195" i="4"/>
  <c r="AR58" i="4"/>
  <c r="AM101" i="4"/>
  <c r="AM120" i="4"/>
  <c r="AS44" i="4"/>
  <c r="AP176" i="4"/>
  <c r="AT118" i="4"/>
  <c r="AQ163" i="4"/>
  <c r="AJ197" i="4"/>
  <c r="AO218" i="4"/>
  <c r="AN49" i="4"/>
  <c r="AM39" i="4"/>
  <c r="AT74" i="4"/>
  <c r="AR210" i="4"/>
  <c r="AL155" i="4"/>
  <c r="AQ147" i="4"/>
  <c r="AP218" i="4"/>
  <c r="AN91" i="4"/>
  <c r="AI122" i="4"/>
  <c r="AQ128" i="4"/>
  <c r="AR181" i="4"/>
  <c r="AN187" i="4"/>
  <c r="AJ114" i="4"/>
  <c r="AP117" i="4"/>
  <c r="AL50" i="4"/>
  <c r="AJ134" i="4"/>
  <c r="AP104" i="4"/>
  <c r="AF151" i="4"/>
  <c r="AM210" i="4"/>
  <c r="AQ187" i="4"/>
  <c r="AS81" i="12"/>
  <c r="AP56" i="12"/>
  <c r="AE15" i="12"/>
  <c r="AR82" i="12"/>
  <c r="AQ70" i="12"/>
  <c r="AS70" i="12"/>
  <c r="AI103" i="12"/>
  <c r="AQ33" i="12"/>
  <c r="AT102" i="12"/>
  <c r="AM45" i="12"/>
  <c r="AI31" i="12"/>
  <c r="AE79" i="12"/>
  <c r="AT52" i="12"/>
  <c r="AE85" i="12"/>
  <c r="AL53" i="12"/>
  <c r="AO35" i="12"/>
  <c r="AL92" i="12"/>
  <c r="AT72" i="12"/>
  <c r="AO72" i="12"/>
  <c r="AR41" i="12"/>
  <c r="AS30" i="12"/>
  <c r="AL85" i="4"/>
  <c r="AQ71" i="4"/>
  <c r="AJ122" i="4"/>
  <c r="AN28" i="4"/>
  <c r="AI205" i="4"/>
  <c r="AO48" i="4"/>
  <c r="AJ95" i="4"/>
  <c r="AT76" i="4"/>
  <c r="AM148" i="4"/>
  <c r="AR52" i="4"/>
  <c r="AT110" i="4"/>
  <c r="AR29" i="4"/>
  <c r="AP105" i="4"/>
  <c r="AJ30" i="4"/>
  <c r="AQ41" i="4"/>
  <c r="AQ25" i="4"/>
  <c r="AP56" i="4"/>
  <c r="AN110" i="4"/>
  <c r="AO130" i="4"/>
  <c r="AR139" i="4"/>
  <c r="AT105" i="4"/>
  <c r="AM203" i="4"/>
  <c r="AS208" i="4"/>
  <c r="AR152" i="4"/>
  <c r="AP216" i="4"/>
  <c r="AQ191" i="4"/>
  <c r="AP214" i="4"/>
  <c r="AS88" i="4"/>
  <c r="AI25" i="4"/>
  <c r="AM68" i="4"/>
  <c r="AO63" i="4"/>
  <c r="AI113" i="4"/>
  <c r="AT91" i="4"/>
  <c r="AP191" i="4"/>
  <c r="AN213" i="4"/>
  <c r="AQ64" i="4"/>
  <c r="AM122" i="4"/>
  <c r="AS97" i="4"/>
  <c r="AM14" i="4"/>
  <c r="AQ61" i="4"/>
  <c r="AT88" i="4"/>
  <c r="AT218" i="4"/>
  <c r="AR17" i="4"/>
  <c r="AS139" i="4"/>
  <c r="AN96" i="4"/>
  <c r="AQ80" i="4"/>
  <c r="AP152" i="4"/>
  <c r="AP139" i="4"/>
  <c r="AP113" i="4"/>
  <c r="AT66" i="4"/>
  <c r="AR92" i="4"/>
  <c r="AQ30" i="4"/>
  <c r="AR221" i="4"/>
  <c r="AJ129" i="4"/>
  <c r="AM41" i="4"/>
  <c r="AR49" i="4"/>
  <c r="AI23" i="4"/>
  <c r="AP44" i="4"/>
  <c r="AS205" i="4"/>
  <c r="AM51" i="4"/>
  <c r="AS126" i="4"/>
  <c r="AR106" i="4"/>
  <c r="AO99" i="4"/>
  <c r="AS143" i="4"/>
  <c r="AM84" i="4"/>
  <c r="AP154" i="4"/>
  <c r="AI164" i="4"/>
  <c r="AI121" i="4"/>
  <c r="AT185" i="4"/>
  <c r="AJ172" i="4"/>
  <c r="AJ218" i="4"/>
  <c r="AF70" i="4"/>
  <c r="AR202" i="4"/>
  <c r="AM132" i="4"/>
  <c r="AL27" i="4"/>
  <c r="AT202" i="4"/>
  <c r="AJ201" i="4"/>
  <c r="AT62" i="4"/>
  <c r="AM136" i="4"/>
  <c r="AN40" i="4"/>
  <c r="AJ112" i="4"/>
  <c r="AQ159" i="4"/>
  <c r="AL145" i="4"/>
  <c r="AI194" i="4"/>
  <c r="AS17" i="4"/>
  <c r="AF194" i="4"/>
  <c r="AP166" i="4"/>
  <c r="AO106" i="4"/>
  <c r="AR184" i="4"/>
  <c r="AM134" i="4"/>
  <c r="AL19" i="4"/>
  <c r="AP18" i="4"/>
  <c r="AM130" i="4"/>
  <c r="AR201" i="4"/>
  <c r="AT200" i="4"/>
  <c r="AJ210" i="4"/>
  <c r="AJ192" i="4"/>
  <c r="AJ127" i="4"/>
  <c r="AN145" i="4"/>
  <c r="AM117" i="4"/>
  <c r="AO179" i="4"/>
  <c r="AN209" i="4"/>
  <c r="AP15" i="4"/>
  <c r="AJ163" i="4"/>
  <c r="AJ202" i="4"/>
  <c r="AQ37" i="4"/>
  <c r="AN66" i="4"/>
  <c r="AM164" i="4"/>
  <c r="AI116" i="4"/>
  <c r="AF138" i="4"/>
  <c r="AN155" i="4"/>
  <c r="AS146" i="4"/>
  <c r="AL126" i="4"/>
  <c r="AR67" i="4"/>
  <c r="AL92" i="4"/>
  <c r="AS176" i="4"/>
  <c r="AL36" i="4"/>
  <c r="AM185" i="4"/>
  <c r="AS40" i="4"/>
  <c r="AP27" i="4"/>
  <c r="AJ36" i="4"/>
  <c r="AS48" i="4"/>
  <c r="AJ157" i="4"/>
  <c r="AF87" i="4"/>
  <c r="AS46" i="4"/>
  <c r="AI152" i="4"/>
  <c r="AS207" i="4"/>
  <c r="AP25" i="4"/>
  <c r="AI175" i="4"/>
  <c r="AQ124" i="4"/>
  <c r="AI46" i="4"/>
  <c r="AN163" i="4"/>
  <c r="AF14" i="4"/>
  <c r="AT196" i="4"/>
  <c r="AF43" i="4"/>
  <c r="AO200" i="4"/>
  <c r="AQ52" i="4"/>
  <c r="AP81" i="4"/>
  <c r="AR169" i="4"/>
  <c r="AL185" i="4"/>
  <c r="AL99" i="4"/>
  <c r="AP168" i="4"/>
  <c r="AL153" i="4"/>
  <c r="AR122" i="4"/>
  <c r="AL25" i="4"/>
  <c r="AR218" i="4"/>
  <c r="AJ194" i="4"/>
  <c r="AS20" i="4"/>
  <c r="AL86" i="4"/>
  <c r="AP90" i="4"/>
  <c r="AI112" i="4"/>
  <c r="AJ196" i="4"/>
  <c r="AI148" i="4"/>
  <c r="AI87" i="4"/>
  <c r="AQ130" i="4"/>
  <c r="AF58" i="4"/>
  <c r="AT209" i="4"/>
  <c r="AQ220" i="4"/>
  <c r="AR157" i="4"/>
  <c r="AM111" i="4"/>
  <c r="AM105" i="4"/>
  <c r="AR27" i="4"/>
  <c r="AJ217" i="4"/>
  <c r="AL15" i="4"/>
  <c r="AP183" i="4"/>
  <c r="AS178" i="4"/>
  <c r="AT212" i="4"/>
  <c r="AJ195" i="4"/>
  <c r="AO170" i="4"/>
  <c r="AI178" i="4"/>
  <c r="AO67" i="4"/>
  <c r="AT144" i="4"/>
  <c r="AI60" i="4"/>
  <c r="AF75" i="4"/>
  <c r="AM129" i="4"/>
  <c r="AN25" i="4"/>
  <c r="AO26" i="4"/>
  <c r="AN121" i="4"/>
  <c r="AT125" i="4"/>
  <c r="AJ92" i="4"/>
  <c r="AS185" i="4"/>
  <c r="AI143" i="4"/>
  <c r="AP211" i="4"/>
  <c r="AR44" i="4"/>
  <c r="AJ91" i="4"/>
  <c r="AO191" i="4"/>
  <c r="AT176" i="4"/>
  <c r="AL169" i="4"/>
  <c r="AT102" i="4"/>
  <c r="AL173" i="4"/>
  <c r="AT60" i="4"/>
  <c r="AJ17" i="4"/>
  <c r="AF105" i="4"/>
  <c r="AM204" i="4"/>
  <c r="AM192" i="4"/>
  <c r="AR203" i="4"/>
  <c r="AJ150" i="4"/>
  <c r="AS188" i="4"/>
  <c r="AR93" i="4"/>
  <c r="AN215" i="4"/>
  <c r="AT192" i="4"/>
  <c r="AT89" i="4"/>
  <c r="AO154" i="4"/>
  <c r="AJ77" i="12"/>
  <c r="AI70" i="12"/>
  <c r="AL80" i="12"/>
  <c r="AM96" i="12"/>
  <c r="AN42" i="12"/>
  <c r="AP68" i="12"/>
  <c r="AM58" i="12"/>
  <c r="AJ77" i="4"/>
  <c r="AL102" i="4"/>
  <c r="AO84" i="4"/>
  <c r="AJ67" i="4"/>
  <c r="AT190" i="4"/>
  <c r="AF124" i="4"/>
  <c r="AR88" i="4"/>
  <c r="AN48" i="4"/>
  <c r="AQ69" i="4"/>
  <c r="AO176" i="4"/>
  <c r="AM182" i="4"/>
  <c r="AL166" i="4"/>
  <c r="AM159" i="4"/>
  <c r="AL118" i="4"/>
  <c r="AF199" i="4"/>
  <c r="AF51" i="4"/>
  <c r="AL29" i="4"/>
  <c r="AS71" i="4"/>
  <c r="AN86" i="4"/>
  <c r="AN135" i="4"/>
  <c r="AL67" i="4"/>
  <c r="AT130" i="4"/>
  <c r="AL101" i="4"/>
  <c r="AP173" i="4"/>
  <c r="AL200" i="4"/>
  <c r="AJ178" i="4"/>
  <c r="AL134" i="4"/>
  <c r="AS52" i="4"/>
  <c r="AT25" i="4"/>
  <c r="AO160" i="4"/>
  <c r="AQ86" i="4"/>
  <c r="AS80" i="4"/>
  <c r="AL212" i="4"/>
  <c r="AS179" i="4"/>
  <c r="AI155" i="4"/>
  <c r="AF33" i="4"/>
  <c r="AR168" i="4"/>
  <c r="AN203" i="4"/>
  <c r="AT29" i="4"/>
  <c r="AN47" i="4"/>
  <c r="AN70" i="4"/>
  <c r="AR32" i="4"/>
  <c r="AL175" i="4"/>
  <c r="AS60" i="4"/>
  <c r="AJ182" i="4"/>
  <c r="AN214" i="4"/>
  <c r="AN134" i="4"/>
  <c r="AR145" i="4"/>
  <c r="AR138" i="4"/>
  <c r="AR53" i="4"/>
  <c r="AQ74" i="4"/>
  <c r="AQ35" i="4"/>
  <c r="AL165" i="4"/>
  <c r="AS72" i="4"/>
  <c r="AP83" i="4"/>
  <c r="AQ202" i="4"/>
  <c r="AL215" i="4"/>
  <c r="AR143" i="4"/>
  <c r="AO108" i="4"/>
  <c r="AL44" i="4"/>
  <c r="AL80" i="4"/>
  <c r="AL82" i="4"/>
  <c r="AR65" i="4"/>
  <c r="AI45" i="4"/>
  <c r="AT30" i="4"/>
  <c r="AO168" i="4"/>
  <c r="AL16" i="4"/>
  <c r="AO148" i="4"/>
  <c r="AL115" i="4"/>
  <c r="AT213" i="4"/>
  <c r="AM73" i="4"/>
  <c r="AP140" i="4"/>
  <c r="AF168" i="4"/>
  <c r="AS101" i="4"/>
  <c r="AP24" i="4"/>
  <c r="AI182" i="4"/>
  <c r="AI190" i="4"/>
  <c r="AS162" i="4"/>
  <c r="AP109" i="4"/>
  <c r="AR84" i="4"/>
  <c r="AR196" i="4"/>
  <c r="AI176" i="4"/>
  <c r="AL221" i="4"/>
  <c r="AM61" i="4"/>
  <c r="AM92" i="4"/>
  <c r="AP200" i="4"/>
  <c r="AM198" i="4"/>
  <c r="AJ32" i="4"/>
  <c r="AR108" i="4"/>
  <c r="AN196" i="4"/>
  <c r="AL202" i="4"/>
  <c r="AT135" i="4"/>
  <c r="AO204" i="4"/>
  <c r="AL39" i="4"/>
  <c r="AO178" i="4"/>
  <c r="AF174" i="4"/>
  <c r="AN168" i="4"/>
  <c r="AS76" i="4"/>
  <c r="AM80" i="4"/>
  <c r="AO104" i="4"/>
  <c r="AT123" i="4"/>
  <c r="AF119" i="4"/>
  <c r="AQ42" i="4"/>
  <c r="AF176" i="4"/>
  <c r="AQ121" i="4"/>
  <c r="AR131" i="4"/>
  <c r="AN115" i="4"/>
  <c r="AF64" i="4"/>
  <c r="AF123" i="4"/>
  <c r="AO213" i="4"/>
  <c r="AI187" i="4"/>
  <c r="AQ56" i="4"/>
  <c r="AF155" i="4"/>
  <c r="AL110" i="4"/>
  <c r="AL14" i="4"/>
  <c r="AL84" i="4"/>
  <c r="AQ176" i="4"/>
  <c r="AS123" i="4"/>
  <c r="AN60" i="4"/>
  <c r="AF154" i="4"/>
  <c r="AO162" i="4"/>
  <c r="AR197" i="4"/>
  <c r="AJ71" i="4"/>
  <c r="AR187" i="4"/>
  <c r="AR39" i="4"/>
  <c r="AM201" i="4"/>
  <c r="AO220" i="4"/>
  <c r="AF149" i="4"/>
  <c r="AR103" i="4"/>
  <c r="AQ165" i="4"/>
  <c r="AJ183" i="4"/>
  <c r="AM138" i="4"/>
  <c r="AR175" i="4"/>
  <c r="AL167" i="4"/>
  <c r="AQ89" i="12"/>
  <c r="AL87" i="12"/>
  <c r="AP44" i="12"/>
  <c r="AJ42" i="12"/>
  <c r="AO89" i="12"/>
  <c r="AI68" i="12"/>
  <c r="AN43" i="12"/>
  <c r="AI76" i="12"/>
  <c r="AM20" i="12"/>
  <c r="AJ100" i="4"/>
  <c r="AN133" i="4"/>
  <c r="AM15" i="4"/>
  <c r="AL160" i="4"/>
  <c r="AO21" i="4"/>
  <c r="AO80" i="4"/>
  <c r="AL70" i="4"/>
  <c r="AM49" i="4"/>
  <c r="AP42" i="4"/>
  <c r="AQ106" i="4"/>
  <c r="AR78" i="4"/>
  <c r="AP38" i="4"/>
  <c r="AF89" i="4"/>
  <c r="AT199" i="4"/>
  <c r="AJ203" i="4"/>
  <c r="AO212" i="4"/>
  <c r="AO208" i="4"/>
  <c r="AQ132" i="4"/>
  <c r="AL129" i="4"/>
  <c r="AQ148" i="4"/>
  <c r="AP88" i="4"/>
  <c r="AM26" i="4"/>
  <c r="AO199" i="4"/>
  <c r="AM71" i="4"/>
  <c r="AI132" i="4"/>
  <c r="AR127" i="4"/>
  <c r="AN198" i="4"/>
  <c r="AP67" i="4"/>
  <c r="AF166" i="4"/>
  <c r="AT51" i="4"/>
  <c r="AR166" i="4"/>
  <c r="AJ220" i="4"/>
  <c r="AP178" i="4"/>
  <c r="AM187" i="4"/>
  <c r="AT193" i="4"/>
  <c r="AM32" i="4"/>
  <c r="AO131" i="4"/>
  <c r="AO119" i="4"/>
  <c r="AS213" i="4"/>
  <c r="AQ129" i="4"/>
  <c r="AL216" i="4"/>
  <c r="AJ155" i="4"/>
  <c r="AL220" i="4"/>
  <c r="AR40" i="4"/>
  <c r="AT140" i="4"/>
  <c r="AI109" i="4"/>
  <c r="AQ117" i="4"/>
  <c r="AM23" i="4"/>
  <c r="AN99" i="4"/>
  <c r="AR72" i="4"/>
  <c r="AN154" i="4"/>
  <c r="AS172" i="4"/>
  <c r="AO167" i="4"/>
  <c r="AS149" i="4"/>
  <c r="AL219" i="4"/>
  <c r="AO38" i="4"/>
  <c r="AN217" i="4"/>
  <c r="AS128" i="4"/>
  <c r="AM219" i="4"/>
  <c r="AQ100" i="4"/>
  <c r="AI171" i="4"/>
  <c r="AR193" i="4"/>
  <c r="AR195" i="4"/>
  <c r="AL96" i="4"/>
  <c r="AP64" i="4"/>
  <c r="AQ137" i="4"/>
  <c r="AS180" i="4"/>
  <c r="AQ62" i="4"/>
  <c r="AL139" i="4"/>
  <c r="AI156" i="4"/>
  <c r="AM213" i="4"/>
  <c r="AJ161" i="4"/>
  <c r="AL204" i="4"/>
  <c r="AM24" i="4"/>
  <c r="AS152" i="4"/>
  <c r="AP162" i="4"/>
  <c r="AQ210" i="4"/>
  <c r="AP124" i="4"/>
  <c r="AQ38" i="12"/>
  <c r="AP18" i="12"/>
  <c r="AQ25" i="12"/>
  <c r="AR89" i="12"/>
  <c r="AT59" i="12"/>
  <c r="AM27" i="12"/>
  <c r="AJ97" i="12"/>
  <c r="AM63" i="12"/>
  <c r="AS44" i="12"/>
  <c r="AL54" i="12"/>
  <c r="AT56" i="12"/>
  <c r="AM54" i="4"/>
  <c r="AS157" i="4"/>
  <c r="AL79" i="4"/>
  <c r="AJ73" i="4"/>
  <c r="AP37" i="4"/>
  <c r="AP17" i="4"/>
  <c r="AL135" i="4"/>
  <c r="AN22" i="4"/>
  <c r="AN193" i="4"/>
  <c r="AJ39" i="4"/>
  <c r="AL116" i="4"/>
  <c r="AO16" i="4"/>
  <c r="AJ98" i="4"/>
  <c r="AQ175" i="4"/>
  <c r="AJ45" i="4"/>
  <c r="AO24" i="4"/>
  <c r="AO92" i="4"/>
  <c r="AP69" i="4"/>
  <c r="AF48" i="4"/>
  <c r="AI38" i="4"/>
  <c r="AS41" i="4"/>
  <c r="AJ60" i="4"/>
  <c r="AM125" i="4"/>
  <c r="AQ158" i="4"/>
  <c r="AJ136" i="4"/>
  <c r="AO33" i="4"/>
  <c r="AT31" i="4"/>
  <c r="AQ160" i="4"/>
  <c r="AL98" i="4"/>
  <c r="AP128" i="4"/>
  <c r="AI33" i="4"/>
  <c r="AN174" i="4"/>
  <c r="AT73" i="4"/>
  <c r="AI218" i="4"/>
  <c r="AP208" i="4"/>
  <c r="AS75" i="4"/>
  <c r="AS51" i="4"/>
  <c r="AS63" i="4"/>
  <c r="AI44" i="4"/>
  <c r="AP59" i="4"/>
  <c r="AS215" i="4"/>
  <c r="AF139" i="4"/>
  <c r="AI154" i="4"/>
  <c r="AO197" i="4"/>
  <c r="AQ181" i="4"/>
  <c r="AO75" i="4"/>
  <c r="AI77" i="4"/>
  <c r="AJ25" i="4"/>
  <c r="AO140" i="4"/>
  <c r="AF83" i="4"/>
  <c r="AP142" i="4"/>
  <c r="AT167" i="4"/>
  <c r="AL208" i="4"/>
  <c r="AS169" i="4"/>
  <c r="AQ59" i="4"/>
  <c r="AL71" i="4"/>
  <c r="AT138" i="4"/>
  <c r="AJ41" i="4"/>
  <c r="AR174" i="4"/>
  <c r="AS112" i="4"/>
  <c r="AJ139" i="4"/>
  <c r="AI96" i="4"/>
  <c r="AJ105" i="4"/>
  <c r="AQ67" i="4"/>
  <c r="AP119" i="4"/>
  <c r="AM150" i="4"/>
  <c r="AS148" i="4"/>
  <c r="AT34" i="4"/>
  <c r="AR22" i="4"/>
  <c r="AQ141" i="4"/>
  <c r="AO103" i="4"/>
  <c r="AF169" i="4"/>
  <c r="AS212" i="4"/>
  <c r="AF84" i="4"/>
  <c r="AS119" i="4"/>
  <c r="AR47" i="4"/>
  <c r="AT169" i="4"/>
  <c r="AL203" i="4"/>
  <c r="AQ184" i="4"/>
  <c r="AO83" i="4"/>
  <c r="AL199" i="4"/>
  <c r="AL132" i="4"/>
  <c r="AR137" i="4"/>
  <c r="AS104" i="4"/>
  <c r="AN111" i="4"/>
  <c r="AN156" i="4"/>
  <c r="AI146" i="4"/>
  <c r="AP36" i="4"/>
  <c r="AF118" i="4"/>
  <c r="AN92" i="4"/>
  <c r="AJ78" i="4"/>
  <c r="AL49" i="4"/>
  <c r="AT75" i="4"/>
  <c r="AJ81" i="4"/>
  <c r="AF32" i="4"/>
  <c r="AF111" i="4"/>
  <c r="AO193" i="4"/>
  <c r="AN95" i="4"/>
  <c r="AN84" i="4"/>
  <c r="AN64" i="4"/>
  <c r="AF36" i="4"/>
  <c r="AO23" i="4"/>
  <c r="AJ28" i="4"/>
  <c r="AQ45" i="4"/>
  <c r="AR177" i="4"/>
  <c r="AJ186" i="4"/>
  <c r="AO221" i="4"/>
  <c r="AS158" i="4"/>
  <c r="AR115" i="4"/>
  <c r="AI215" i="4"/>
  <c r="AT54" i="4"/>
  <c r="AR153" i="4"/>
  <c r="AM69" i="4"/>
  <c r="AN204" i="4"/>
  <c r="AL43" i="4"/>
  <c r="AM145" i="4"/>
  <c r="AQ107" i="4"/>
  <c r="AS110" i="4"/>
  <c r="AQ118" i="4"/>
  <c r="AJ167" i="4"/>
  <c r="AJ80" i="4"/>
  <c r="AI14" i="4"/>
  <c r="AJ29" i="4"/>
  <c r="AP72" i="4"/>
  <c r="AF175" i="4"/>
  <c r="AO214" i="4"/>
  <c r="AJ166" i="4"/>
  <c r="AF164" i="4"/>
  <c r="AS45" i="4"/>
  <c r="AS168" i="4"/>
  <c r="AQ100" i="12"/>
  <c r="AQ14" i="12"/>
  <c r="AN93" i="12"/>
  <c r="AI72" i="12"/>
  <c r="AI15" i="12"/>
  <c r="AQ34" i="12"/>
  <c r="AQ74" i="12"/>
  <c r="AS93" i="12"/>
  <c r="AT17" i="12"/>
  <c r="AN38" i="4"/>
  <c r="AO118" i="4"/>
  <c r="AL78" i="4"/>
  <c r="AP65" i="4"/>
  <c r="AR141" i="4"/>
  <c r="AR213" i="4"/>
  <c r="AQ169" i="4"/>
  <c r="AQ103" i="4"/>
  <c r="AQ150" i="4"/>
  <c r="AF221" i="4"/>
  <c r="AM214" i="4"/>
  <c r="AI56" i="4"/>
  <c r="AM118" i="4"/>
  <c r="AP49" i="4"/>
  <c r="AO47" i="4"/>
  <c r="AI89" i="4"/>
  <c r="AI101" i="4"/>
  <c r="AJ177" i="4"/>
  <c r="AS81" i="4"/>
  <c r="AT175" i="4"/>
  <c r="AS177" i="4"/>
  <c r="AL47" i="4"/>
  <c r="AT134" i="4"/>
  <c r="AI99" i="4"/>
  <c r="AL140" i="4"/>
  <c r="AN179" i="4"/>
  <c r="AF198" i="4"/>
  <c r="AO198" i="4"/>
  <c r="AL53" i="4"/>
  <c r="AI169" i="4"/>
  <c r="AJ83" i="4"/>
  <c r="AO60" i="4"/>
  <c r="AT150" i="4"/>
  <c r="AM37" i="4"/>
  <c r="AF42" i="4"/>
  <c r="AT126" i="4"/>
  <c r="AT204" i="4"/>
  <c r="AL138" i="4"/>
  <c r="AN17" i="4"/>
  <c r="AM209" i="4"/>
  <c r="AR173" i="4"/>
  <c r="AR162" i="4"/>
  <c r="AN71" i="4"/>
  <c r="AQ182" i="4"/>
  <c r="AF170" i="4"/>
  <c r="AL176" i="4"/>
  <c r="AS214" i="4"/>
  <c r="AL127" i="4"/>
  <c r="AP202" i="4"/>
  <c r="AR178" i="4"/>
  <c r="AN221" i="4"/>
  <c r="AP71" i="12"/>
  <c r="AR34" i="12"/>
  <c r="AT61" i="12"/>
  <c r="AR60" i="12"/>
  <c r="AN49" i="12"/>
  <c r="AT75" i="12"/>
  <c r="AN83" i="12"/>
  <c r="AL36" i="12"/>
  <c r="AF52" i="4"/>
  <c r="AN16" i="4"/>
  <c r="AO95" i="4"/>
  <c r="AR15" i="4"/>
  <c r="AL87" i="4"/>
  <c r="AJ24" i="4"/>
  <c r="AS32" i="4"/>
  <c r="AO30" i="4"/>
  <c r="AJ38" i="4"/>
  <c r="AO52" i="4"/>
  <c r="AM94" i="4"/>
  <c r="AF78" i="4"/>
  <c r="AN119" i="4"/>
  <c r="AP131" i="4"/>
  <c r="AP138" i="4"/>
  <c r="AJ215" i="4"/>
  <c r="AN153" i="4"/>
  <c r="AF23" i="4"/>
  <c r="AS133" i="4"/>
  <c r="AL164" i="4"/>
  <c r="AJ154" i="4"/>
  <c r="AF193" i="4"/>
  <c r="AF106" i="4"/>
  <c r="AI181" i="4"/>
  <c r="AQ109" i="4"/>
  <c r="AQ188" i="4"/>
  <c r="AF159" i="4"/>
  <c r="AO136" i="4"/>
  <c r="AP57" i="4"/>
  <c r="AI22" i="4"/>
  <c r="AP55" i="4"/>
  <c r="AP170" i="4"/>
  <c r="AJ159" i="4"/>
  <c r="AR110" i="4"/>
  <c r="AL193" i="4"/>
  <c r="AQ203" i="4"/>
  <c r="AO102" i="4"/>
  <c r="AN14" i="4"/>
  <c r="AR167" i="4"/>
  <c r="AS138" i="4"/>
  <c r="AL106" i="4"/>
  <c r="AM31" i="4"/>
  <c r="AN175" i="4"/>
  <c r="AF94" i="4"/>
  <c r="AP35" i="4"/>
  <c r="AR31" i="4"/>
  <c r="AL188" i="4"/>
  <c r="AF110" i="4"/>
  <c r="AF97" i="4"/>
  <c r="AF55" i="4"/>
  <c r="AF132" i="4"/>
  <c r="AJ171" i="4"/>
  <c r="AS153" i="4"/>
  <c r="AT181" i="4"/>
  <c r="AL93" i="4"/>
  <c r="AL124" i="4"/>
  <c r="AQ151" i="4"/>
  <c r="AJ170" i="4"/>
  <c r="AP108" i="4"/>
  <c r="AM215" i="4"/>
  <c r="AN103" i="4"/>
  <c r="AN122" i="4"/>
  <c r="AP51" i="4"/>
  <c r="AO219" i="4"/>
  <c r="AQ113" i="4"/>
  <c r="AP118" i="4"/>
  <c r="AJ76" i="4"/>
  <c r="AT65" i="4"/>
  <c r="AR217" i="4"/>
  <c r="AM116" i="4"/>
  <c r="AP163" i="4"/>
  <c r="AS90" i="4"/>
  <c r="AJ179" i="4"/>
  <c r="AP31" i="4"/>
  <c r="AQ201" i="4"/>
  <c r="AO196" i="4"/>
  <c r="AQ193" i="4"/>
  <c r="AP32" i="4"/>
  <c r="AM48" i="4"/>
  <c r="AP196" i="4"/>
  <c r="AS117" i="4"/>
  <c r="AO153" i="4"/>
  <c r="AT22" i="4"/>
  <c r="AQ24" i="4"/>
  <c r="AQ189" i="4"/>
  <c r="AI211" i="4"/>
  <c r="AP87" i="4"/>
  <c r="AP175" i="4"/>
  <c r="AL68" i="4"/>
  <c r="AQ77" i="4"/>
  <c r="AI125" i="4"/>
  <c r="AM199" i="4"/>
  <c r="AP213" i="4"/>
  <c r="AM128" i="4"/>
  <c r="AR113" i="4"/>
  <c r="AM81" i="4"/>
  <c r="AF112" i="4"/>
  <c r="AM143" i="4"/>
  <c r="AJ221" i="4"/>
  <c r="AQ88" i="4"/>
  <c r="AO66" i="4"/>
  <c r="AT139" i="4"/>
  <c r="AS92" i="4"/>
  <c r="AM163" i="4"/>
  <c r="AJ27" i="4"/>
  <c r="AO150" i="4"/>
  <c r="AJ94" i="4"/>
  <c r="AP188" i="4"/>
  <c r="AF156" i="4"/>
  <c r="AF100" i="4"/>
  <c r="AR111" i="4"/>
  <c r="AT166" i="4"/>
  <c r="AM171" i="4"/>
  <c r="AF98" i="4"/>
  <c r="AF171" i="4"/>
  <c r="AP177" i="4"/>
  <c r="AM218" i="4"/>
  <c r="AL32" i="4"/>
  <c r="AR149" i="4"/>
  <c r="AI210" i="4"/>
  <c r="AF59" i="4"/>
  <c r="AS47" i="4"/>
  <c r="AP89" i="4"/>
  <c r="AI24" i="4"/>
  <c r="AP217" i="4"/>
  <c r="AP156" i="4"/>
  <c r="AO209" i="4"/>
  <c r="AR154" i="4"/>
  <c r="AS78" i="12"/>
  <c r="AN40" i="12"/>
  <c r="AJ20" i="12"/>
  <c r="AE26" i="12"/>
  <c r="AR93" i="12"/>
  <c r="AO47" i="12"/>
  <c r="AI28" i="12"/>
  <c r="AP91" i="12"/>
  <c r="AJ25" i="12"/>
  <c r="AM31" i="12"/>
  <c r="AO71" i="12"/>
  <c r="AE90" i="12"/>
  <c r="AP17" i="12"/>
  <c r="AE68" i="12"/>
  <c r="AJ99" i="12"/>
  <c r="AR98" i="12"/>
  <c r="AF20" i="4"/>
  <c r="AT101" i="4"/>
  <c r="AM96" i="4"/>
  <c r="AS86" i="4"/>
  <c r="AF180" i="4"/>
  <c r="AS18" i="4"/>
  <c r="AT83" i="4"/>
  <c r="AJ165" i="4"/>
  <c r="AL183" i="4"/>
  <c r="AI43" i="4"/>
  <c r="AO186" i="4"/>
  <c r="AM189" i="4"/>
  <c r="AS163" i="4"/>
  <c r="AS132" i="4"/>
  <c r="AS198" i="4"/>
  <c r="AT171" i="4"/>
  <c r="AL64" i="4"/>
  <c r="AQ26" i="4"/>
  <c r="AM17" i="4"/>
  <c r="AF99" i="4"/>
  <c r="AP147" i="4"/>
  <c r="AM135" i="4"/>
  <c r="AF50" i="4"/>
  <c r="AM197" i="4"/>
  <c r="AQ97" i="4"/>
  <c r="AM22" i="4"/>
  <c r="AJ48" i="4"/>
  <c r="AM102" i="4"/>
  <c r="AO149" i="4"/>
  <c r="AP209" i="4"/>
  <c r="AN219" i="4"/>
  <c r="AR119" i="4"/>
  <c r="AJ180" i="4"/>
  <c r="AJ184" i="4"/>
  <c r="AF15" i="4"/>
  <c r="AP151" i="4"/>
  <c r="AP103" i="4"/>
  <c r="AT198" i="4"/>
  <c r="AM206" i="4"/>
  <c r="AJ142" i="4"/>
  <c r="AI114" i="4"/>
  <c r="AI126" i="4"/>
  <c r="AM207" i="4"/>
  <c r="AQ111" i="4"/>
  <c r="AF16" i="4"/>
  <c r="AP79" i="4"/>
  <c r="AL213" i="4"/>
  <c r="AF207" i="4"/>
  <c r="AP167" i="4"/>
  <c r="AL81" i="4"/>
  <c r="AL174" i="4"/>
  <c r="AL161" i="4"/>
  <c r="AF134" i="4"/>
  <c r="AR48" i="4"/>
  <c r="AT203" i="4"/>
  <c r="AF190" i="4"/>
  <c r="AF73" i="4"/>
  <c r="AQ168" i="4"/>
  <c r="AM140" i="4"/>
  <c r="AP82" i="4"/>
  <c r="AJ53" i="4"/>
  <c r="AN51" i="4"/>
  <c r="AI50" i="4"/>
  <c r="AQ79" i="4"/>
  <c r="AO203" i="4"/>
  <c r="AM77" i="4"/>
  <c r="AS107" i="4"/>
  <c r="AI195" i="4"/>
  <c r="AS190" i="4"/>
  <c r="AR36" i="12"/>
  <c r="AE45" i="12"/>
  <c r="AN41" i="12"/>
  <c r="AJ64" i="4"/>
  <c r="AI71" i="4"/>
  <c r="AT86" i="4"/>
  <c r="AQ31" i="4"/>
  <c r="AO125" i="4"/>
  <c r="AF137" i="4"/>
  <c r="AI168" i="4"/>
  <c r="AL104" i="4"/>
  <c r="AR133" i="4"/>
  <c r="AO123" i="4"/>
  <c r="AN148" i="4"/>
  <c r="AT179" i="4"/>
  <c r="AS121" i="4"/>
  <c r="AR180" i="4"/>
  <c r="AJ115" i="4"/>
  <c r="AQ20" i="4"/>
  <c r="AN102" i="4"/>
  <c r="AJ200" i="4"/>
  <c r="AN181" i="4"/>
  <c r="AL72" i="4"/>
  <c r="AT121" i="4"/>
  <c r="AQ155" i="4"/>
  <c r="AS175" i="4"/>
  <c r="AR55" i="4"/>
  <c r="AI140" i="4"/>
  <c r="AT217" i="4"/>
  <c r="AI64" i="4"/>
  <c r="AI134" i="4"/>
  <c r="AQ92" i="4"/>
  <c r="AI16" i="4"/>
  <c r="AM66" i="4"/>
  <c r="AS129" i="4"/>
  <c r="AI90" i="4"/>
  <c r="AR61" i="4"/>
  <c r="AP123" i="4"/>
  <c r="AT137" i="4"/>
  <c r="AJ176" i="4"/>
  <c r="AN138" i="4"/>
  <c r="AQ104" i="4"/>
  <c r="AF211" i="4"/>
  <c r="AL31" i="4"/>
  <c r="AN37" i="4"/>
  <c r="AR105" i="4"/>
  <c r="AJ63" i="4"/>
  <c r="AN74" i="4"/>
  <c r="AR63" i="4"/>
  <c r="AQ89" i="4"/>
  <c r="AO55" i="4"/>
  <c r="AN73" i="4"/>
  <c r="AT81" i="4"/>
  <c r="AP220" i="4"/>
  <c r="AI18" i="4"/>
  <c r="AM146" i="4"/>
  <c r="AF182" i="4"/>
  <c r="AS219" i="4"/>
  <c r="AJ125" i="4"/>
  <c r="AT80" i="12"/>
  <c r="AP76" i="12"/>
  <c r="AL159" i="4"/>
  <c r="AN130" i="4"/>
  <c r="AI68" i="4"/>
  <c r="AJ121" i="4"/>
  <c r="AR83" i="4"/>
  <c r="AQ157" i="4"/>
  <c r="AF133" i="4"/>
  <c r="AI67" i="4"/>
  <c r="AO161" i="4"/>
  <c r="AI157" i="4"/>
  <c r="AN45" i="4"/>
  <c r="AP164" i="4"/>
  <c r="AP219" i="4"/>
  <c r="AS124" i="4"/>
  <c r="AP149" i="4"/>
  <c r="AR74" i="12"/>
  <c r="AT100" i="12"/>
  <c r="AL79" i="12"/>
  <c r="AJ62" i="12"/>
  <c r="AM65" i="4"/>
  <c r="AP75" i="4"/>
  <c r="AT19" i="4"/>
  <c r="AJ120" i="4"/>
  <c r="AP14" i="4"/>
  <c r="AF131" i="4"/>
  <c r="AO138" i="4"/>
  <c r="AJ138" i="4"/>
  <c r="AQ215" i="4"/>
  <c r="AS99" i="4"/>
  <c r="AF18" i="4"/>
  <c r="AF150" i="4"/>
  <c r="AT151" i="4"/>
  <c r="AN185" i="4"/>
  <c r="AQ54" i="4"/>
  <c r="AP187" i="4"/>
  <c r="AT132" i="4"/>
  <c r="AT165" i="4"/>
  <c r="AS25" i="4"/>
  <c r="AQ29" i="4"/>
  <c r="AN108" i="4"/>
  <c r="AJ72" i="4"/>
  <c r="AF135" i="4"/>
  <c r="AI92" i="4"/>
  <c r="AR85" i="4"/>
  <c r="AF77" i="4"/>
  <c r="AP160" i="4"/>
  <c r="AS140" i="4"/>
  <c r="AN172" i="4"/>
  <c r="AM114" i="4"/>
  <c r="AR156" i="4"/>
  <c r="AR192" i="4"/>
  <c r="AP171" i="4"/>
  <c r="AO96" i="4"/>
  <c r="AS159" i="4"/>
  <c r="AI55" i="4"/>
  <c r="AO53" i="4"/>
  <c r="AM169" i="4"/>
  <c r="AT149" i="4"/>
  <c r="AT77" i="4"/>
  <c r="AR112" i="4"/>
  <c r="AS109" i="4"/>
  <c r="AS181" i="4"/>
  <c r="AP70" i="4"/>
  <c r="AR41" i="4"/>
  <c r="AP172" i="4"/>
  <c r="AJ187" i="4"/>
  <c r="AJ175" i="4"/>
  <c r="AS31" i="4"/>
  <c r="AQ112" i="4"/>
  <c r="AS113" i="4"/>
  <c r="AN88" i="12"/>
  <c r="AT48" i="12"/>
  <c r="AO77" i="4"/>
  <c r="AN18" i="4"/>
  <c r="AT191" i="4"/>
  <c r="AP110" i="4"/>
  <c r="AM133" i="4"/>
  <c r="AF109" i="4"/>
  <c r="AI204" i="4"/>
  <c r="AN125" i="4"/>
  <c r="AJ82" i="4"/>
  <c r="AR189" i="4"/>
  <c r="AQ114" i="4"/>
  <c r="AP134" i="4"/>
  <c r="AT55" i="4"/>
  <c r="AT36" i="4"/>
  <c r="AL74" i="4"/>
  <c r="AM27" i="4"/>
  <c r="AO25" i="4"/>
  <c r="AJ31" i="4"/>
  <c r="AQ21" i="4"/>
  <c r="AI158" i="4"/>
  <c r="AO78" i="4"/>
  <c r="AM153" i="4"/>
  <c r="AT188" i="4"/>
  <c r="AM161" i="4"/>
  <c r="AQ134" i="4"/>
  <c r="AT28" i="4"/>
  <c r="AF65" i="4"/>
  <c r="AF173" i="4"/>
  <c r="AQ154" i="4"/>
  <c r="AR159" i="4"/>
  <c r="AM100" i="4"/>
  <c r="AQ205" i="4"/>
  <c r="AS156" i="4"/>
  <c r="AT50" i="4"/>
  <c r="AM57" i="4"/>
  <c r="AQ133" i="4"/>
  <c r="AN178" i="4"/>
  <c r="AP102" i="12"/>
  <c r="AO34" i="12"/>
  <c r="AT76" i="12"/>
  <c r="AS102" i="12"/>
  <c r="AP50" i="12"/>
  <c r="AJ79" i="12"/>
  <c r="AP88" i="12"/>
  <c r="AS43" i="12"/>
  <c r="AI65" i="12"/>
  <c r="AT68" i="12"/>
  <c r="AM86" i="12"/>
  <c r="AR77" i="4"/>
  <c r="AF31" i="4"/>
  <c r="AJ89" i="4"/>
  <c r="AL18" i="4"/>
  <c r="AI27" i="4"/>
  <c r="AO205" i="4"/>
  <c r="AO127" i="4"/>
  <c r="AT174" i="4"/>
  <c r="AR126" i="4"/>
  <c r="AM126" i="4"/>
  <c r="AQ192" i="4"/>
  <c r="AP132" i="4"/>
  <c r="AJ174" i="4"/>
  <c r="AR114" i="4"/>
  <c r="AQ135" i="4"/>
  <c r="AL162" i="4"/>
  <c r="AO14" i="4"/>
  <c r="AT16" i="4"/>
  <c r="AR214" i="4"/>
  <c r="AN211" i="4"/>
  <c r="AN212" i="4"/>
  <c r="AI144" i="4"/>
  <c r="AR140" i="4"/>
  <c r="AS14" i="4"/>
  <c r="AR123" i="4"/>
  <c r="AS55" i="4"/>
  <c r="AR220" i="4"/>
  <c r="AT158" i="4"/>
  <c r="AJ151" i="4"/>
  <c r="AP185" i="4"/>
  <c r="AT15" i="4"/>
  <c r="AO192" i="4"/>
  <c r="AT219" i="4"/>
  <c r="AQ123" i="4"/>
  <c r="AI219" i="4"/>
  <c r="AT99" i="4"/>
  <c r="AJ54" i="4"/>
  <c r="AS35" i="4"/>
  <c r="AR135" i="4"/>
  <c r="AR163" i="4"/>
  <c r="AS103" i="4"/>
  <c r="AP50" i="4"/>
  <c r="AT69" i="4"/>
  <c r="AP141" i="4"/>
  <c r="AF114" i="4"/>
  <c r="AL187" i="4"/>
  <c r="AS96" i="4"/>
  <c r="AI86" i="4"/>
  <c r="AM89" i="4"/>
  <c r="AR212" i="4"/>
  <c r="AJ117" i="4"/>
  <c r="AP198" i="4"/>
  <c r="AR194" i="4"/>
  <c r="AO33" i="12"/>
  <c r="AI84" i="12"/>
  <c r="AI52" i="4"/>
  <c r="AI33" i="12"/>
  <c r="AO58" i="12"/>
  <c r="AF60" i="4"/>
  <c r="AR91" i="4"/>
  <c r="AS33" i="4"/>
  <c r="AF104" i="4"/>
  <c r="AO190" i="4"/>
  <c r="AI36" i="4"/>
  <c r="AN143" i="4"/>
  <c r="AF146" i="4"/>
  <c r="AR73" i="4"/>
  <c r="AJ185" i="4"/>
  <c r="AR216" i="4"/>
  <c r="AN184" i="4"/>
  <c r="AM43" i="4"/>
  <c r="AJ205" i="4"/>
  <c r="AM121" i="4"/>
  <c r="AP129" i="4"/>
  <c r="AJ198" i="4"/>
  <c r="AI57" i="4"/>
  <c r="AO36" i="4"/>
  <c r="AS161" i="4"/>
  <c r="AN206" i="4"/>
  <c r="AF200" i="4"/>
  <c r="AR14" i="4"/>
  <c r="AJ86" i="4"/>
  <c r="AN136" i="4"/>
  <c r="AI49" i="4"/>
  <c r="AL150" i="4"/>
  <c r="AQ94" i="4"/>
  <c r="AI177" i="4"/>
  <c r="AT206" i="4"/>
  <c r="AP207" i="4"/>
  <c r="AF29" i="4"/>
  <c r="AR99" i="4"/>
  <c r="AO111" i="4"/>
  <c r="AL37" i="4"/>
  <c r="AI107" i="4"/>
  <c r="AR95" i="4"/>
  <c r="AP98" i="4"/>
  <c r="AQ122" i="4"/>
  <c r="AQ195" i="4"/>
  <c r="AR34" i="4"/>
  <c r="AF45" i="4"/>
  <c r="AT112" i="4"/>
  <c r="AF197" i="4"/>
  <c r="AN14" i="12"/>
  <c r="AP45" i="12"/>
  <c r="AN64" i="12"/>
  <c r="AL95" i="12"/>
  <c r="AR56" i="4"/>
  <c r="AJ101" i="4"/>
  <c r="AI74" i="4"/>
  <c r="AF88" i="4"/>
  <c r="AL148" i="4"/>
  <c r="AJ132" i="4"/>
  <c r="AT186" i="4"/>
  <c r="AF201" i="4"/>
  <c r="AN161" i="4"/>
  <c r="AM174" i="4"/>
  <c r="AM91" i="4"/>
  <c r="AT26" i="4"/>
  <c r="AT143" i="4"/>
  <c r="AF215" i="4"/>
  <c r="AR155" i="4"/>
  <c r="AI201" i="4"/>
  <c r="AN128" i="4"/>
  <c r="AN201" i="4"/>
  <c r="AM154" i="4"/>
  <c r="AM181" i="4"/>
  <c r="AO187" i="4"/>
  <c r="AI28" i="4"/>
  <c r="AP21" i="4"/>
  <c r="AQ206" i="4"/>
  <c r="AI193" i="4"/>
  <c r="AM88" i="4"/>
  <c r="AO206" i="4"/>
  <c r="AI135" i="4"/>
  <c r="AQ166" i="4"/>
  <c r="AJ123" i="4"/>
  <c r="AM113" i="4"/>
  <c r="AS211" i="4"/>
  <c r="AF209" i="4"/>
  <c r="AT153" i="4"/>
  <c r="AR209" i="4"/>
  <c r="AO40" i="4"/>
  <c r="AQ127" i="4"/>
  <c r="AR164" i="4"/>
  <c r="AT189" i="4"/>
  <c r="AM82" i="4"/>
  <c r="AL100" i="4"/>
  <c r="AL137" i="4"/>
  <c r="AL198" i="4"/>
  <c r="AI216" i="4"/>
  <c r="AN112" i="4"/>
  <c r="AL63" i="4"/>
  <c r="AM173" i="4"/>
  <c r="AI221" i="4"/>
  <c r="AL191" i="4"/>
  <c r="AM98" i="4"/>
  <c r="AR125" i="4"/>
  <c r="AP29" i="4"/>
  <c r="AM202" i="4"/>
  <c r="AT48" i="4"/>
  <c r="AN93" i="4"/>
  <c r="AN192" i="4"/>
  <c r="AS71" i="12"/>
  <c r="AM28" i="4"/>
  <c r="AN23" i="4"/>
  <c r="AM64" i="4"/>
  <c r="AN200" i="4"/>
  <c r="AL168" i="4"/>
  <c r="AL197" i="4"/>
  <c r="AL105" i="4"/>
  <c r="AJ126" i="4"/>
  <c r="AT45" i="4"/>
  <c r="AR129" i="4"/>
  <c r="AN72" i="4"/>
  <c r="AS26" i="4"/>
  <c r="AL190" i="4"/>
  <c r="AI166" i="4"/>
  <c r="AM58" i="4"/>
  <c r="AM172" i="4"/>
  <c r="AQ91" i="4"/>
  <c r="AJ57" i="4"/>
  <c r="AN105" i="4"/>
  <c r="AL133" i="4"/>
  <c r="AP61" i="4"/>
  <c r="AL121" i="4"/>
  <c r="AP112" i="4"/>
  <c r="AM123" i="4"/>
  <c r="AN42" i="4"/>
  <c r="AQ115" i="4"/>
  <c r="AM76" i="4"/>
  <c r="AS102" i="4"/>
  <c r="AT14" i="4"/>
  <c r="AL97" i="4"/>
  <c r="AN100" i="4"/>
  <c r="AF49" i="4"/>
  <c r="AQ90" i="4"/>
  <c r="AS27" i="4"/>
  <c r="AL177" i="4"/>
  <c r="AQ198" i="4"/>
  <c r="AF212" i="4"/>
  <c r="AI191" i="4"/>
  <c r="AP153" i="4"/>
  <c r="AR170" i="4"/>
  <c r="AL40" i="4"/>
  <c r="AM177" i="4"/>
  <c r="AL141" i="4"/>
  <c r="AO163" i="4"/>
  <c r="AI206" i="4"/>
  <c r="AL151" i="4"/>
  <c r="AS167" i="4"/>
  <c r="AJ118" i="4"/>
  <c r="AI174" i="4"/>
  <c r="AL64" i="12"/>
  <c r="AS183" i="4"/>
  <c r="AJ193" i="4"/>
  <c r="AF161" i="4"/>
  <c r="AQ44" i="4"/>
  <c r="AN50" i="4"/>
  <c r="AT21" i="4"/>
  <c r="AT120" i="4"/>
  <c r="AN96" i="12"/>
  <c r="AJ56" i="12"/>
  <c r="AI40" i="12"/>
  <c r="AM71" i="12"/>
  <c r="AS19" i="4"/>
  <c r="AJ19" i="4"/>
  <c r="AN157" i="4"/>
  <c r="AS42" i="4"/>
  <c r="AR151" i="4"/>
  <c r="AS106" i="4"/>
  <c r="AP86" i="4"/>
  <c r="AP165" i="4"/>
  <c r="AP206" i="4"/>
  <c r="AS29" i="4"/>
  <c r="AJ102" i="4"/>
  <c r="AM85" i="4"/>
  <c r="AO121" i="4"/>
  <c r="AI65" i="4"/>
  <c r="AT71" i="4"/>
  <c r="AP215" i="4"/>
  <c r="AE51" i="12"/>
  <c r="AM63" i="4"/>
  <c r="AF187" i="4"/>
  <c r="AO70" i="4"/>
  <c r="AR161" i="4"/>
  <c r="AT205" i="4"/>
  <c r="AR57" i="4"/>
  <c r="AL157" i="4"/>
  <c r="AL131" i="4"/>
  <c r="AI137" i="4"/>
  <c r="AQ78" i="4"/>
  <c r="AJ84" i="4"/>
  <c r="AN43" i="4"/>
  <c r="AF17" i="4"/>
  <c r="AN127" i="4"/>
  <c r="AO195" i="4"/>
  <c r="AL217" i="4"/>
  <c r="AO146" i="4"/>
  <c r="AR182" i="4"/>
  <c r="AJ189" i="4"/>
  <c r="AF120" i="4"/>
  <c r="AM108" i="4"/>
  <c r="AQ196" i="4"/>
  <c r="AM61" i="12"/>
  <c r="AP80" i="12"/>
  <c r="AJ30" i="12"/>
  <c r="AT61" i="4"/>
  <c r="AL17" i="4"/>
  <c r="AM78" i="4"/>
  <c r="AM221" i="4"/>
  <c r="AJ153" i="4"/>
  <c r="AM16" i="4"/>
  <c r="AN82" i="4"/>
  <c r="AI47" i="4"/>
  <c r="AJ208" i="4"/>
  <c r="AL89" i="4"/>
  <c r="AT127" i="4"/>
  <c r="AO81" i="4"/>
  <c r="AI66" i="4"/>
  <c r="AN56" i="4"/>
  <c r="AI203" i="4"/>
  <c r="AR86" i="12"/>
  <c r="AQ16" i="12"/>
  <c r="AR60" i="4"/>
  <c r="AS160" i="4"/>
  <c r="AR81" i="4"/>
  <c r="AJ88" i="4"/>
  <c r="AT194" i="4"/>
  <c r="AM165" i="4"/>
  <c r="AQ16" i="4"/>
  <c r="AJ143" i="4"/>
  <c r="AR86" i="4"/>
  <c r="AT47" i="4"/>
  <c r="AP193" i="4"/>
  <c r="AJ49" i="4"/>
  <c r="M56" i="12"/>
  <c r="M41" i="12"/>
  <c r="M15" i="12"/>
  <c r="I56" i="4"/>
  <c r="I41" i="4"/>
  <c r="I74" i="4"/>
  <c r="I15" i="4"/>
  <c r="K74" i="4"/>
  <c r="F88" i="4"/>
  <c r="H9" i="4"/>
  <c r="M9" i="4"/>
  <c r="F74" i="4"/>
  <c r="F41" i="4"/>
  <c r="I74" i="12"/>
  <c r="I41" i="12"/>
  <c r="I15" i="12"/>
  <c r="F88" i="12"/>
  <c r="I88" i="12"/>
  <c r="L74" i="12"/>
  <c r="L15" i="12"/>
  <c r="K82" i="4"/>
  <c r="J80" i="4"/>
  <c r="G92" i="4"/>
  <c r="H68" i="4"/>
  <c r="H66" i="4"/>
  <c r="E91" i="4"/>
  <c r="H88" i="4"/>
  <c r="H34" i="4"/>
  <c r="H33" i="4"/>
  <c r="E89" i="4"/>
  <c r="L9" i="4"/>
  <c r="K69" i="4"/>
  <c r="K66" i="4"/>
  <c r="H91" i="4"/>
  <c r="J9" i="4"/>
  <c r="M68" i="4"/>
  <c r="M69" i="4"/>
  <c r="D74" i="4"/>
  <c r="J88" i="12"/>
  <c r="K74" i="12"/>
  <c r="K56" i="12"/>
  <c r="H88" i="12"/>
  <c r="K41" i="12"/>
  <c r="H56" i="12"/>
  <c r="E88" i="12"/>
  <c r="H41" i="12"/>
  <c r="H15" i="12"/>
  <c r="J82" i="4"/>
  <c r="I69" i="4"/>
  <c r="K56" i="4"/>
  <c r="F56" i="4"/>
  <c r="B56" i="4"/>
  <c r="M74" i="12"/>
  <c r="L34" i="12"/>
  <c r="I50" i="12"/>
  <c r="H68" i="12"/>
  <c r="J69" i="12"/>
  <c r="H83" i="12"/>
  <c r="F15" i="97"/>
  <c r="G21" i="97"/>
  <c r="G17" i="97"/>
  <c r="F21" i="97"/>
  <c r="F17" i="97"/>
  <c r="G20" i="97"/>
  <c r="G16" i="97"/>
  <c r="F20" i="97"/>
  <c r="F16" i="97"/>
  <c r="P27" i="99"/>
  <c r="Q27" i="99"/>
  <c r="O27" i="99"/>
  <c r="K27" i="16"/>
  <c r="M27" i="16"/>
  <c r="C10" i="80"/>
  <c r="F19" i="97"/>
  <c r="G19" i="97"/>
  <c r="I19" i="97"/>
  <c r="I17" i="97"/>
  <c r="I18" i="97"/>
  <c r="I15" i="97"/>
  <c r="I20" i="122"/>
  <c r="I19" i="122"/>
  <c r="I15" i="122"/>
  <c r="I16" i="122"/>
  <c r="I17" i="122"/>
  <c r="C10" i="122"/>
  <c r="I18" i="122"/>
  <c r="I49" i="12"/>
  <c r="L36" i="12"/>
  <c r="F56" i="12"/>
  <c r="B15" i="12"/>
  <c r="J66" i="12"/>
  <c r="G91" i="12"/>
  <c r="J9" i="12"/>
  <c r="J36" i="12"/>
  <c r="G14" i="97"/>
  <c r="F14" i="97"/>
  <c r="E25" i="97"/>
  <c r="F25" i="97"/>
  <c r="L26" i="101"/>
  <c r="G15" i="101"/>
  <c r="G17" i="101"/>
  <c r="G16" i="101"/>
  <c r="F16" i="101"/>
  <c r="G14" i="101"/>
  <c r="F15" i="101"/>
  <c r="I16" i="112"/>
  <c r="I17" i="112"/>
  <c r="C10" i="112"/>
  <c r="I51" i="12"/>
  <c r="F15" i="12"/>
  <c r="M35" i="12"/>
  <c r="I15" i="80"/>
  <c r="G15" i="97"/>
  <c r="I16" i="99"/>
  <c r="I18" i="99"/>
  <c r="I17" i="99"/>
  <c r="N26" i="101"/>
  <c r="P26" i="99"/>
  <c r="Q26" i="99"/>
  <c r="E21" i="112"/>
  <c r="F21" i="112"/>
  <c r="N26" i="112"/>
  <c r="G18" i="122"/>
  <c r="F20" i="122"/>
  <c r="G15" i="122"/>
  <c r="AK49" i="4"/>
  <c r="AK143" i="4"/>
  <c r="AK88" i="4"/>
  <c r="AK208" i="4"/>
  <c r="AK153" i="4"/>
  <c r="AK30" i="12"/>
  <c r="AK189" i="4"/>
  <c r="AK84" i="4"/>
  <c r="AK102" i="4"/>
  <c r="AK19" i="4"/>
  <c r="AK56" i="12"/>
  <c r="AK193" i="4"/>
  <c r="AK118" i="4"/>
  <c r="AK57" i="4"/>
  <c r="AK126" i="4"/>
  <c r="AK123" i="4"/>
  <c r="AK132" i="4"/>
  <c r="AK101" i="4"/>
  <c r="AK86" i="4"/>
  <c r="AK198" i="4"/>
  <c r="AK205" i="4"/>
  <c r="AK185" i="4"/>
  <c r="AK117" i="4"/>
  <c r="AK54" i="4"/>
  <c r="AK151" i="4"/>
  <c r="AK174" i="4"/>
  <c r="AK89" i="4"/>
  <c r="AK79" i="12"/>
  <c r="AK31" i="4"/>
  <c r="AK82" i="4"/>
  <c r="AK175" i="4"/>
  <c r="AK187" i="4"/>
  <c r="AK72" i="4"/>
  <c r="AK138" i="4"/>
  <c r="AK120" i="4"/>
  <c r="AK62" i="12"/>
  <c r="AK121" i="4"/>
  <c r="AK125" i="4"/>
  <c r="AK63" i="4"/>
  <c r="AK176" i="4"/>
  <c r="AK200" i="4"/>
  <c r="AK115" i="4"/>
  <c r="AK64" i="4"/>
  <c r="AK53" i="4"/>
  <c r="AK142" i="4"/>
  <c r="AK184" i="4"/>
  <c r="AK180" i="4"/>
  <c r="AK48" i="4"/>
  <c r="AK165" i="4"/>
  <c r="AK99" i="12"/>
  <c r="AK25" i="12"/>
  <c r="AK20" i="12"/>
  <c r="AK94" i="4"/>
  <c r="AK27" i="4"/>
  <c r="AK221" i="4"/>
  <c r="AK179" i="4"/>
  <c r="AK76" i="4"/>
  <c r="AK170" i="4"/>
  <c r="AK171" i="4"/>
  <c r="AK159" i="4"/>
  <c r="AK154" i="4"/>
  <c r="AK215" i="4"/>
  <c r="AK38" i="4"/>
  <c r="AK24" i="4"/>
  <c r="AK83" i="4"/>
  <c r="AK177" i="4"/>
  <c r="AK166" i="4"/>
  <c r="AK29" i="4"/>
  <c r="AK80" i="4"/>
  <c r="AK167" i="4"/>
  <c r="AK186" i="4"/>
  <c r="AK28" i="4"/>
  <c r="AK81" i="4"/>
  <c r="AK78" i="4"/>
  <c r="AK105" i="4"/>
  <c r="AK139" i="4"/>
  <c r="AK41" i="4"/>
  <c r="AK25" i="4"/>
  <c r="AK136" i="4"/>
  <c r="AK60" i="4"/>
  <c r="AK45" i="4"/>
  <c r="AK98" i="4"/>
  <c r="AK39" i="4"/>
  <c r="AK73" i="4"/>
  <c r="AK97" i="12"/>
  <c r="AK161" i="4"/>
  <c r="AK155" i="4"/>
  <c r="AK220" i="4"/>
  <c r="AK203" i="4"/>
  <c r="AK100" i="4"/>
  <c r="AK42" i="12"/>
  <c r="AK183" i="4"/>
  <c r="AK71" i="4"/>
  <c r="AK32" i="4"/>
  <c r="AK182" i="4"/>
  <c r="AK178" i="4"/>
  <c r="AK67" i="4"/>
  <c r="AK77" i="4"/>
  <c r="AK77" i="12"/>
  <c r="AK150" i="4"/>
  <c r="AK17" i="4"/>
  <c r="AK91" i="4"/>
  <c r="AK92" i="4"/>
  <c r="AK195" i="4"/>
  <c r="AK217" i="4"/>
  <c r="AK196" i="4"/>
  <c r="AK194" i="4"/>
  <c r="AK157" i="4"/>
  <c r="AK36" i="4"/>
  <c r="AK202" i="4"/>
  <c r="AK163" i="4"/>
  <c r="AK127" i="4"/>
  <c r="AK192" i="4"/>
  <c r="AK210" i="4"/>
  <c r="AK112" i="4"/>
  <c r="AK201" i="4"/>
  <c r="AK218" i="4"/>
  <c r="AK172" i="4"/>
  <c r="AK129" i="4"/>
  <c r="AK30" i="4"/>
  <c r="AK95" i="4"/>
  <c r="AK122" i="4"/>
  <c r="AK134" i="4"/>
  <c r="AK114" i="4"/>
  <c r="AK197" i="4"/>
  <c r="AK191" i="4"/>
  <c r="AK152" i="4"/>
  <c r="AK156" i="4"/>
  <c r="AK160" i="4"/>
  <c r="AK47" i="12"/>
  <c r="AK190" i="4"/>
  <c r="AK104" i="4"/>
  <c r="AK26" i="4"/>
  <c r="AK158" i="4"/>
  <c r="AK103" i="4"/>
  <c r="AK116" i="4"/>
  <c r="AK90" i="4"/>
  <c r="AK106" i="4"/>
  <c r="AK145" i="4"/>
  <c r="AK20" i="4"/>
  <c r="AK168" i="4"/>
  <c r="AK15" i="12"/>
  <c r="AK76" i="12"/>
  <c r="AK72" i="12"/>
  <c r="AK104" i="12"/>
  <c r="AK74" i="4"/>
  <c r="AK219" i="4"/>
  <c r="AK37" i="4"/>
  <c r="AK62" i="4"/>
  <c r="AK169" i="4"/>
  <c r="AK141" i="4"/>
  <c r="AK99" i="4"/>
  <c r="AK18" i="4"/>
  <c r="AK216" i="4"/>
  <c r="AK52" i="4"/>
  <c r="AK46" i="4"/>
  <c r="AK43" i="4"/>
  <c r="AK56" i="4"/>
  <c r="AK119" i="4"/>
  <c r="AK80" i="12"/>
  <c r="AK214" i="4"/>
  <c r="AK133" i="4"/>
  <c r="AK137" i="4"/>
  <c r="AK212" i="4"/>
  <c r="AK164" i="4"/>
  <c r="AK206" i="4"/>
  <c r="AK144" i="4"/>
  <c r="AK96" i="4"/>
  <c r="AK23" i="4"/>
  <c r="AK207" i="4"/>
  <c r="AK93" i="4"/>
  <c r="AK148" i="4"/>
  <c r="AK135" i="4"/>
  <c r="AK113" i="4"/>
  <c r="AK44" i="4"/>
  <c r="AK107" i="4"/>
  <c r="AK204" i="4"/>
  <c r="AK140" i="4"/>
  <c r="AK109" i="4"/>
  <c r="AK69" i="4"/>
  <c r="AK209" i="4"/>
  <c r="AK50" i="4"/>
  <c r="AK108" i="4"/>
  <c r="AK51" i="4"/>
  <c r="AK162" i="4"/>
  <c r="AK69" i="12"/>
  <c r="AK89" i="12"/>
  <c r="AK87" i="12"/>
  <c r="AK40" i="12"/>
  <c r="AK24" i="12"/>
  <c r="AK15" i="4"/>
  <c r="AK66" i="4"/>
  <c r="AK147" i="4"/>
  <c r="AK131" i="4"/>
  <c r="AK58" i="4"/>
  <c r="AK110" i="4"/>
  <c r="AK146" i="4"/>
  <c r="AK149" i="4"/>
  <c r="AK181" i="4"/>
  <c r="AK199" i="4"/>
  <c r="AK40" i="4"/>
  <c r="AK124" i="4"/>
  <c r="AK46" i="12"/>
  <c r="AK35" i="12"/>
  <c r="AK213" i="4"/>
  <c r="AK188" i="4"/>
  <c r="AK14" i="4"/>
  <c r="AK79" i="4"/>
  <c r="AK22" i="4"/>
  <c r="AK61" i="4"/>
  <c r="AK35" i="4"/>
  <c r="AK70" i="4"/>
  <c r="AK59" i="4"/>
  <c r="AK97" i="4"/>
  <c r="AK43" i="12"/>
  <c r="AK44" i="12"/>
  <c r="AK74" i="12"/>
  <c r="AK21" i="4"/>
  <c r="AK85" i="4"/>
  <c r="AK55" i="4"/>
  <c r="AK33" i="4"/>
  <c r="AK42" i="4"/>
  <c r="AK65" i="4"/>
  <c r="AK87" i="4"/>
  <c r="AK63" i="12"/>
  <c r="AK36" i="12"/>
  <c r="AK88" i="12"/>
  <c r="AK52" i="12"/>
  <c r="AK34" i="12"/>
  <c r="AK173" i="4"/>
  <c r="AK68" i="4"/>
  <c r="AK75" i="4"/>
  <c r="AK33" i="12"/>
  <c r="AK70" i="12"/>
  <c r="AK75" i="12"/>
  <c r="AK48" i="12"/>
  <c r="AK73" i="12"/>
  <c r="AK211" i="4"/>
  <c r="AK128" i="4"/>
  <c r="AK34" i="4"/>
  <c r="AK47" i="4"/>
  <c r="AK19" i="12"/>
  <c r="AK23" i="12"/>
  <c r="AK90" i="12"/>
  <c r="AK14" i="12"/>
  <c r="AK61" i="12"/>
  <c r="AK130" i="4"/>
  <c r="AK111" i="4"/>
  <c r="AK16" i="4"/>
  <c r="AK27" i="12"/>
  <c r="AK21" i="12"/>
  <c r="AK16" i="12"/>
  <c r="AK53" i="12"/>
  <c r="AK39" i="12"/>
  <c r="AK68" i="12"/>
  <c r="AK37" i="12"/>
  <c r="AK95" i="12"/>
  <c r="AK103" i="12"/>
  <c r="AK71" i="12"/>
  <c r="AK101" i="12"/>
  <c r="AK86" i="12"/>
  <c r="AK45" i="12"/>
  <c r="AK54" i="12"/>
  <c r="AK22" i="12"/>
  <c r="AK93" i="12"/>
  <c r="AK91" i="12"/>
  <c r="AK41" i="12"/>
  <c r="AK82" i="12"/>
  <c r="AK58" i="12"/>
  <c r="AK83" i="12"/>
  <c r="AK17" i="12"/>
  <c r="AK64" i="12"/>
  <c r="AK84" i="12"/>
  <c r="AK49" i="12"/>
  <c r="AK29" i="12"/>
  <c r="AK59" i="12"/>
  <c r="AK100" i="12"/>
  <c r="AK102" i="12"/>
  <c r="AK28" i="12"/>
  <c r="AK85" i="12"/>
  <c r="AK98" i="12"/>
  <c r="AK38" i="12"/>
  <c r="AK31" i="12"/>
  <c r="AK66" i="12"/>
  <c r="AK18" i="12"/>
  <c r="AK92" i="12"/>
  <c r="AK65" i="12"/>
  <c r="AK81" i="12"/>
  <c r="AK57" i="12"/>
  <c r="AK55" i="12"/>
  <c r="AK60" i="12"/>
  <c r="AK51" i="12"/>
  <c r="AK26" i="12"/>
  <c r="AK94" i="12"/>
  <c r="AK78" i="12"/>
  <c r="AK32" i="12"/>
  <c r="AK50" i="12"/>
  <c r="AK67" i="12"/>
  <c r="AK96" i="12"/>
  <c r="H41" i="4"/>
  <c r="H15" i="4"/>
  <c r="E88" i="4"/>
  <c r="H74" i="4"/>
  <c r="H56" i="4"/>
  <c r="L15" i="4"/>
  <c r="I88" i="4"/>
  <c r="L74" i="4"/>
  <c r="L41" i="4"/>
  <c r="L56" i="4"/>
  <c r="P26" i="112"/>
  <c r="O26" i="112"/>
  <c r="P26" i="101"/>
  <c r="O26" i="101"/>
  <c r="J41" i="12"/>
  <c r="G88" i="12"/>
  <c r="J74" i="12"/>
  <c r="J15" i="12"/>
  <c r="J56" i="12"/>
  <c r="J15" i="4"/>
  <c r="J41" i="4"/>
  <c r="J56" i="4"/>
  <c r="G88" i="4"/>
  <c r="J74" i="4"/>
  <c r="M41" i="4"/>
  <c r="M74" i="4"/>
  <c r="M56" i="4"/>
  <c r="M15" i="4"/>
  <c r="J88" i="4"/>
  <c r="Q26" i="112"/>
  <c r="Q26" i="10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Zhao</author>
  </authors>
  <commentList>
    <comment ref="B1" authorId="0" shapeId="0" xr:uid="{00000000-0006-0000-0F00-000001000000}">
      <text>
        <r>
          <rPr>
            <sz val="9"/>
            <color indexed="81"/>
            <rFont val="Tahoma"/>
            <family val="2"/>
          </rPr>
          <t>Model 8 (#vars=2, n=136, AdjRsq=0.16)
Dependent variable = EV_Rev 
Run time = 10/24/2018 6:29:12 PM
File name = new test 4.xlsx
Computer name = AZRINA-KAI
Program file name = RegressItPC.xlam
Version number = 2018.04.15
Execution time = 00h:05m:58s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Zhao</author>
  </authors>
  <commentList>
    <comment ref="B1" authorId="0" shapeId="0" xr:uid="{00000000-0006-0000-1000-000001000000}">
      <text>
        <r>
          <rPr>
            <sz val="9"/>
            <color indexed="81"/>
            <rFont val="Tahoma"/>
            <family val="2"/>
          </rPr>
          <t>Model 9 (#vars=6, n=136, AdjRsq=0.021)
Dependent variable = EV 
Run time = 10/25/2018 4:02:21 PM
File name = new test 4.xlsx
Computer name = AZRINA-KAI
Program file name = RegressItPC.xlam
Version number = 2018.04.15
Execution time = 00h:01m:33s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Zhao</author>
  </authors>
  <commentList>
    <comment ref="B1" authorId="0" shapeId="0" xr:uid="{00000000-0006-0000-1100-000001000000}">
      <text>
        <r>
          <rPr>
            <sz val="9"/>
            <color indexed="81"/>
            <rFont val="Tahoma"/>
            <family val="2"/>
          </rPr>
          <t>Model 10 (#vars=7, n=136, AdjRsq=0.977)
Dependent variable = EV 
Run time = 10/25/2018 4:07:32 PM
File name = new test 4.xlsx
Computer name = AZRINA-KAI
Program file name = RegressItPC.xlam
Version number = 2018.04.15
Execution time = 00h:01m:03s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Zhao</author>
  </authors>
  <commentList>
    <comment ref="B1" authorId="0" shapeId="0" xr:uid="{00000000-0006-0000-1200-000001000000}">
      <text>
        <r>
          <rPr>
            <sz val="9"/>
            <color indexed="81"/>
            <rFont val="Tahoma"/>
            <family val="2"/>
          </rPr>
          <t>Model 11 (#vars=4, n=136, AdjRsq=0.987)
Dependent variable = EV 
Run time = 10/25/2018 4:15:30 PM
File name = new test 4.xlsx
Computer name = AZRINA-KAI
Program file name = RegressItPC.xlam
Version number = 2018.04.15
Execution time = 00h:01m:05s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Zhao</author>
  </authors>
  <commentList>
    <comment ref="B1" authorId="0" shapeId="0" xr:uid="{00000000-0006-0000-1300-000001000000}">
      <text>
        <r>
          <rPr>
            <sz val="9"/>
            <color indexed="81"/>
            <rFont val="Tahoma"/>
            <family val="2"/>
          </rPr>
          <t>Model 13 (#vars=3, n=126, AdjRsq=0.746)
Dependent variable = EV 
Run time = 10/25/2018 4:43:41 PM
File name = new test 5.xlsx
Computer name = AZRINA-KAI
Program file name = RegressItPC.xlam
Version number = 2018.04.15
Execution time = 00h:02m:21s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Zhao</author>
  </authors>
  <commentList>
    <comment ref="B1" authorId="0" shapeId="0" xr:uid="{00000000-0006-0000-1400-000001000000}">
      <text>
        <r>
          <rPr>
            <sz val="9"/>
            <color indexed="81"/>
            <rFont val="Tahoma"/>
            <family val="2"/>
          </rPr>
          <t>Model 12 (#vars=3, n=136, AdjRsq=0.986)
Dependent variable = EV 
Run time = 10/25/2018 4:23:15 PM
File name = new test 4.xlsx
Computer name = AZRINA-KAI
Program file name = RegressItPC.xlam
Version number = 2018.04.15
Execution time = 00h:03m:53s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Zhao</author>
  </authors>
  <commentList>
    <comment ref="B1" authorId="0" shapeId="0" xr:uid="{00000000-0006-0000-1500-000001000000}">
      <text>
        <r>
          <rPr>
            <sz val="9"/>
            <color indexed="81"/>
            <rFont val="Tahoma"/>
            <family val="2"/>
          </rPr>
          <t>Model 14 (#vars=6, n=126, AdjRsq=0.164)
Dependent variable = EV_Rev 
Run time = 10/25/2018 4:52:01 PM
File name = new test 5.xlsx
Computer name = AZRINA-KAI
Program file name = RegressItPC.xlam
Version number = 2018.04.15
Execution time = 00h:03m:45s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Zhao</author>
  </authors>
  <commentList>
    <comment ref="B4" authorId="0" shapeId="0" xr:uid="{00000000-0006-0000-1600-000001000000}">
      <text>
        <r>
          <rPr>
            <sz val="9"/>
            <color indexed="81"/>
            <rFont val="Tahoma"/>
            <family val="2"/>
          </rPr>
          <t>Model 9 (#vars=6, n=136, AdjRsq=0.021)
Dependent variable = EV 
Run time = 10/25/2018 4:02:21 PM
File name = new test 4.xlsx
Computer name = AZRINA-KAI
Program file name = RegressItPC.xlam
Version number = 2018.04.15
Execution time = 00h:01m:33s</t>
        </r>
      </text>
    </comment>
    <comment ref="C4" authorId="0" shapeId="0" xr:uid="{00000000-0006-0000-1600-000002000000}">
      <text>
        <r>
          <rPr>
            <sz val="9"/>
            <color indexed="81"/>
            <rFont val="Tahoma"/>
            <family val="2"/>
          </rPr>
          <t>Model 10 (#vars=7, n=136, AdjRsq=0.977)
Dependent variable = EV 
Run time = 10/25/2018 4:07:32 PM
File name = new test 4.xlsx
Computer name = AZRINA-KAI
Program file name = RegressItPC.xlam
Version number = 2018.04.15
Execution time = 00h:01m:03s</t>
        </r>
      </text>
    </comment>
    <comment ref="D4" authorId="0" shapeId="0" xr:uid="{00000000-0006-0000-1600-000003000000}">
      <text>
        <r>
          <rPr>
            <sz val="9"/>
            <color indexed="81"/>
            <rFont val="Tahoma"/>
            <family val="2"/>
          </rPr>
          <t>Model 11 (#vars=4, n=136, AdjRsq=0.987)
Dependent variable = EV 
Run time = 10/25/2018 4:15:30 PM
File name = new test 4.xlsx
Computer name = AZRINA-KAI
Program file name = RegressItPC.xlam
Version number = 2018.04.15
Execution time = 00h:01m:05s</t>
        </r>
      </text>
    </comment>
    <comment ref="E4" authorId="0" shapeId="0" xr:uid="{00000000-0006-0000-1600-000004000000}">
      <text>
        <r>
          <rPr>
            <sz val="9"/>
            <color indexed="81"/>
            <rFont val="Tahoma"/>
            <family val="2"/>
          </rPr>
          <t>Model 12 (#vars=3, n=136, AdjRsq=0.986)
Dependent variable = EV 
Run time = 10/25/2018 4:23:15 PM
File name = new test 4.xlsx
Computer name = AZRINA-KAI
Program file name = RegressItPC.xlam
Version number = 2018.04.15
Execution time = 00h:03m:53s</t>
        </r>
      </text>
    </comment>
    <comment ref="F4" authorId="0" shapeId="0" xr:uid="{00000000-0006-0000-1600-000005000000}">
      <text>
        <r>
          <rPr>
            <sz val="9"/>
            <color indexed="81"/>
            <rFont val="Tahoma"/>
            <family val="2"/>
          </rPr>
          <t>Model 13 (#vars=3, n=126, AdjRsq=0.746)
Dependent variable = EV 
Run time = 10/25/2018 4:43:41 PM
File name = new test 5.xlsx
Computer name = AZRINA-KAI
Program file name = RegressItPC.xlam
Version number = 2018.04.15
Execution time = 00h:02m:21s</t>
        </r>
      </text>
    </comment>
    <comment ref="A8" authorId="0" shapeId="0" xr:uid="{00000000-0006-0000-1600-000006000000}">
      <text>
        <r>
          <rPr>
            <sz val="9"/>
            <color indexed="81"/>
            <rFont val="Tahoma"/>
            <family val="2"/>
          </rPr>
          <t>You can make a chart of the standard error of the regression and/or R-squared versus the number of variables by selecting a 3-row range beginning in this cell and choosing Insert/Scatterchart from the Excel menu.</t>
        </r>
      </text>
    </comment>
    <comment ref="B15" authorId="0" shapeId="0" xr:uid="{00000000-0006-0000-1600-000007000000}">
      <text>
        <r>
          <rPr>
            <sz val="9"/>
            <color indexed="81"/>
            <rFont val="Tahoma"/>
            <family val="2"/>
          </rPr>
          <t>Adjusted Anderson-Darling statistic = 25.48 (P=0.000)
The critical value is 0.752 [1.035, 1.443] for non-normality
that is significant at the 0.05 [0.01, 0.001] level.
Jarque-Bera statistic = 64074.59 (P=0.000)
The critical value is 5.991 [9.210, 13.816] for non-normality
that is significant at the 0.05 [0.01, 0.001] level,
 based on a Chi-square distribution with 2 degrees of freedom.</t>
        </r>
      </text>
    </comment>
    <comment ref="C15" authorId="0" shapeId="0" xr:uid="{00000000-0006-0000-1600-000008000000}">
      <text>
        <r>
          <rPr>
            <sz val="9"/>
            <color indexed="81"/>
            <rFont val="Tahoma"/>
            <family val="2"/>
          </rPr>
          <t>Adjusted Anderson-Darling statistic = 23.05 (P=0.000)
The critical value is 0.752 [1.035, 1.443] for non-normality
that is significant at the 0.05 [0.01, 0.001] level.
Jarque-Bera statistic = 12717.16 (P=0.000)
The critical value is 5.991 [9.210, 13.816] for non-normality
that is significant at the 0.05 [0.01, 0.001] level,
 based on a Chi-square distribution with 2 degrees of freedom.</t>
        </r>
      </text>
    </comment>
    <comment ref="D15" authorId="0" shapeId="0" xr:uid="{00000000-0006-0000-1600-000009000000}">
      <text>
        <r>
          <rPr>
            <sz val="9"/>
            <color indexed="81"/>
            <rFont val="Tahoma"/>
            <family val="2"/>
          </rPr>
          <t>Adjusted Anderson-Darling statistic = 19.09 (P=0.000)
The critical value is 0.752 [1.035, 1.443] for non-normality
that is significant at the 0.05 [0.01, 0.001] level.
Jarque-Bera statistic = 23607.17 (P=0.000)
The critical value is 5.991 [9.210, 13.816] for non-normality
that is significant at the 0.05 [0.01, 0.001] level,
 based on a Chi-square distribution with 2 degrees of freedom.</t>
        </r>
      </text>
    </comment>
    <comment ref="E15" authorId="0" shapeId="0" xr:uid="{00000000-0006-0000-1600-00000A000000}">
      <text>
        <r>
          <rPr>
            <sz val="9"/>
            <color indexed="81"/>
            <rFont val="Tahoma"/>
            <family val="2"/>
          </rPr>
          <t>Adjusted Anderson-Darling statistic = 18.63 (P=0.000)
The critical value is 0.752 [1.035, 1.443] for non-normality
that is significant at the 0.05 [0.01, 0.001] level.
Jarque-Bera statistic = 23473.40 (P=0.000)
The critical value is 5.991 [9.210, 13.816] for non-normality
that is significant at the 0.05 [0.01, 0.001] level,
 based on a Chi-square distribution with 2 degrees of freedom.</t>
        </r>
      </text>
    </comment>
    <comment ref="F15" authorId="0" shapeId="0" xr:uid="{00000000-0006-0000-1600-00000B000000}">
      <text>
        <r>
          <rPr>
            <sz val="9"/>
            <color indexed="81"/>
            <rFont val="Tahoma"/>
            <family val="2"/>
          </rPr>
          <t>Adjusted Anderson-Darling statistic = 4.49 (P=0.000)
The critical value is 0.752 [1.035, 1.443] for non-normality
that is significant at the 0.05 [0.01, 0.001] level.
Jarque-Bera statistic = 149.50 (P=0.000)
The critical value is 5.991 [9.210, 13.816] for non-normality
that is significant at the 0.05 [0.01, 0.001] level,
 based on a Chi-square distribution with 2 degrees of freedom.</t>
        </r>
      </text>
    </comment>
    <comment ref="B20" authorId="0" shapeId="0" xr:uid="{00000000-0006-0000-1600-00000C000000}">
      <text>
        <r>
          <rPr>
            <sz val="9"/>
            <color indexed="81"/>
            <rFont val="Tahoma"/>
            <family val="2"/>
          </rPr>
          <t>Model = Model 9
Variable =  Constant
Coeff = 16114.8
StdErr = 36279
t-stat = 0.444
P-value = 0.658
VIF = 0
StdCoeff = 0</t>
        </r>
      </text>
    </comment>
    <comment ref="C20" authorId="0" shapeId="0" xr:uid="{00000000-0006-0000-1600-00000D000000}">
      <text>
        <r>
          <rPr>
            <sz val="9"/>
            <color indexed="81"/>
            <rFont val="Tahoma"/>
            <family val="2"/>
          </rPr>
          <t>Model = Model 10
Variable =  Constant
Coeff = -4037.7
StdErr = 5583.5
t-stat = -0.723
P-value = 0.471
VIF = 0
StdCoeff = 0</t>
        </r>
      </text>
    </comment>
    <comment ref="D20" authorId="0" shapeId="0" xr:uid="{00000000-0006-0000-1600-00000E000000}">
      <text>
        <r>
          <rPr>
            <sz val="9"/>
            <color indexed="81"/>
            <rFont val="Tahoma"/>
            <family val="2"/>
          </rPr>
          <t>Model = Model 11
Variable =  Constant
Coeff = -2061.36
StdErr = 1087.1
t-stat = -1.896
P-value = 0.06
VIF = 0
StdCoeff = 0</t>
        </r>
      </text>
    </comment>
    <comment ref="E20" authorId="0" shapeId="0" xr:uid="{00000000-0006-0000-1600-00000F000000}">
      <text>
        <r>
          <rPr>
            <sz val="9"/>
            <color indexed="81"/>
            <rFont val="Tahoma"/>
            <family val="2"/>
          </rPr>
          <t>Model = Model 12
Variable =  Constant
Coeff = -1174.77
StdErr = 805.97
t-stat = -1.458
P-value = 0.147
VIF = 0
StdCoeff = 0</t>
        </r>
      </text>
    </comment>
    <comment ref="F20" authorId="0" shapeId="0" xr:uid="{00000000-0006-0000-1600-000010000000}">
      <text>
        <r>
          <rPr>
            <sz val="9"/>
            <color indexed="81"/>
            <rFont val="Tahoma"/>
            <family val="2"/>
          </rPr>
          <t>Model = Model 13
Variable =  Constant
Coeff = 699.8
StdErr = 295.268
t-stat = 2.37
P-value = 0.019
VIF = 0
StdCoeff = 0</t>
        </r>
      </text>
    </comment>
    <comment ref="B21" authorId="0" shapeId="0" xr:uid="{00000000-0006-0000-1600-000011000000}">
      <text>
        <r>
          <rPr>
            <sz val="9"/>
            <color indexed="81"/>
            <rFont val="Tahoma"/>
            <family val="2"/>
          </rPr>
          <t>Model = Model 9
Variable = EBITDA_Margin
Coeff = 161757
StdErr = 95646
t-stat = 1.691
P-value = 0.093
VIF = 17.604
StdCoeff = 0.60434</t>
        </r>
      </text>
    </comment>
    <comment ref="C21" authorId="0" shapeId="0" xr:uid="{00000000-0006-0000-1600-000012000000}">
      <text>
        <r>
          <rPr>
            <sz val="9"/>
            <color indexed="81"/>
            <rFont val="Tahoma"/>
            <family val="2"/>
          </rPr>
          <t>Model = Model 10
Variable = EBITDA_Margin
Coeff = -14147.8
StdErr = 14898.3
t-stat = -0.95
P-value = 0.344
VIF = 18.077
StdCoeff = -0.05286</t>
        </r>
      </text>
    </comment>
    <comment ref="B22" authorId="0" shapeId="0" xr:uid="{00000000-0006-0000-1600-000013000000}">
      <text>
        <r>
          <rPr>
            <sz val="9"/>
            <color indexed="81"/>
            <rFont val="Tahoma"/>
            <family val="2"/>
          </rPr>
          <t>Model = Model 9
Variable = GP_Margin
Coeff = -91411
StdErr = 70248
t-stat = -1.301
P-value = 0.195
VIF = 2.453
StdCoeff = -0.17358</t>
        </r>
      </text>
    </comment>
    <comment ref="C22" authorId="0" shapeId="0" xr:uid="{00000000-0006-0000-1600-000014000000}">
      <text>
        <r>
          <rPr>
            <sz val="9"/>
            <color indexed="81"/>
            <rFont val="Tahoma"/>
            <family val="2"/>
          </rPr>
          <t>Model = Model 10
Variable = GP_Margin
Coeff = 9334.9
StdErr = 10885.9
t-stat = 0.858
P-value = 0.393
VIF = 2.493
StdCoeff = 0.01773</t>
        </r>
      </text>
    </comment>
    <comment ref="B23" authorId="0" shapeId="0" xr:uid="{00000000-0006-0000-1600-000015000000}">
      <text>
        <r>
          <rPr>
            <sz val="9"/>
            <color indexed="81"/>
            <rFont val="Tahoma"/>
            <family val="2"/>
          </rPr>
          <t>Model = Model 9
Variable = Profit_Margin
Coeff = -18947.4
StdErr = 86172
t-stat = -0.22
P-value = 0.826
VIF = 12.955
StdCoeff = -0.0674</t>
        </r>
      </text>
    </comment>
    <comment ref="C23" authorId="0" shapeId="0" xr:uid="{00000000-0006-0000-1600-000016000000}">
      <text>
        <r>
          <rPr>
            <sz val="9"/>
            <color indexed="81"/>
            <rFont val="Tahoma"/>
            <family val="2"/>
          </rPr>
          <t>Model = Model 10
Variable = Profit_Margin
Coeff = 7903.5
StdErr = 13251.1
t-stat = 0.596
P-value = 0.552
VIF = 12.965
StdCoeff = 0.02812</t>
        </r>
      </text>
    </comment>
    <comment ref="B24" authorId="0" shapeId="0" xr:uid="{00000000-0006-0000-1600-000017000000}">
      <text>
        <r>
          <rPr>
            <sz val="9"/>
            <color indexed="81"/>
            <rFont val="Tahoma"/>
            <family val="2"/>
          </rPr>
          <t>Model = Model 9
Variable = R_D_Margin
Coeff = 90484
StdErr = 84867
t-stat = 1.066
P-value = 0.288
VIF = 2.055
StdCoeff = 0.13017</t>
        </r>
      </text>
    </comment>
    <comment ref="C24" authorId="0" shapeId="0" xr:uid="{00000000-0006-0000-1600-000018000000}">
      <text>
        <r>
          <rPr>
            <sz val="9"/>
            <color indexed="81"/>
            <rFont val="Tahoma"/>
            <family val="2"/>
          </rPr>
          <t>Model = Model 10
Variable = R_D_Margin
Coeff = -5629.5
StdErr = 13111.6
t-stat = -0.429
P-value = 0.668
VIF = 2.076
StdCoeff = -0.0081</t>
        </r>
      </text>
    </comment>
    <comment ref="C25" authorId="0" shapeId="0" xr:uid="{00000000-0006-0000-1600-000019000000}">
      <text>
        <r>
          <rPr>
            <sz val="9"/>
            <color indexed="81"/>
            <rFont val="Tahoma"/>
            <family val="2"/>
          </rPr>
          <t>Model = Model 10
Variable = Rev
Coeff = 6.6827
StdErr = 0.091523
t-stat = 73.017
P-value = 0
VIF = 1.08
StdCoeff = 0.99358</t>
        </r>
      </text>
    </comment>
    <comment ref="B26" authorId="0" shapeId="0" xr:uid="{00000000-0006-0000-1600-00001A000000}">
      <text>
        <r>
          <rPr>
            <sz val="9"/>
            <color indexed="81"/>
            <rFont val="Tahoma"/>
            <family val="2"/>
          </rPr>
          <t>Model = Model 9
Variable = Rev_Growth
Coeff = -4263.1
StdErr = 28902.3
t-stat = -0.148
P-value = 0.883
VIF = 1.105
StdCoeff = -0.0132</t>
        </r>
      </text>
    </comment>
    <comment ref="C26" authorId="0" shapeId="0" xr:uid="{00000000-0006-0000-1600-00001B000000}">
      <text>
        <r>
          <rPr>
            <sz val="9"/>
            <color indexed="81"/>
            <rFont val="Tahoma"/>
            <family val="2"/>
          </rPr>
          <t>Model = Model 10
Variable = Rev_Growth
Coeff = 7775.5
StdErr = 4445.8
t-stat = 1.749
P-value = 0.083
VIF = 1.106
StdCoeff = 0.02408</t>
        </r>
      </text>
    </comment>
    <comment ref="D26" authorId="0" shapeId="0" xr:uid="{00000000-0006-0000-1600-00001C000000}">
      <text>
        <r>
          <rPr>
            <sz val="9"/>
            <color indexed="81"/>
            <rFont val="Tahoma"/>
            <family val="2"/>
          </rPr>
          <t>Model = Model 11
Variable = Rev_Growth
Coeff = 3973.8
StdErr = 3276.9
t-stat = 1.213
P-value = 0.227
VIF = 1.03
StdCoeff = 0.01231</t>
        </r>
      </text>
    </comment>
    <comment ref="B27" authorId="0" shapeId="0" xr:uid="{00000000-0006-0000-1600-00001D000000}">
      <text>
        <r>
          <rPr>
            <sz val="9"/>
            <color indexed="81"/>
            <rFont val="Tahoma"/>
            <family val="2"/>
          </rPr>
          <t>Model = Model 9
Variable = S_M_Margin
Coeff = 114746
StdErr = 76257
t-stat = 1.505
P-value = 0.135
VIF = 5.293
StdCoeff = 0.29485</t>
        </r>
      </text>
    </comment>
    <comment ref="C27" authorId="0" shapeId="0" xr:uid="{00000000-0006-0000-1600-00001E000000}">
      <text>
        <r>
          <rPr>
            <sz val="9"/>
            <color indexed="81"/>
            <rFont val="Tahoma"/>
            <family val="2"/>
          </rPr>
          <t>Model = Model 10
Variable = S_M_Margin
Coeff = -5975.5
StdErr = 11837.9
t-stat = -0.505
P-value = 0.615
VIF = 5.398
StdCoeff = -0.01535</t>
        </r>
      </text>
    </comment>
    <comment ref="D28" authorId="0" shapeId="0" xr:uid="{00000000-0006-0000-1600-00001F000000}">
      <text>
        <r>
          <rPr>
            <sz val="9"/>
            <color indexed="81"/>
            <rFont val="Tahoma"/>
            <family val="2"/>
          </rPr>
          <t>Model = Model 11
Variable = TTM_EBITDA
Coeff = -10.8982
StdErr = 1.82427
t-stat = -5.974
P-value = 0
VIF = 124.954
StdCoeff = -0.66773</t>
        </r>
      </text>
    </comment>
    <comment ref="E28" authorId="0" shapeId="0" xr:uid="{00000000-0006-0000-1600-000020000000}">
      <text>
        <r>
          <rPr>
            <sz val="9"/>
            <color indexed="81"/>
            <rFont val="Tahoma"/>
            <family val="2"/>
          </rPr>
          <t>Model = Model 12
Variable = TTM_EBITDA
Coeff = -10.8835
StdErr = 1.82748
t-stat = -5.955
P-value = 0
VIF = 124.948
StdCoeff = -0.66683</t>
        </r>
      </text>
    </comment>
    <comment ref="F28" authorId="0" shapeId="0" xr:uid="{00000000-0006-0000-1600-000021000000}">
      <text>
        <r>
          <rPr>
            <sz val="9"/>
            <color indexed="81"/>
            <rFont val="Tahoma"/>
            <family val="2"/>
          </rPr>
          <t>Model = Model 13
Variable = TTM_EBITDA
Coeff = -3.2884
StdErr = 1.51982
t-stat = -2.164
P-value = 0.032
VIF = 4.402
StdCoeff = -0.20471</t>
        </r>
      </text>
    </comment>
    <comment ref="D29" authorId="0" shapeId="0" xr:uid="{00000000-0006-0000-1600-000022000000}">
      <text>
        <r>
          <rPr>
            <sz val="9"/>
            <color indexed="81"/>
            <rFont val="Tahoma"/>
            <family val="2"/>
          </rPr>
          <t>Model = Model 11
Variable = TTM_GP
Coeff = -10.0674
StdErr = 1.28531
t-stat = -7.833
P-value = 0
VIF = 165.675
StdCoeff = -1.00809</t>
        </r>
      </text>
    </comment>
    <comment ref="E29" authorId="0" shapeId="0" xr:uid="{00000000-0006-0000-1600-000023000000}">
      <text>
        <r>
          <rPr>
            <sz val="9"/>
            <color indexed="81"/>
            <rFont val="Tahoma"/>
            <family val="2"/>
          </rPr>
          <t>Model = Model 12
Variable = TTM_GP
Coeff = -10.2993
StdErr = 1.27326
t-stat = -8.089
P-value = 0
VIF = 162.008
StdCoeff = -1.03131</t>
        </r>
      </text>
    </comment>
    <comment ref="F29" authorId="0" shapeId="0" xr:uid="{00000000-0006-0000-1600-000024000000}">
      <text>
        <r>
          <rPr>
            <sz val="9"/>
            <color indexed="81"/>
            <rFont val="Tahoma"/>
            <family val="2"/>
          </rPr>
          <t>Model = Model 13
Variable = TTM_GP
Coeff = -1.18165
StdErr = 1.65185
t-stat = -0.715
P-value = 0.476
VIF = 29.674
StdCoeff = -0.17573</t>
        </r>
      </text>
    </comment>
    <comment ref="D30" authorId="0" shapeId="0" xr:uid="{00000000-0006-0000-1600-000025000000}">
      <text>
        <r>
          <rPr>
            <sz val="9"/>
            <color indexed="81"/>
            <rFont val="Tahoma"/>
            <family val="2"/>
          </rPr>
          <t>Model = Model 11
Variable = TTM_Rev
Coeff = 17.8882
StdErr = 1.18217
t-stat = 15.132
P-value = 0
VIF = 308.986
StdCoeff = 2.65959</t>
        </r>
      </text>
    </comment>
    <comment ref="E30" authorId="0" shapeId="0" xr:uid="{00000000-0006-0000-1600-000026000000}">
      <text>
        <r>
          <rPr>
            <sz val="9"/>
            <color indexed="81"/>
            <rFont val="Tahoma"/>
            <family val="2"/>
          </rPr>
          <t>Model = Model 12
Variable = TTM_Rev
Coeff = 18.0309
StdErr = 1.17839
t-stat = 15.301
P-value = 0
VIF = 305.922
StdCoeff = 2.68082</t>
        </r>
      </text>
    </comment>
    <comment ref="F30" authorId="0" shapeId="0" xr:uid="{00000000-0006-0000-1600-000027000000}">
      <text>
        <r>
          <rPr>
            <sz val="9"/>
            <color indexed="81"/>
            <rFont val="Tahoma"/>
            <family val="2"/>
          </rPr>
          <t>Model = Model 13
Variable = TTM_Rev
Coeff = 6.5145
StdErr = 1.33623
t-stat = 4.875
P-value = 0
VIF = 30.418
StdCoeff = 1.21257</t>
        </r>
      </text>
    </comment>
    <comment ref="B34" authorId="0" shapeId="0" xr:uid="{00000000-0006-0000-1600-000028000000}">
      <text>
        <r>
          <rPr>
            <sz val="9"/>
            <color indexed="81"/>
            <rFont val="Tahoma"/>
            <family val="2"/>
          </rPr>
          <t>Model 14 (#vars=6, n=126, AdjRsq=0.164)
Dependent variable = EV_Rev 
Run time = 10/25/2018 4:52:01 PM
File name = new test 5.xlsx
Computer name = AZRINA-KAI
Program file name = RegressItPC.xlam
Version number = 2018.04.15
Execution time = 00h:03m:45s</t>
        </r>
      </text>
    </comment>
    <comment ref="C34" authorId="0" shapeId="0" xr:uid="{00000000-0006-0000-1600-000029000000}">
      <text>
        <r>
          <rPr>
            <sz val="9"/>
            <color indexed="81"/>
            <rFont val="Tahoma"/>
            <family val="2"/>
          </rPr>
          <t>Model 15 (#vars=6, n=121, AdjRsq=0.406)
Dependent variable = EV_Rev 
Run time = 10/30/2018 10:28:46 AM
File name = new test 6.xlsx
Computer name = AZRINA-KAI
Program file name = RegressItPC.xlam
Version number = 2018.04.15
Execution time = 00h:01m:32s</t>
        </r>
      </text>
    </comment>
    <comment ref="D34" authorId="0" shapeId="0" xr:uid="{00000000-0006-0000-1600-00002A000000}">
      <text>
        <r>
          <rPr>
            <sz val="9"/>
            <color indexed="81"/>
            <rFont val="Tahoma"/>
            <family val="2"/>
          </rPr>
          <t>Model 16 (#vars=4, n=121, AdjRsq=0.376)
Dependent variable = EV_Rev 
Run time = 10/31/2018 10:38:45 AM
File name = new test 6.xlsx
Computer name = AZRINA-KAI
Program file name = RegressItPC.xlam
Version number = 2018.04.15
Execution time = 00h:02m:49s</t>
        </r>
      </text>
    </comment>
    <comment ref="E34" authorId="0" shapeId="0" xr:uid="{00000000-0006-0000-1600-00002B000000}">
      <text>
        <r>
          <rPr>
            <sz val="9"/>
            <color indexed="81"/>
            <rFont val="Tahoma"/>
            <family val="2"/>
          </rPr>
          <t>Model 17 (#vars=4, n=121, AdjRsq=0.403)
Dependent variable = EV_Rev 
Run time = 10/31/2018 10:48:07 AM
File name = new test 6.xlsx
Computer name = AZRINA-KAI
Program file name = RegressItPC.xlam
Version number = 2018.04.15
Execution time = 00h:04m:21s</t>
        </r>
      </text>
    </comment>
    <comment ref="F34" authorId="0" shapeId="0" xr:uid="{00000000-0006-0000-1600-00002C000000}">
      <text>
        <r>
          <rPr>
            <sz val="9"/>
            <color indexed="81"/>
            <rFont val="Tahoma"/>
            <family val="2"/>
          </rPr>
          <t>Model 18 (#vars=5, n=121, AdjRsq=0.411)
Dependent variable = EV_Rev 
Run time = 11/1/2018 2:08:31 PM
File name = new test 6.xlsx
Computer name = AZRINA-KAI
Program file name = RegressItPC.xlam
Version number = 2018.04.15
Execution time = 00h:01m:29s</t>
        </r>
      </text>
    </comment>
    <comment ref="G34" authorId="0" shapeId="0" xr:uid="{00000000-0006-0000-1600-00002D000000}">
      <text>
        <r>
          <rPr>
            <sz val="9"/>
            <color indexed="81"/>
            <rFont val="Tahoma"/>
            <family val="2"/>
          </rPr>
          <t>Model 19 (#vars=3, n=121, AdjRsq=0.376)
Dependent variable = EV_Rev 
Run time = 11/1/2018 2:46:17 PM
File name = new test 6.xlsx
Computer name = AZRINA-KAI
Program file name = RegressItPC.xlam
Version number = 2018.04.15
Execution time = 00h:02m:55s</t>
        </r>
      </text>
    </comment>
    <comment ref="A38" authorId="0" shapeId="0" xr:uid="{00000000-0006-0000-1600-00002E000000}">
      <text>
        <r>
          <rPr>
            <sz val="9"/>
            <color indexed="81"/>
            <rFont val="Tahoma"/>
            <family val="2"/>
          </rPr>
          <t>You can make a chart of the standard error of the regression and/or R-squared versus the number of variables by selecting a 3-row range beginning in this cell and choosing Insert/Scatterchart from the Excel menu.</t>
        </r>
      </text>
    </comment>
    <comment ref="B45" authorId="0" shapeId="0" xr:uid="{00000000-0006-0000-1600-00002F000000}">
      <text>
        <r>
          <rPr>
            <sz val="9"/>
            <color indexed="81"/>
            <rFont val="Tahoma"/>
            <family val="2"/>
          </rPr>
          <t>Adjusted Anderson-Darling statistic = 0.62 (P=0.109)
The critical value is 0.752 [1.035, 1.443] for non-normality
that is significant at the 0.05 [0.01, 0.001] level.
Jarque-Bera statistic = 3.96 (P=0.138)
The critical value is 5.991 [9.210, 13.816] for non-normality
that is significant at the 0.05 [0.01, 0.001] level,
 based on a Chi-square distribution with 2 degrees of freedom.</t>
        </r>
      </text>
    </comment>
    <comment ref="C45" authorId="0" shapeId="0" xr:uid="{00000000-0006-0000-1600-000030000000}">
      <text>
        <r>
          <rPr>
            <sz val="9"/>
            <color indexed="81"/>
            <rFont val="Tahoma"/>
            <family val="2"/>
          </rPr>
          <t>Adjusted Anderson-Darling statistic = 0.79 (P=0.040)
The critical value is 0.752 [1.035, 1.443] for non-normality
that is significant at the 0.05 [0.01, 0.001] level.
Jarque-Bera statistic = 3.31 (P=0.191)
The critical value is 5.991 [9.210, 13.816] for non-normality
that is significant at the 0.05 [0.01, 0.001] level,
 based on a Chi-square distribution with 2 degrees of freedom.</t>
        </r>
      </text>
    </comment>
    <comment ref="D45" authorId="0" shapeId="0" xr:uid="{00000000-0006-0000-1600-000031000000}">
      <text>
        <r>
          <rPr>
            <sz val="9"/>
            <color indexed="81"/>
            <rFont val="Tahoma"/>
            <family val="2"/>
          </rPr>
          <t>Adjusted Anderson-Darling statistic = 1.43 (P=0.001)
The critical value is 0.752 [1.035, 1.443] for non-normality
that is significant at the 0.05 [0.01, 0.001] level.
Jarque-Bera statistic = 7.31 (P=0.026)
The critical value is 5.991 [9.210, 13.816] for non-normality
that is significant at the 0.05 [0.01, 0.001] level,
 based on a Chi-square distribution with 2 degrees of freedom.</t>
        </r>
      </text>
    </comment>
    <comment ref="E45" authorId="0" shapeId="0" xr:uid="{00000000-0006-0000-1600-000032000000}">
      <text>
        <r>
          <rPr>
            <sz val="9"/>
            <color indexed="81"/>
            <rFont val="Tahoma"/>
            <family val="2"/>
          </rPr>
          <t>Adjusted Anderson-Darling statistic = 1.11 (P=0.007)
The critical value is 0.752 [1.035, 1.443] for non-normality
that is significant at the 0.05 [0.01, 0.001] level.
Jarque-Bera statistic = 3.76 (P=0.153)
The critical value is 5.991 [9.210, 13.816] for non-normality
that is significant at the 0.05 [0.01, 0.001] level,
 based on a Chi-square distribution with 2 degrees of freedom.</t>
        </r>
      </text>
    </comment>
    <comment ref="F45" authorId="0" shapeId="0" xr:uid="{00000000-0006-0000-1600-000033000000}">
      <text>
        <r>
          <rPr>
            <sz val="9"/>
            <color indexed="81"/>
            <rFont val="Tahoma"/>
            <family val="2"/>
          </rPr>
          <t>Adjusted Anderson-Darling statistic = 0.77 (P=0.047)
The critical value is 0.752 [1.035, 1.443] for non-normality
that is significant at the 0.05 [0.01, 0.001] level.
Jarque-Bera statistic = 3.23 (P=0.199)
The critical value is 5.991 [9.210, 13.816] for non-normality
that is significant at the 0.05 [0.01, 0.001] level,
 based on a Chi-square distribution with 2 degrees of freedom.</t>
        </r>
      </text>
    </comment>
    <comment ref="G45" authorId="0" shapeId="0" xr:uid="{00000000-0006-0000-1600-000034000000}">
      <text>
        <r>
          <rPr>
            <sz val="9"/>
            <color indexed="81"/>
            <rFont val="Tahoma"/>
            <family val="2"/>
          </rPr>
          <t>Adjusted Anderson-Darling statistic = 1.62 (P=0.000)
The critical value is 0.752 [1.035, 1.443] for non-normality
that is significant at the 0.05 [0.01, 0.001] level.
Jarque-Bera statistic = 6.62 (P=0.036)
The critical value is 5.991 [9.210, 13.816] for non-normality
that is significant at the 0.05 [0.01, 0.001] level,
 based on a Chi-square distribution with 2 degrees of freedom.</t>
        </r>
      </text>
    </comment>
    <comment ref="B50" authorId="0" shapeId="0" xr:uid="{00000000-0006-0000-1600-000035000000}">
      <text>
        <r>
          <rPr>
            <sz val="9"/>
            <color indexed="81"/>
            <rFont val="Tahoma"/>
            <family val="2"/>
          </rPr>
          <t>Model = Model 14
Variable =  Constant
Coeff = 1.06316
StdErr = 1.45342
t-stat = 0.731
P-value = 0.466
VIF = 0
StdCoeff = 0</t>
        </r>
      </text>
    </comment>
    <comment ref="C50" authorId="0" shapeId="0" xr:uid="{00000000-0006-0000-1600-000036000000}">
      <text>
        <r>
          <rPr>
            <sz val="9"/>
            <color indexed="81"/>
            <rFont val="Tahoma"/>
            <family val="2"/>
          </rPr>
          <t>Model = Model 15
Variable =  Constant
Coeff = 0.059214
StdErr = 1.78665
t-stat = 0.033
P-value = 0.974
VIF = 0
StdCoeff = 0</t>
        </r>
      </text>
    </comment>
    <comment ref="D50" authorId="0" shapeId="0" xr:uid="{00000000-0006-0000-1600-000037000000}">
      <text>
        <r>
          <rPr>
            <sz val="9"/>
            <color indexed="81"/>
            <rFont val="Tahoma"/>
            <family val="2"/>
          </rPr>
          <t>Model = Model 16
Variable =  Constant
Coeff = 0.6253
StdErr = 1.80013
t-stat = 0.347
P-value = 0.729
VIF = 0
StdCoeff = 0</t>
        </r>
      </text>
    </comment>
    <comment ref="E50" authorId="0" shapeId="0" xr:uid="{00000000-0006-0000-1600-000038000000}">
      <text>
        <r>
          <rPr>
            <sz val="9"/>
            <color indexed="81"/>
            <rFont val="Tahoma"/>
            <family val="2"/>
          </rPr>
          <t>Model = Model 17
Variable =  Constant
Coeff = -0.23164
StdErr = 1.75509
t-stat = -0.132
P-value = 0.895
VIF = 0
StdCoeff = 0</t>
        </r>
      </text>
    </comment>
    <comment ref="F50" authorId="0" shapeId="0" xr:uid="{00000000-0006-0000-1600-000039000000}">
      <text>
        <r>
          <rPr>
            <sz val="9"/>
            <color indexed="81"/>
            <rFont val="Tahoma"/>
            <family val="2"/>
          </rPr>
          <t>Model = Model 18
Variable =  Constant
Coeff = 0.132917
StdErr = 1.75716
t-stat = 0.076
P-value = 0.94
VIF = 0
StdCoeff = 0</t>
        </r>
      </text>
    </comment>
    <comment ref="G50" authorId="0" shapeId="0" xr:uid="{00000000-0006-0000-1600-00003A000000}">
      <text>
        <r>
          <rPr>
            <sz val="9"/>
            <color indexed="81"/>
            <rFont val="Tahoma"/>
            <family val="2"/>
          </rPr>
          <t>Model = Model 19
Variable =  Constant
Coeff = 0.34829
StdErr = 1.7786
t-stat = 0.196
P-value = 0.845
VIF = 0
StdCoeff = 0</t>
        </r>
      </text>
    </comment>
    <comment ref="B51" authorId="0" shapeId="0" xr:uid="{00000000-0006-0000-1600-00003B000000}">
      <text>
        <r>
          <rPr>
            <sz val="9"/>
            <color indexed="81"/>
            <rFont val="Tahoma"/>
            <family val="2"/>
          </rPr>
          <t>Model = Model 14
Variable = EBITDA_Margin
Coeff = -6.8327
StdErr = 3.91
t-stat = -1.747
P-value = 0.083
VIF = 17.439
StdCoeff = -0.59671</t>
        </r>
      </text>
    </comment>
    <comment ref="C51" authorId="0" shapeId="0" xr:uid="{00000000-0006-0000-1600-00003C000000}">
      <text>
        <r>
          <rPr>
            <sz val="9"/>
            <color indexed="81"/>
            <rFont val="Tahoma"/>
            <family val="2"/>
          </rPr>
          <t>Model = Model 15
Variable = EBITDA_Margin
Coeff = -9.9104
StdErr = 4.8349
t-stat = -2.05
P-value = 0.043
VIF = 17.668
StdCoeff = -0.60603</t>
        </r>
      </text>
    </comment>
    <comment ref="D51" authorId="0" shapeId="0" xr:uid="{00000000-0006-0000-1600-00003D000000}">
      <text>
        <r>
          <rPr>
            <sz val="9"/>
            <color indexed="81"/>
            <rFont val="Tahoma"/>
            <family val="2"/>
          </rPr>
          <t>Model = Model 16
Variable = EBITDA_Margin
Coeff = -3.4611
StdErr = 1.57402
t-stat = -2.199
P-value = 0.03
VIF = 1.781
StdCoeff = -0.21165</t>
        </r>
      </text>
    </comment>
    <comment ref="E51" authorId="0" shapeId="0" xr:uid="{00000000-0006-0000-1600-00003E000000}">
      <text>
        <r>
          <rPr>
            <sz val="9"/>
            <color indexed="81"/>
            <rFont val="Tahoma"/>
            <family val="2"/>
          </rPr>
          <t>Model = Model 17
Variable = EBITDA_Margin
Coeff = -8.4015
StdErr = 2.65117
t-stat = -3.169
P-value = 0.002
VIF = 5.281
StdCoeff = -0.51377</t>
        </r>
      </text>
    </comment>
    <comment ref="F51" authorId="0" shapeId="0" xr:uid="{00000000-0006-0000-1600-00003F000000}">
      <text>
        <r>
          <rPr>
            <sz val="9"/>
            <color indexed="81"/>
            <rFont val="Tahoma"/>
            <family val="2"/>
          </rPr>
          <t>Model = Model 18
Variable = EBITDA_Margin
Coeff = -10.8906
StdErr = 3.04544
t-stat = -3.576
P-value = 0.001
VIF = 7.067
StdCoeff = -0.66598</t>
        </r>
      </text>
    </comment>
    <comment ref="G51" authorId="0" shapeId="0" xr:uid="{00000000-0006-0000-1600-000040000000}">
      <text>
        <r>
          <rPr>
            <sz val="9"/>
            <color indexed="81"/>
            <rFont val="Tahoma"/>
            <family val="2"/>
          </rPr>
          <t>Model = Model 19
Variable = EBITDA_Margin
Coeff = -2.46061
StdErr = 1.21386
t-stat = -2.027
P-value = 0.045
VIF = 1.059
StdCoeff = -0.15047</t>
        </r>
      </text>
    </comment>
    <comment ref="B52" authorId="0" shapeId="0" xr:uid="{00000000-0006-0000-1600-000041000000}">
      <text>
        <r>
          <rPr>
            <sz val="9"/>
            <color indexed="81"/>
            <rFont val="Tahoma"/>
            <family val="2"/>
          </rPr>
          <t>Model = Model 14
Variable = GP_Margin
Coeff = 9.8871
StdErr = 2.80718
t-stat = 3.522
P-value = 0.001
VIF = 2.376
StdCoeff = 0.44388</t>
        </r>
      </text>
    </comment>
    <comment ref="C52" authorId="0" shapeId="0" xr:uid="{00000000-0006-0000-1600-000042000000}">
      <text>
        <r>
          <rPr>
            <sz val="9"/>
            <color indexed="81"/>
            <rFont val="Tahoma"/>
            <family val="2"/>
          </rPr>
          <t>Model = Model 15
Variable = GP_Margin
Coeff = 14.6022
StdErr = 3.5471
t-stat = 4.117
P-value = 0
VIF = 2.525
StdCoeff = 0.46014</t>
        </r>
      </text>
    </comment>
    <comment ref="D52" authorId="0" shapeId="0" xr:uid="{00000000-0006-0000-1600-000043000000}">
      <text>
        <r>
          <rPr>
            <sz val="9"/>
            <color indexed="81"/>
            <rFont val="Tahoma"/>
            <family val="2"/>
          </rPr>
          <t>Model = Model 16
Variable = GP_Margin
Coeff = 7.2952
StdErr = 2.48503
t-stat = 2.936
P-value = 0.004
VIF = 1.179
StdCoeff = 0.22988</t>
        </r>
      </text>
    </comment>
    <comment ref="E52" authorId="0" shapeId="0" xr:uid="{00000000-0006-0000-1600-000044000000}">
      <text>
        <r>
          <rPr>
            <sz val="9"/>
            <color indexed="81"/>
            <rFont val="Tahoma"/>
            <family val="2"/>
          </rPr>
          <t>Model = Model 17
Variable = GP_Margin
Coeff = 12.4641
StdErr = 3.308
t-stat = 3.768
P-value = 0
VIF = 2.183
StdCoeff = 0.39276</t>
        </r>
      </text>
    </comment>
    <comment ref="F52" authorId="0" shapeId="0" xr:uid="{00000000-0006-0000-1600-000045000000}">
      <text>
        <r>
          <rPr>
            <sz val="9"/>
            <color indexed="81"/>
            <rFont val="Tahoma"/>
            <family val="2"/>
          </rPr>
          <t>Model = Model 18
Variable = GP_Margin
Coeff = 14.5306
StdErr = 3.5222
t-stat = 4.125
P-value = 0
VIF = 2.51
StdCoeff = 0.45788</t>
        </r>
      </text>
    </comment>
    <comment ref="G52" authorId="0" shapeId="0" xr:uid="{00000000-0006-0000-1600-000046000000}">
      <text>
        <r>
          <rPr>
            <sz val="9"/>
            <color indexed="81"/>
            <rFont val="Tahoma"/>
            <family val="2"/>
          </rPr>
          <t>Model = Model 19
Variable = GP_Margin
Coeff = 6.5526
StdErr = 2.37111
t-stat = 2.764
P-value = 0.007
VIF = 1.073
StdCoeff = 0.20648</t>
        </r>
      </text>
    </comment>
    <comment ref="B53" authorId="0" shapeId="0" xr:uid="{00000000-0006-0000-1600-000047000000}">
      <text>
        <r>
          <rPr>
            <sz val="9"/>
            <color indexed="81"/>
            <rFont val="Tahoma"/>
            <family val="2"/>
          </rPr>
          <t>Model = Model 14
Variable = Profit_Margin
Coeff = 0.97199
StdErr = 3.6069
t-stat = 0.269
P-value = 0.788
VIF = 13.209
StdCoeff = 0.08009</t>
        </r>
      </text>
    </comment>
    <comment ref="C53" authorId="0" shapeId="0" xr:uid="{00000000-0006-0000-1600-000048000000}">
      <text>
        <r>
          <rPr>
            <sz val="9"/>
            <color indexed="81"/>
            <rFont val="Tahoma"/>
            <family val="2"/>
          </rPr>
          <t>Model = Model 15
Variable = Profit_Margin
Coeff = -1.21454
StdErr = 4.6404
t-stat = -0.262
P-value = 0.794
VIF = 13.893
StdCoeff = -0.06862</t>
        </r>
      </text>
    </comment>
    <comment ref="B54" authorId="0" shapeId="0" xr:uid="{00000000-0006-0000-1600-000049000000}">
      <text>
        <r>
          <rPr>
            <sz val="9"/>
            <color indexed="81"/>
            <rFont val="Tahoma"/>
            <family val="2"/>
          </rPr>
          <t>Model = Model 14
Variable = R_D_Margin
Coeff = -5.4675
StdErr = 3.5312
t-stat = -1.548
P-value = 0.124
VIF = 2.154
StdCoeff = -0.18583</t>
        </r>
      </text>
    </comment>
    <comment ref="C54" authorId="0" shapeId="0" xr:uid="{00000000-0006-0000-1600-00004A000000}">
      <text>
        <r>
          <rPr>
            <sz val="9"/>
            <color indexed="81"/>
            <rFont val="Tahoma"/>
            <family val="2"/>
          </rPr>
          <t>Model = Model 15
Variable = R_D_Margin
Coeff = -6.9447
StdErr = 4.3126
t-stat = -1.61
P-value = 0.11
VIF = 2.12
StdCoeff = -0.16493</t>
        </r>
      </text>
    </comment>
    <comment ref="D54" authorId="0" shapeId="0" xr:uid="{00000000-0006-0000-1600-00004B000000}">
      <text>
        <r>
          <rPr>
            <sz val="9"/>
            <color indexed="81"/>
            <rFont val="Tahoma"/>
            <family val="2"/>
          </rPr>
          <t>Model = Model 16
Variable = R_D_Margin
Coeff = -4.0434
StdErr = 4.0495
t-stat = -0.998
P-value = 0.32
VIF = 1.778
StdCoeff = -0.09603</t>
        </r>
      </text>
    </comment>
    <comment ref="F54" authorId="0" shapeId="0" xr:uid="{00000000-0006-0000-1600-00004C000000}">
      <text>
        <r>
          <rPr>
            <sz val="9"/>
            <color indexed="81"/>
            <rFont val="Tahoma"/>
            <family val="2"/>
          </rPr>
          <t>Model = Model 18
Variable = R_D_Margin
Coeff = -6.5564
StdErr = 4.0329
t-stat = -1.626
P-value = 0.107
VIF = 1.869
StdCoeff = -0.15571</t>
        </r>
      </text>
    </comment>
    <comment ref="B55" authorId="0" shapeId="0" xr:uid="{00000000-0006-0000-1600-00004D000000}">
      <text>
        <r>
          <rPr>
            <sz val="9"/>
            <color indexed="81"/>
            <rFont val="Tahoma"/>
            <family val="2"/>
          </rPr>
          <t>Model = Model 14
Variable = Rev_Growth
Coeff = 4.8937
StdErr = 1.14783
t-stat = 4.263
P-value = 0
VIF = 1.096
StdCoeff = 0.36499</t>
        </r>
      </text>
    </comment>
    <comment ref="C55" authorId="0" shapeId="0" xr:uid="{00000000-0006-0000-1600-00004E000000}">
      <text>
        <r>
          <rPr>
            <sz val="9"/>
            <color indexed="81"/>
            <rFont val="Tahoma"/>
            <family val="2"/>
          </rPr>
          <t>Model = Model 15
Variable = Rev_Growth
Coeff = 11.0875
StdErr = 1.41889
t-stat = 7.814
P-value = 0
VIF = 1.126
StdCoeff = 0.58321</t>
        </r>
      </text>
    </comment>
    <comment ref="D55" authorId="0" shapeId="0" xr:uid="{00000000-0006-0000-1600-00004F000000}">
      <text>
        <r>
          <rPr>
            <sz val="9"/>
            <color indexed="81"/>
            <rFont val="Tahoma"/>
            <family val="2"/>
          </rPr>
          <t>Model = Model 16
Variable = Rev_Growth
Coeff = 11.4669
StdErr = 1.44719
t-stat = 7.924
P-value = 0
VIF = 1.114
StdCoeff = 0.60317</t>
        </r>
      </text>
    </comment>
    <comment ref="E55" authorId="0" shapeId="0" xr:uid="{00000000-0006-0000-1600-000050000000}">
      <text>
        <r>
          <rPr>
            <sz val="9"/>
            <color indexed="81"/>
            <rFont val="Tahoma"/>
            <family val="2"/>
          </rPr>
          <t>Model = Model 17
Variable = Rev_Growth
Coeff = 10.9601
StdErr = 1.41859
t-stat = 7.726
P-value = 0
VIF = 1.119
StdCoeff = 0.57651</t>
        </r>
      </text>
    </comment>
    <comment ref="F55" authorId="0" shapeId="0" xr:uid="{00000000-0006-0000-1600-000051000000}">
      <text>
        <r>
          <rPr>
            <sz val="9"/>
            <color indexed="81"/>
            <rFont val="Tahoma"/>
            <family val="2"/>
          </rPr>
          <t>Model = Model 18
Variable = Rev_Growth
Coeff = 11.1055
StdErr = 1.41149
t-stat = 7.868
P-value = 0
VIF = 1.123
StdCoeff = 0.58416</t>
        </r>
      </text>
    </comment>
    <comment ref="G55" authorId="0" shapeId="0" xr:uid="{00000000-0006-0000-1600-000052000000}">
      <text>
        <r>
          <rPr>
            <sz val="9"/>
            <color indexed="81"/>
            <rFont val="Tahoma"/>
            <family val="2"/>
          </rPr>
          <t>Model = Model 19
Variable = Rev_Growth
Coeff = 11.3428
StdErr = 1.44183
t-stat = 7.867
P-value = 0
VIF = 1.106
StdCoeff = 0.59664</t>
        </r>
      </text>
    </comment>
    <comment ref="B56" authorId="0" shapeId="0" xr:uid="{00000000-0006-0000-1600-000053000000}">
      <text>
        <r>
          <rPr>
            <sz val="9"/>
            <color indexed="81"/>
            <rFont val="Tahoma"/>
            <family val="2"/>
          </rPr>
          <t>Model = Model 14
Variable = S_M_Margin
Coeff = -5.8764
StdErr = 3.0715
t-stat = -1.913
P-value = 0.058
VIF = 5.315
StdCoeff = -0.36066</t>
        </r>
      </text>
    </comment>
    <comment ref="C56" authorId="0" shapeId="0" xr:uid="{00000000-0006-0000-1600-000054000000}">
      <text>
        <r>
          <rPr>
            <sz val="9"/>
            <color indexed="81"/>
            <rFont val="Tahoma"/>
            <family val="2"/>
          </rPr>
          <t>Model = Model 15
Variable = S_M_Margin
Coeff = -11.1699
StdErr = 3.9811
t-stat = -2.806
P-value = 0.006
VIF = 5.992
StdCoeff = -0.48309</t>
        </r>
      </text>
    </comment>
    <comment ref="E56" authorId="0" shapeId="0" xr:uid="{00000000-0006-0000-1600-000055000000}">
      <text>
        <r>
          <rPr>
            <sz val="9"/>
            <color indexed="81"/>
            <rFont val="Tahoma"/>
            <family val="2"/>
          </rPr>
          <t>Model = Model 17
Variable = S_M_Margin
Coeff = -9.7592
StdErr = 3.8939
t-stat = -2.506
P-value = 0.014
VIF = 5.698
StdCoeff = -0.42208</t>
        </r>
      </text>
    </comment>
    <comment ref="F56" authorId="0" shapeId="0" xr:uid="{00000000-0006-0000-1600-000056000000}">
      <text>
        <r>
          <rPr>
            <sz val="9"/>
            <color indexed="81"/>
            <rFont val="Tahoma"/>
            <family val="2"/>
          </rPr>
          <t>Model = Model 18
Variable = S_M_Margin
Coeff = -11.183
StdErr = 3.9646
t-stat = -2.821
P-value = 0.006
VIF = 5.991
StdCoeff = -0.48366</t>
        </r>
      </text>
    </comment>
  </commentList>
</comments>
</file>

<file path=xl/sharedStrings.xml><?xml version="1.0" encoding="utf-8"?>
<sst xmlns="http://schemas.openxmlformats.org/spreadsheetml/2006/main" count="8200" uniqueCount="983">
  <si>
    <t>Ticker</t>
  </si>
  <si>
    <t>MSFT US Equity</t>
  </si>
  <si>
    <t>MICROSOFT CORP</t>
  </si>
  <si>
    <t>V US Equity</t>
  </si>
  <si>
    <t>VISA INC-CLASS A SHARES</t>
  </si>
  <si>
    <t>MA US Equity</t>
  </si>
  <si>
    <t>MASTERCARD INC - A</t>
  </si>
  <si>
    <t>ORCL US Equity</t>
  </si>
  <si>
    <t>ORACLE CORP</t>
  </si>
  <si>
    <t>ADBE US Equity</t>
  </si>
  <si>
    <t>ADOBE INC</t>
  </si>
  <si>
    <t>CRM US Equity</t>
  </si>
  <si>
    <t>SALESFORCE.COM INC</t>
  </si>
  <si>
    <t>PYPL US Equity</t>
  </si>
  <si>
    <t>PAYPAL HOLDINGS INC</t>
  </si>
  <si>
    <t>ADP US Equity</t>
  </si>
  <si>
    <t>AUTOMATIC DATA PROCESSING</t>
  </si>
  <si>
    <t>VMW US Equity</t>
  </si>
  <si>
    <t>VMWARE INC-CLASS A</t>
  </si>
  <si>
    <t>INTU US Equity</t>
  </si>
  <si>
    <t>INTUIT INC</t>
  </si>
  <si>
    <t>FIS US Equity</t>
  </si>
  <si>
    <t>FIDELITY NATIONAL INFO SERV</t>
  </si>
  <si>
    <t>NOW US Equity</t>
  </si>
  <si>
    <t>SERVICENOW INC</t>
  </si>
  <si>
    <t>FISV US Equity</t>
  </si>
  <si>
    <t>FISERV INC</t>
  </si>
  <si>
    <t>SQ US Equity</t>
  </si>
  <si>
    <t>SQUARE INC - A</t>
  </si>
  <si>
    <t>WP US Equity</t>
  </si>
  <si>
    <t>WORLDPAY INC-CLASS A</t>
  </si>
  <si>
    <t>ADSK US Equity</t>
  </si>
  <si>
    <t>AUTODESK INC</t>
  </si>
  <si>
    <t>WDAY US Equity</t>
  </si>
  <si>
    <t>WORKDAY INC-CLASS A</t>
  </si>
  <si>
    <t>PAYX US Equity</t>
  </si>
  <si>
    <t>PAYCHEX INC</t>
  </si>
  <si>
    <t>RHT US Equity</t>
  </si>
  <si>
    <t>RED HAT INC</t>
  </si>
  <si>
    <t>FDC US Equity</t>
  </si>
  <si>
    <t>FIRST DATA CORP- CLASS A</t>
  </si>
  <si>
    <t>DVMT US Equity</t>
  </si>
  <si>
    <t>DELL TECHNOLOGIES INC-CL V</t>
  </si>
  <si>
    <t>CA US Equity</t>
  </si>
  <si>
    <t>CA INC</t>
  </si>
  <si>
    <t>GPN US Equity</t>
  </si>
  <si>
    <t>GLOBAL PAYMENTS INC</t>
  </si>
  <si>
    <t>FLT US Equity</t>
  </si>
  <si>
    <t>FLEETCOR TECHNOLOGIES INC</t>
  </si>
  <si>
    <t>CHKP US Equity</t>
  </si>
  <si>
    <t>CHECK POINT SOFTWARE TECH</t>
  </si>
  <si>
    <t>TEAM US Equity</t>
  </si>
  <si>
    <t>ATLASSIAN CORP PLC-CLASS A</t>
  </si>
  <si>
    <t>TSS US Equity</t>
  </si>
  <si>
    <t>TOTAL SYSTEM SERVICES INC</t>
  </si>
  <si>
    <t>CSU CN Equity</t>
  </si>
  <si>
    <t>CONSTELLATION SOFTWARE INC</t>
  </si>
  <si>
    <t>SPLK US Equity</t>
  </si>
  <si>
    <t>SPLUNK INC</t>
  </si>
  <si>
    <t>FTNT US Equity</t>
  </si>
  <si>
    <t>FORTINET INC</t>
  </si>
  <si>
    <t>CTXS US Equity</t>
  </si>
  <si>
    <t>CITRIX SYSTEMS INC</t>
  </si>
  <si>
    <t>SNPS US Equity</t>
  </si>
  <si>
    <t>SYNOPSYS INC</t>
  </si>
  <si>
    <t>BR US Equity</t>
  </si>
  <si>
    <t>BROADRIDGE FINANCIAL SOLUTIO</t>
  </si>
  <si>
    <t>CDNS US Equity</t>
  </si>
  <si>
    <t>CADENCE DESIGN SYS INC</t>
  </si>
  <si>
    <t>ANSS US Equity</t>
  </si>
  <si>
    <t>ANSYS INC</t>
  </si>
  <si>
    <t>SSNC US Equity</t>
  </si>
  <si>
    <t>SS&amp;C TECHNOLOGIES HOLDINGS</t>
  </si>
  <si>
    <t>SYMC US Equity</t>
  </si>
  <si>
    <t>SYMANTEC CORP</t>
  </si>
  <si>
    <t>JKHY US Equity</t>
  </si>
  <si>
    <t>JACK HENRY &amp; ASSOCIATES INC</t>
  </si>
  <si>
    <t>ADS US Equity</t>
  </si>
  <si>
    <t>ALLIANCE DATA SYSTEMS CORP</t>
  </si>
  <si>
    <t>PTC US Equity</t>
  </si>
  <si>
    <t>PTC INC</t>
  </si>
  <si>
    <t>PAGS US Equity</t>
  </si>
  <si>
    <t>PAGSEGURO DIGITAL LTD-CL A</t>
  </si>
  <si>
    <t>DBX US Equity</t>
  </si>
  <si>
    <t>DROPBOX INC-CLASS A</t>
  </si>
  <si>
    <t>OTEX CN Equity</t>
  </si>
  <si>
    <t>OPEN TEXT CORP</t>
  </si>
  <si>
    <t>ULTI US Equity</t>
  </si>
  <si>
    <t>ULTIMATE SOFTWARE GROUP INC</t>
  </si>
  <si>
    <t>DATA US Equity</t>
  </si>
  <si>
    <t>TABLEAU SOFTWARE INC-CL A</t>
  </si>
  <si>
    <t>TYL US Equity</t>
  </si>
  <si>
    <t>TYLER TECHNOLOGIES INC</t>
  </si>
  <si>
    <t>WU US Equity</t>
  </si>
  <si>
    <t>WESTERN UNION CO</t>
  </si>
  <si>
    <t>WEX US Equity</t>
  </si>
  <si>
    <t>WEX INC</t>
  </si>
  <si>
    <t>PAYC US Equity</t>
  </si>
  <si>
    <t>PAYCOM SOFTWARE INC</t>
  </si>
  <si>
    <t>CDK US Equity</t>
  </si>
  <si>
    <t>CDK GLOBAL INC</t>
  </si>
  <si>
    <t>GWRE US Equity</t>
  </si>
  <si>
    <t>GUIDEWIRE SOFTWARE INC</t>
  </si>
  <si>
    <t>BKI US Equity</t>
  </si>
  <si>
    <t>BLACK KNIGHT INC</t>
  </si>
  <si>
    <t>AZPN US Equity</t>
  </si>
  <si>
    <t>ASPEN TECHNOLOGY INC</t>
  </si>
  <si>
    <t>NTNX US Equity</t>
  </si>
  <si>
    <t>NUTANIX INC - A</t>
  </si>
  <si>
    <t>SABR US Equity</t>
  </si>
  <si>
    <t>SABRE CORP</t>
  </si>
  <si>
    <t>DOCU US Equity</t>
  </si>
  <si>
    <t>DOCUSIGN INC</t>
  </si>
  <si>
    <t>ZEN US Equity</t>
  </si>
  <si>
    <t>ZENDESK INC</t>
  </si>
  <si>
    <t>RNG US Equity</t>
  </si>
  <si>
    <t>RINGCENTRAL INC-CLASS A</t>
  </si>
  <si>
    <t>FICO US Equity</t>
  </si>
  <si>
    <t>FAIR ISAAC CORP</t>
  </si>
  <si>
    <t>EEFT US Equity</t>
  </si>
  <si>
    <t>EURONET WORLDWIDE INC</t>
  </si>
  <si>
    <t>G US Equity</t>
  </si>
  <si>
    <t>GENPACT LTD</t>
  </si>
  <si>
    <t>RP US Equity</t>
  </si>
  <si>
    <t>REALPAGE INC</t>
  </si>
  <si>
    <t>TTD US Equity</t>
  </si>
  <si>
    <t>TRADE DESK INC/THE -CLASS A</t>
  </si>
  <si>
    <t>PFPT US Equity</t>
  </si>
  <si>
    <t>PROOFPOINT INC</t>
  </si>
  <si>
    <t>HUBS US Equity</t>
  </si>
  <si>
    <t>HUBSPOT INC</t>
  </si>
  <si>
    <t>BB CN Equity</t>
  </si>
  <si>
    <t>BLACKBERRY LTD</t>
  </si>
  <si>
    <t>CDAY US Equity</t>
  </si>
  <si>
    <t>CERIDIAN HCM HOLDING INC</t>
  </si>
  <si>
    <t>NUAN US Equity</t>
  </si>
  <si>
    <t>NUANCE COMMUNICATIONS INC</t>
  </si>
  <si>
    <t>NEWR US Equity</t>
  </si>
  <si>
    <t>NEW RELIC INC</t>
  </si>
  <si>
    <t>PVTL US Equity</t>
  </si>
  <si>
    <t>PIVOTAL SOFTWARE INC - CL A</t>
  </si>
  <si>
    <t>SWI US Equity</t>
  </si>
  <si>
    <t>SOLARWINDS CORP</t>
  </si>
  <si>
    <t>ESTC US Equity</t>
  </si>
  <si>
    <t>ELASTIC NV</t>
  </si>
  <si>
    <t>ZS US Equity</t>
  </si>
  <si>
    <t>ZSCALER INC</t>
  </si>
  <si>
    <t>PEGA US Equity</t>
  </si>
  <si>
    <t>PEGASYSTEMS INC</t>
  </si>
  <si>
    <t>CNDT US Equity</t>
  </si>
  <si>
    <t>CONDUENT INC</t>
  </si>
  <si>
    <t>MMS US Equity</t>
  </si>
  <si>
    <t>MAXIMUS INC</t>
  </si>
  <si>
    <t>LOGM US Equity</t>
  </si>
  <si>
    <t>LOGMEIN INC</t>
  </si>
  <si>
    <t>COUP US Equity</t>
  </si>
  <si>
    <t>COUPA SOFTWARE INC</t>
  </si>
  <si>
    <t>JCOM US Equity</t>
  </si>
  <si>
    <t>J2 GLOBAL INC</t>
  </si>
  <si>
    <t>CLGX US Equity</t>
  </si>
  <si>
    <t>CORELOGIC INC</t>
  </si>
  <si>
    <t>TWOU US Equity</t>
  </si>
  <si>
    <t>2U INC</t>
  </si>
  <si>
    <t>BLKB US Equity</t>
  </si>
  <si>
    <t>BLACKBAUD INC</t>
  </si>
  <si>
    <t>FEYE US Equity</t>
  </si>
  <si>
    <t>FIREEYE INC</t>
  </si>
  <si>
    <t>PCTY US Equity</t>
  </si>
  <si>
    <t>PAYLOCITY HOLDING CORP</t>
  </si>
  <si>
    <t>PS US Equity</t>
  </si>
  <si>
    <t>PLURALSIGHT INC - A</t>
  </si>
  <si>
    <t>MANH US Equity</t>
  </si>
  <si>
    <t>MANHATTAN ASSOCIATES INC</t>
  </si>
  <si>
    <t>QLYS US Equity</t>
  </si>
  <si>
    <t>QUALYS INC</t>
  </si>
  <si>
    <t>ACIW US Equity</t>
  </si>
  <si>
    <t>ACI WORLDWIDE INC</t>
  </si>
  <si>
    <t>VRNT US Equity</t>
  </si>
  <si>
    <t>VERINT SYSTEMS INC</t>
  </si>
  <si>
    <t>CSOD US Equity</t>
  </si>
  <si>
    <t>CORNERSTONE ONDEMAND INC</t>
  </si>
  <si>
    <t>EPAY US Equity</t>
  </si>
  <si>
    <t>BOTTOMLINE TECHNOLOGIES (DE)</t>
  </si>
  <si>
    <t>ELLI US Equity</t>
  </si>
  <si>
    <t>ELLIE MAE INC</t>
  </si>
  <si>
    <t>BOX US Equity</t>
  </si>
  <si>
    <t>BOX INC - CLASS A</t>
  </si>
  <si>
    <t>TENB US Equity</t>
  </si>
  <si>
    <t>TENABLE HOLDINGS INC</t>
  </si>
  <si>
    <t>AYX US Equity</t>
  </si>
  <si>
    <t>ALTERYX INC - CLASS A</t>
  </si>
  <si>
    <t>CVLT US Equity</t>
  </si>
  <si>
    <t>COMMVAULT SYSTEMS INC</t>
  </si>
  <si>
    <t>GSKY US Equity</t>
  </si>
  <si>
    <t>GREENSKY INC-CLASS A</t>
  </si>
  <si>
    <t>CYBR US Equity</t>
  </si>
  <si>
    <t>CYBERARK SOFTWARE LTD/ISRAEL</t>
  </si>
  <si>
    <t>ALTR US Equity</t>
  </si>
  <si>
    <t>ALTAIR ENGINEERING INC - A</t>
  </si>
  <si>
    <t>ENV US Equity</t>
  </si>
  <si>
    <t>ENVESTNET INC</t>
  </si>
  <si>
    <t>SMAR US Equity</t>
  </si>
  <si>
    <t>SMARTSHEET INC-CLASS A</t>
  </si>
  <si>
    <t>WNS US Equity</t>
  </si>
  <si>
    <t>WNS HOLDINGS LTD-ADR</t>
  </si>
  <si>
    <t>DSG CN Equity</t>
  </si>
  <si>
    <t>DESCARTES SYSTEMS GRP/THE</t>
  </si>
  <si>
    <t>BL US Equity</t>
  </si>
  <si>
    <t>BLACKLINE INC</t>
  </si>
  <si>
    <t>SAIL US Equity</t>
  </si>
  <si>
    <t>SAILPOINT TECHNOLOGIES HOLDI</t>
  </si>
  <si>
    <t>AVLR US Equity</t>
  </si>
  <si>
    <t>AVALARA INC</t>
  </si>
  <si>
    <t>ALRM US Equity</t>
  </si>
  <si>
    <t>ALARM.COM HOLDINGS INC</t>
  </si>
  <si>
    <t>CLDR US Equity</t>
  </si>
  <si>
    <t>CLOUDERA INC</t>
  </si>
  <si>
    <t>FIVN US Equity</t>
  </si>
  <si>
    <t>FIVE9 INC</t>
  </si>
  <si>
    <t>QTWO US Equity</t>
  </si>
  <si>
    <t>Q2 HOLDINGS INC</t>
  </si>
  <si>
    <t>EXLS US Equity</t>
  </si>
  <si>
    <t>EXLSERVICE HOLDINGS INC</t>
  </si>
  <si>
    <t>MIME US Equity</t>
  </si>
  <si>
    <t>MIMECAST LTD</t>
  </si>
  <si>
    <t>APPF US Equity</t>
  </si>
  <si>
    <t>APPFOLIO INC - A</t>
  </si>
  <si>
    <t>ZUO US Equity</t>
  </si>
  <si>
    <t>ZUORA INC - CLASS A</t>
  </si>
  <si>
    <t>IMPV US Equity</t>
  </si>
  <si>
    <t>IMPERVA INC</t>
  </si>
  <si>
    <t>CISN US Equity</t>
  </si>
  <si>
    <t>CISION LTD</t>
  </si>
  <si>
    <t>EVOP US Equity</t>
  </si>
  <si>
    <t>EVO PAYMENTS INC-CLASS A</t>
  </si>
  <si>
    <t>AVYA US Equity</t>
  </si>
  <si>
    <t>AVAYA HOLDINGS CORP</t>
  </si>
  <si>
    <t>TVPT US Equity</t>
  </si>
  <si>
    <t>TRAVELPORT WORLDWIDE LTD</t>
  </si>
  <si>
    <t>EVTC US Equity</t>
  </si>
  <si>
    <t>EVERTEC INC</t>
  </si>
  <si>
    <t>VRNS US Equity</t>
  </si>
  <si>
    <t>VARONIS SYSTEMS INC</t>
  </si>
  <si>
    <t>YEXT US Equity</t>
  </si>
  <si>
    <t>YEXT INC</t>
  </si>
  <si>
    <t>TLND US Equity</t>
  </si>
  <si>
    <t>TALEND SA - ADR</t>
  </si>
  <si>
    <t>EBIX US Equity</t>
  </si>
  <si>
    <t>EBIX INC</t>
  </si>
  <si>
    <t>GLOB US Equity</t>
  </si>
  <si>
    <t>GLOBANT SA</t>
  </si>
  <si>
    <t>KXS CN Equity</t>
  </si>
  <si>
    <t>KINAXIS INC</t>
  </si>
  <si>
    <t>EGHT US Equity</t>
  </si>
  <si>
    <t>8X8 INC</t>
  </si>
  <si>
    <t>VRRM US Equity</t>
  </si>
  <si>
    <t>VERRA MOBILITY CORP</t>
  </si>
  <si>
    <t>MB US Equity</t>
  </si>
  <si>
    <t>MINDBODY INC - CLASS A</t>
  </si>
  <si>
    <t>SEND US Equity</t>
  </si>
  <si>
    <t>SENDGRID INC</t>
  </si>
  <si>
    <t>ENGH CN Equity</t>
  </si>
  <si>
    <t>ENGHOUSE SYSTEMS LTD</t>
  </si>
  <si>
    <t>RPD US Equity</t>
  </si>
  <si>
    <t>RAPID7 INC</t>
  </si>
  <si>
    <t>APPN US Equity</t>
  </si>
  <si>
    <t>APPIAN CORP</t>
  </si>
  <si>
    <t>HDP US Equity</t>
  </si>
  <si>
    <t>HORTONWORKS INC</t>
  </si>
  <si>
    <t>EVBG US Equity</t>
  </si>
  <si>
    <t>EVERBRIDGE INC</t>
  </si>
  <si>
    <t>SPSC US Equity</t>
  </si>
  <si>
    <t>SPS COMMERCE INC</t>
  </si>
  <si>
    <t>TIVO US Equity</t>
  </si>
  <si>
    <t>TIVO CORP</t>
  </si>
  <si>
    <t>MSTR US Equity</t>
  </si>
  <si>
    <t>MICROSTRATEGY INC-CL A</t>
  </si>
  <si>
    <t>PRGS US Equity</t>
  </si>
  <si>
    <t>PROGRESS SOFTWARE CORP</t>
  </si>
  <si>
    <t>WK US Equity</t>
  </si>
  <si>
    <t>WORKIVA INC</t>
  </si>
  <si>
    <t>SVMK US Equity</t>
  </si>
  <si>
    <t>SVMK INC</t>
  </si>
  <si>
    <t>CATM US Equity</t>
  </si>
  <si>
    <t>CARDTRONICS PLC - A</t>
  </si>
  <si>
    <t>SYKE US Equity</t>
  </si>
  <si>
    <t>SYKES ENTERPRISES INC</t>
  </si>
  <si>
    <t>LPSN US Equity</t>
  </si>
  <si>
    <t>LIVEPERSON INC</t>
  </si>
  <si>
    <t>CBLK US Equity</t>
  </si>
  <si>
    <t>CARBON BLACK INC</t>
  </si>
  <si>
    <t>APTI US Equity</t>
  </si>
  <si>
    <t>APPTIO INC - CLASS A</t>
  </si>
  <si>
    <t>SCWX US Equity</t>
  </si>
  <si>
    <t>SECUREWORKS CORP - A</t>
  </si>
  <si>
    <t>CSGS US Equity</t>
  </si>
  <si>
    <t>CSG SYSTEMS INTL INC</t>
  </si>
  <si>
    <t>TTEC US Equity</t>
  </si>
  <si>
    <t>TTEC HOLDINGS INC</t>
  </si>
  <si>
    <t>FSCT US Equity</t>
  </si>
  <si>
    <t>FORESCOUT TECHNOLOGIES INC</t>
  </si>
  <si>
    <t>CMCM US Equity</t>
  </si>
  <si>
    <t>CHEETAH MOBILE INC - ADR</t>
  </si>
  <si>
    <t>PRO US Equity</t>
  </si>
  <si>
    <t>PROS HOLDINGS INC</t>
  </si>
  <si>
    <t>INST US Equity</t>
  </si>
  <si>
    <t>INSTRUCTURE INC</t>
  </si>
  <si>
    <t>BNFT US Equity</t>
  </si>
  <si>
    <t>BENEFITFOCUS INC</t>
  </si>
  <si>
    <t>EGOV US Equity</t>
  </si>
  <si>
    <t>NIC INC</t>
  </si>
  <si>
    <t>PRTHU US Equity</t>
  </si>
  <si>
    <t>PRIORITY TECHNOLOGY HOLDINGS</t>
  </si>
  <si>
    <t>QADB US Equity</t>
  </si>
  <si>
    <t>QAD INC-B</t>
  </si>
  <si>
    <t>QIWI US Equity</t>
  </si>
  <si>
    <t>QIWI PLC-SPONSORED ADR</t>
  </si>
  <si>
    <t>TYPE US Equity</t>
  </si>
  <si>
    <t>MONOTYPE IMAGING HOLDINGS IN</t>
  </si>
  <si>
    <t>CASS US Equity</t>
  </si>
  <si>
    <t>CASS INFORMATION SYSTEMS INC</t>
  </si>
  <si>
    <t>OPRA US Equity</t>
  </si>
  <si>
    <t>OPERA LTD-ADR</t>
  </si>
  <si>
    <t>CSVI US Equity</t>
  </si>
  <si>
    <t>COMPUTER SERVICES INC</t>
  </si>
  <si>
    <t>OSPN US Equity</t>
  </si>
  <si>
    <t>ONESPAN INC</t>
  </si>
  <si>
    <t>XELAU US Equity</t>
  </si>
  <si>
    <t>EXELA TECHNOLOGIES INC</t>
  </si>
  <si>
    <t>JG US Equity</t>
  </si>
  <si>
    <t>AURORA MOBILE LTD-ADR</t>
  </si>
  <si>
    <t>UPLD US Equity</t>
  </si>
  <si>
    <t>UPLAND SOFTWARE INC</t>
  </si>
  <si>
    <t>SPNS US Equity</t>
  </si>
  <si>
    <t>SAPIENS INTERNATIONAL CORP</t>
  </si>
  <si>
    <t>IIIV US Equity</t>
  </si>
  <si>
    <t>I3 VERTICALS INC-CLASS A</t>
  </si>
  <si>
    <t>EVRI US Equity</t>
  </si>
  <si>
    <t>EVERI HOLDINGS INC</t>
  </si>
  <si>
    <t>MODN US Equity</t>
  </si>
  <si>
    <t>MODEL N INC</t>
  </si>
  <si>
    <t>SUM CN Equity</t>
  </si>
  <si>
    <t>SOLIUM CAPITAL INC</t>
  </si>
  <si>
    <t>MOBL US Equity</t>
  </si>
  <si>
    <t>MOBILEIRON INC</t>
  </si>
  <si>
    <t>DOMO US Equity</t>
  </si>
  <si>
    <t>DOMO INC - CLASS B</t>
  </si>
  <si>
    <t>RMNI US Equity</t>
  </si>
  <si>
    <t>RIMINI STREET INC</t>
  </si>
  <si>
    <t>IMXI US Equity</t>
  </si>
  <si>
    <t>INTERNATIONAL MONEY EXPRESS</t>
  </si>
  <si>
    <t>ATEN US Equity</t>
  </si>
  <si>
    <t>A10 NETWORKS INC</t>
  </si>
  <si>
    <t>SSTI US Equity</t>
  </si>
  <si>
    <t>SHOTSPOTTER INC</t>
  </si>
  <si>
    <t>MGIC US Equity</t>
  </si>
  <si>
    <t>MAGIC SOFTWARE ENTERPRISES</t>
  </si>
  <si>
    <t>XNET US Equity</t>
  </si>
  <si>
    <t>XUNLEI LTD-ADR</t>
  </si>
  <si>
    <t>UEPS US Equity</t>
  </si>
  <si>
    <t>NET 1 UEPS TECHNOLOGIES INC</t>
  </si>
  <si>
    <t>AGYS US Equity</t>
  </si>
  <si>
    <t>AGILYSYS INC</t>
  </si>
  <si>
    <t>AMSWA US Equity</t>
  </si>
  <si>
    <t>AMERICAN SOFTWARE INC-CL A</t>
  </si>
  <si>
    <t>ATTU US Equity</t>
  </si>
  <si>
    <t>ATTUNITY LTD</t>
  </si>
  <si>
    <t>ECOM US Equity</t>
  </si>
  <si>
    <t>CHANNELADVISOR CORP</t>
  </si>
  <si>
    <t>MITK US Equity</t>
  </si>
  <si>
    <t>MITEK SYSTEMS INC</t>
  </si>
  <si>
    <t>DMRC US Equity</t>
  </si>
  <si>
    <t>DIGIMARC CORP</t>
  </si>
  <si>
    <t>CATI US Equity</t>
  </si>
  <si>
    <t>CLONE ALGO TECHNOLOGIES INC</t>
  </si>
  <si>
    <t>ZIXI US Equity</t>
  </si>
  <si>
    <t>ZIX CORP</t>
  </si>
  <si>
    <t>SNCR US Equity</t>
  </si>
  <si>
    <t>SYNCHRONOSS TECHNOLOGIES INC</t>
  </si>
  <si>
    <t>MJCO US Equity</t>
  </si>
  <si>
    <t>MAJESCO</t>
  </si>
  <si>
    <t>MGI US Equity</t>
  </si>
  <si>
    <t>MONEYGRAM INTERNATIONAL INC</t>
  </si>
  <si>
    <t>AMBR US Equity</t>
  </si>
  <si>
    <t>AMBER ROAD INC</t>
  </si>
  <si>
    <t>ABT CN Equity</t>
  </si>
  <si>
    <t>ABSOLUTE SOFTWARE CORPORATIO</t>
  </si>
  <si>
    <t>SSC US Equity</t>
  </si>
  <si>
    <t>SEVEN STARS CLOUD GROUP INC</t>
  </si>
  <si>
    <t>VHC US Equity</t>
  </si>
  <si>
    <t>VIRNETX HOLDING CORP</t>
  </si>
  <si>
    <t>ALLT US Equity</t>
  </si>
  <si>
    <t>ALLOT COMMUNICATIONS LTD</t>
  </si>
  <si>
    <t>SRT US Equity</t>
  </si>
  <si>
    <t>STARTEK INC</t>
  </si>
  <si>
    <t>EGAN US Equity</t>
  </si>
  <si>
    <t>EGAIN CORP</t>
  </si>
  <si>
    <t>TNAV US Equity</t>
  </si>
  <si>
    <t>TELENAV INC</t>
  </si>
  <si>
    <t>GSUM US Equity</t>
  </si>
  <si>
    <t>GRIDSUM HOLDING INC-ADR</t>
  </si>
  <si>
    <t>FSNN US Equity</t>
  </si>
  <si>
    <t>FUSION CONNECT INC</t>
  </si>
  <si>
    <t>PRGX US Equity</t>
  </si>
  <si>
    <t>PRGX GLOBAL INC</t>
  </si>
  <si>
    <t>HUT CN Equity</t>
  </si>
  <si>
    <t>HUT 8 MINING CORP</t>
  </si>
  <si>
    <t>III US Equity</t>
  </si>
  <si>
    <t>INFORMATION SERVICES GROUP</t>
  </si>
  <si>
    <t>OPT CN Equity</t>
  </si>
  <si>
    <t>OPTIVA INC</t>
  </si>
  <si>
    <t>RUBI US Equity</t>
  </si>
  <si>
    <t>RUBICON PROJECT INC/THE</t>
  </si>
  <si>
    <t>CYRN US Equity</t>
  </si>
  <si>
    <t>CYREN LTD</t>
  </si>
  <si>
    <t>TPNL US Equity</t>
  </si>
  <si>
    <t>3PEA INTERNATIONAL INC</t>
  </si>
  <si>
    <t>Databricks</t>
  </si>
  <si>
    <t>Trading Comparables</t>
  </si>
  <si>
    <t>Base Case</t>
  </si>
  <si>
    <t>####</t>
  </si>
  <si>
    <t>Source:</t>
  </si>
  <si>
    <t>Bloomberg</t>
  </si>
  <si>
    <t>Date:</t>
  </si>
  <si>
    <t>Company</t>
  </si>
  <si>
    <t>Description</t>
  </si>
  <si>
    <t>Market Cap 
(USD'm)</t>
  </si>
  <si>
    <t>EV
(USD'm)</t>
  </si>
  <si>
    <t>Revenue
(USD'm)</t>
  </si>
  <si>
    <t>EV/Revenue</t>
  </si>
  <si>
    <t>Rev 
Growth</t>
  </si>
  <si>
    <t>Gross 
Margin</t>
  </si>
  <si>
    <t>EBITDA
Margin</t>
  </si>
  <si>
    <t>Net
Margin</t>
  </si>
  <si>
    <t>Market Cap 
($MM)</t>
  </si>
  <si>
    <t>EV
($MM)</t>
  </si>
  <si>
    <t>Revenue</t>
  </si>
  <si>
    <t>Gross Profit</t>
  </si>
  <si>
    <t>EBITDA</t>
  </si>
  <si>
    <t>Net Income</t>
  </si>
  <si>
    <t>TTM</t>
  </si>
  <si>
    <t>NTM</t>
  </si>
  <si>
    <t>LTM</t>
  </si>
  <si>
    <t>Advanced big data processing company.</t>
  </si>
  <si>
    <t>BEST_FPERIOD_OVERRIDE=1TY</t>
  </si>
  <si>
    <t>Hardcoded</t>
  </si>
  <si>
    <t>Live</t>
  </si>
  <si>
    <t>CUR_MKT_CAP</t>
  </si>
  <si>
    <t>CURR_ENTP_VAL</t>
  </si>
  <si>
    <t>TRAIL_12M_NET_SALES</t>
  </si>
  <si>
    <t>BEST_SALES</t>
  </si>
  <si>
    <t>TRAIL_12M_GROSS_PROFIT</t>
  </si>
  <si>
    <t>BEST_GROSS_MARGIN</t>
  </si>
  <si>
    <t>TRAIL_12M_EBITDA</t>
  </si>
  <si>
    <t>BEST_EBITDA</t>
  </si>
  <si>
    <t>TRAIL_12M_NET_INC</t>
  </si>
  <si>
    <t>BEST_NET_INCOME</t>
  </si>
  <si>
    <t>x</t>
  </si>
  <si>
    <t>Trading Comparables - All (Calculations)</t>
  </si>
  <si>
    <t>Bloomberg Data</t>
  </si>
  <si>
    <t>Rev
Growth</t>
  </si>
  <si>
    <t>Gross
Margin</t>
  </si>
  <si>
    <t>Net 
Margin</t>
  </si>
  <si>
    <t>Type</t>
  </si>
  <si>
    <t>Rev Growth</t>
  </si>
  <si>
    <t>Pluralsight</t>
  </si>
  <si>
    <t>2U</t>
  </si>
  <si>
    <t>Teradata</t>
  </si>
  <si>
    <t>MongoDB</t>
  </si>
  <si>
    <t>Alteryx</t>
  </si>
  <si>
    <t>Smartsheet</t>
  </si>
  <si>
    <t>Avalara</t>
  </si>
  <si>
    <t>Cloudera</t>
  </si>
  <si>
    <t>Ebix</t>
  </si>
  <si>
    <t>Varonis Systems</t>
  </si>
  <si>
    <t>Talend</t>
  </si>
  <si>
    <t>Hortonworks</t>
  </si>
  <si>
    <t>MINDBODY</t>
  </si>
  <si>
    <t>Everbridge</t>
  </si>
  <si>
    <t>MicroStrategy</t>
  </si>
  <si>
    <t>#N/A N/A</t>
  </si>
  <si>
    <t>Workiva</t>
  </si>
  <si>
    <t>Domo</t>
  </si>
  <si>
    <t>Mean</t>
  </si>
  <si>
    <t>Median</t>
  </si>
  <si>
    <t>Max</t>
  </si>
  <si>
    <t>Min</t>
  </si>
  <si>
    <t>Trading Comparables - Application Software</t>
  </si>
  <si>
    <t>Trading Comparables - Big Data</t>
  </si>
  <si>
    <t>Trading Comparables - Bessemer Cloud Index</t>
  </si>
  <si>
    <t>Trading Comparables Median</t>
  </si>
  <si>
    <t>Comparables Universe</t>
  </si>
  <si>
    <t># Co.</t>
  </si>
  <si>
    <t>-</t>
  </si>
  <si>
    <t>All</t>
  </si>
  <si>
    <t>Application Software</t>
  </si>
  <si>
    <t>Big Data</t>
  </si>
  <si>
    <t>Bessemer Cloud Index</t>
  </si>
  <si>
    <t>R&amp;D</t>
  </si>
  <si>
    <t>S&amp;M</t>
  </si>
  <si>
    <t>G&amp;A</t>
  </si>
  <si>
    <t>IS_GENL_&amp;_ADMIN_EXPN_COMP_BASIS</t>
  </si>
  <si>
    <t>IS_RD_EXPEND</t>
  </si>
  <si>
    <t>IS_S&amp;M_EXPENSE_COMP_BASIS</t>
  </si>
  <si>
    <t>GICS_SUB_INDUSTRY_NAME</t>
  </si>
  <si>
    <t>Systems Software</t>
  </si>
  <si>
    <t>Data Processing &amp; Outsourced S</t>
  </si>
  <si>
    <t>GP Margin</t>
  </si>
  <si>
    <t>R&amp;D Margin</t>
  </si>
  <si>
    <t>S&amp;M Margin</t>
  </si>
  <si>
    <t>G&amp;A Margin</t>
  </si>
  <si>
    <t>EBITDA Margin</t>
  </si>
  <si>
    <t>Profit Margin</t>
  </si>
  <si>
    <t>Rev</t>
  </si>
  <si>
    <t>EV/Rev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</si>
  <si>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</si>
  <si>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</si>
  <si>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</si>
  <si>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</si>
  <si>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</si>
  <si>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</si>
  <si>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</si>
  <si>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</si>
  <si>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</si>
  <si>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</si>
  <si>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</si>
  <si>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</si>
  <si>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</si>
  <si>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</si>
  <si>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</si>
  <si>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</si>
  <si>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</si>
  <si>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</si>
  <si>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</si>
  <si>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</si>
  <si>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</si>
  <si>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</si>
  <si>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</si>
  <si>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</si>
  <si>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</si>
  <si>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</si>
  <si>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EV/Rev</t>
  </si>
  <si>
    <t>Residuals</t>
  </si>
  <si>
    <t>NTM Revenue</t>
  </si>
  <si>
    <t>NTM Revenue Growth</t>
  </si>
  <si>
    <t>Gross Margin</t>
  </si>
  <si>
    <t>EV/NTM Revenue Prediction</t>
  </si>
  <si>
    <t>t-value</t>
  </si>
  <si>
    <t>Approximate standard error</t>
  </si>
  <si>
    <t>Margin of Error</t>
  </si>
  <si>
    <t>Lower Bound (95% PI)</t>
  </si>
  <si>
    <t>Upper Bound (95% PI)</t>
  </si>
  <si>
    <t>Interval Width</t>
  </si>
  <si>
    <t>All NA listed Application Software + Data Processing &amp; Outsourced Software + Systems Software</t>
  </si>
  <si>
    <t>Removed all entities with incomplete data per Bloomberg</t>
  </si>
  <si>
    <t>Removed all entities &lt; USD200m market cap</t>
  </si>
  <si>
    <t>ZUO US EQUITY</t>
  </si>
  <si>
    <t>SHOP US EQUITY</t>
  </si>
  <si>
    <t>MDB US Equity</t>
  </si>
  <si>
    <t>TWLO US EQUITY</t>
  </si>
  <si>
    <t>DBX US EQUITY</t>
  </si>
  <si>
    <t>INOV US Equity</t>
  </si>
  <si>
    <t>ZEN US EQUITY</t>
  </si>
  <si>
    <t>WIX US Equity</t>
  </si>
  <si>
    <t>OKTA US EQUITY</t>
  </si>
  <si>
    <t>NOW US EQUITY</t>
  </si>
  <si>
    <t>TEAM US EQUITY</t>
  </si>
  <si>
    <t>PFPT US EQUITY</t>
  </si>
  <si>
    <t>WDAY US EQUITY</t>
  </si>
  <si>
    <t>NEWR US EQUITY</t>
  </si>
  <si>
    <t>DOCU US EQUITY</t>
  </si>
  <si>
    <t>HUBS US EQUITY</t>
  </si>
  <si>
    <t>YEXT US EQUITY</t>
  </si>
  <si>
    <t>INST US EQUITY</t>
  </si>
  <si>
    <t>PAYC US EQUITY</t>
  </si>
  <si>
    <t>RNG US EQUITY</t>
  </si>
  <si>
    <t>APPF US EQUITY</t>
  </si>
  <si>
    <t>CARB US EQUITY</t>
  </si>
  <si>
    <t>MIME US EQUITY</t>
  </si>
  <si>
    <t>QTWO US EQUITY</t>
  </si>
  <si>
    <t>SEND US EQUITY</t>
  </si>
  <si>
    <t>BL US EQUITY</t>
  </si>
  <si>
    <t>RP US EQUITY</t>
  </si>
  <si>
    <t>COUP US EQUITY</t>
  </si>
  <si>
    <t>BOX US EQUITY</t>
  </si>
  <si>
    <t>ULTI US EQUITY</t>
  </si>
  <si>
    <t>PCTY US EQUITY</t>
  </si>
  <si>
    <t>SQ US EQUITY</t>
  </si>
  <si>
    <t>VEEV US EQUITY</t>
  </si>
  <si>
    <t>QLYS US EQUITY</t>
  </si>
  <si>
    <t>MDSO US EQUITY</t>
  </si>
  <si>
    <t>FIVN US EQUITY</t>
  </si>
  <si>
    <t>APTI US EQUITY</t>
  </si>
  <si>
    <t>ELLI US EQUITY</t>
  </si>
  <si>
    <t>LOGM US EQUITY</t>
  </si>
  <si>
    <t>JCOM US EQUITY</t>
  </si>
  <si>
    <t>TDC US Equity</t>
  </si>
  <si>
    <t>FDEV LN Equity</t>
  </si>
  <si>
    <t>TTWO US Equity</t>
  </si>
  <si>
    <t>AVV LN Equity</t>
  </si>
  <si>
    <t>EVH US Equity</t>
  </si>
  <si>
    <t>PRSM LN Equity</t>
  </si>
  <si>
    <t>UBI FP Equity</t>
  </si>
  <si>
    <t>TRHC US Equity</t>
  </si>
  <si>
    <t>GLUU US Equity</t>
  </si>
  <si>
    <t>CRW LN Equity</t>
  </si>
  <si>
    <t>MDRX US Equity</t>
  </si>
  <si>
    <t>EA US Equity</t>
  </si>
  <si>
    <t>ZNGA US Equity</t>
  </si>
  <si>
    <t>OMCL US Equity</t>
  </si>
  <si>
    <t>ATHN US Equity</t>
  </si>
  <si>
    <t>CDR PW Equity</t>
  </si>
  <si>
    <t>GBG LN Equity</t>
  </si>
  <si>
    <t>SDL LN Equity</t>
  </si>
  <si>
    <t>Internet Services &amp; Infrastruc</t>
  </si>
  <si>
    <t>Health Care Technology</t>
  </si>
  <si>
    <t>IT Consulting &amp; Other Services</t>
  </si>
  <si>
    <t>Interactive Home Entertainment</t>
  </si>
  <si>
    <t>Model:</t>
  </si>
  <si>
    <t>Dependent Variable:</t>
  </si>
  <si>
    <t>EV_Rev</t>
  </si>
  <si>
    <t>Independent Variables:</t>
  </si>
  <si>
    <t>EBITDA_Margin, GP_Margin, Profit_Margin, R_D_Margin, Rev_Growth, S_M_Margin</t>
  </si>
  <si>
    <t>Equation:</t>
  </si>
  <si>
    <t>R-Squared</t>
  </si>
  <si>
    <t>Adj.R-Sqr.</t>
  </si>
  <si>
    <t xml:space="preserve">Std.Err.Reg. </t>
  </si>
  <si>
    <t>Std.Dep.Var.</t>
  </si>
  <si>
    <t># Fitted</t>
  </si>
  <si>
    <t># Missing</t>
  </si>
  <si>
    <t>Confidence</t>
  </si>
  <si>
    <t>Variable</t>
  </si>
  <si>
    <t>Coefficient</t>
  </si>
  <si>
    <t>Std.Err.</t>
  </si>
  <si>
    <t>t-Statistic</t>
  </si>
  <si>
    <t>With P-value</t>
  </si>
  <si>
    <t>Std. Coeff.</t>
  </si>
  <si>
    <t>VIF</t>
  </si>
  <si>
    <t xml:space="preserve"> Constant</t>
  </si>
  <si>
    <t>EBITDA_Margin</t>
  </si>
  <si>
    <t>GP_Margin</t>
  </si>
  <si>
    <t>Profit_Margin</t>
  </si>
  <si>
    <t>R_D_Margin</t>
  </si>
  <si>
    <t>Rev_Growth</t>
  </si>
  <si>
    <t>S_M_Margin</t>
  </si>
  <si>
    <t>Source</t>
  </si>
  <si>
    <t>Deg. Freedom</t>
  </si>
  <si>
    <t>Sum Squares</t>
  </si>
  <si>
    <t>Mean Square</t>
  </si>
  <si>
    <t>F-Statistic</t>
  </si>
  <si>
    <t>MAPE</t>
  </si>
  <si>
    <t>Fitted (n=136)</t>
  </si>
  <si>
    <t>Mean Error</t>
  </si>
  <si>
    <t>RMSE</t>
  </si>
  <si>
    <t>MAE</t>
  </si>
  <si>
    <t>Minimum</t>
  </si>
  <si>
    <t>Maximum</t>
  </si>
  <si>
    <t>A-D* stat</t>
  </si>
  <si>
    <t>Actual and Predicted -vs- Observation #</t>
  </si>
  <si>
    <t>End of Output</t>
  </si>
  <si>
    <t>White</t>
  </si>
  <si>
    <t>No Font</t>
  </si>
  <si>
    <t>No following model in this sequence.</t>
  </si>
  <si>
    <t>No preceding model in this sequence.</t>
  </si>
  <si>
    <t>R code:</t>
  </si>
  <si>
    <t>NoHeaders</t>
  </si>
  <si>
    <t>No Comment</t>
  </si>
  <si>
    <t>GP_Margin, Rev_Growth</t>
  </si>
  <si>
    <t>Predicted EV_Rev = 0.522 + 5.985*GP_Margin + 5.341*Rev_Growth</t>
  </si>
  <si>
    <t>MASE lag 1</t>
  </si>
  <si>
    <t>1.03 (P=0.011)</t>
  </si>
  <si>
    <t>Lag</t>
  </si>
  <si>
    <t>Autocorrelation</t>
  </si>
  <si>
    <t>StdErrorsFromZero</t>
  </si>
  <si>
    <t>Durbin-Watson</t>
  </si>
  <si>
    <t xml:space="preserve">       Constant</t>
  </si>
  <si>
    <t xml:space="preserve">      GP_Margin</t>
  </si>
  <si>
    <t xml:space="preserve">      Rev_Growth</t>
  </si>
  <si>
    <t>Obs#</t>
  </si>
  <si>
    <t>Forecast</t>
  </si>
  <si>
    <t>StErrFcst</t>
  </si>
  <si>
    <t>StErrMean</t>
  </si>
  <si>
    <t xml:space="preserve">   GP_Margin</t>
  </si>
  <si>
    <t xml:space="preserve">   Rev_Growth</t>
  </si>
  <si>
    <t>.</t>
  </si>
  <si>
    <t>Residual -vs- Observation #</t>
  </si>
  <si>
    <t>Residual -vs- Predicted</t>
  </si>
  <si>
    <t>Histogram of Residuals</t>
  </si>
  <si>
    <t>Normal Quantile Plot</t>
  </si>
  <si>
    <t>Residual -vs- Independent Variable Plots</t>
  </si>
  <si>
    <t xml:space="preserve"> Residual -vs- GP_Margin</t>
  </si>
  <si>
    <t xml:space="preserve"> Residual -vs- Rev_Growth</t>
  </si>
  <si>
    <t>Observation #</t>
  </si>
  <si>
    <t>Actual</t>
  </si>
  <si>
    <t>Predicted</t>
  </si>
  <si>
    <t>Std.Res.</t>
  </si>
  <si>
    <t>AbsStdRes</t>
  </si>
  <si>
    <t>Leverage</t>
  </si>
  <si>
    <t>Cook's D</t>
  </si>
  <si>
    <t>Databricks Inputs</t>
  </si>
  <si>
    <t>Databricks Outputs</t>
  </si>
  <si>
    <t xml:space="preserve"> Residual -vs- EBITDA_Margin</t>
  </si>
  <si>
    <t xml:space="preserve"> Residual -vs- Profit_Margin</t>
  </si>
  <si>
    <t xml:space="preserve"> Residual -vs- R_D_Margin</t>
  </si>
  <si>
    <t xml:space="preserve"> Residual -vs- S_M_Margin</t>
  </si>
  <si>
    <t>Editable</t>
  </si>
  <si>
    <t>Model 8</t>
  </si>
  <si>
    <t>10/24/18 6:29 PM on AZRINA-KAI - Model 8 - new test 4.xlsx - RegressItPC.xlam - Version 2018.04.15</t>
  </si>
  <si>
    <t>Regression Statistics:    Model 8 for EV_Rev    (2 variables, n=136)</t>
  </si>
  <si>
    <t>Coefficient Estimates:    Model 8 for EV_Rev    (2 variables, n=136)</t>
  </si>
  <si>
    <t>Analysis of Variance:    Model 8 for EV_Rev    (2 variables, n=136)</t>
  </si>
  <si>
    <t>Error Distribution Statistics:    Model 8 for EV_Rev    (2 variables, n=136)</t>
  </si>
  <si>
    <t>Residual Autocorrelations:    Model 8 for EV_Rev    (2 variables, n=136)</t>
  </si>
  <si>
    <t>Correlation Matrix of Coefficient Estimates : Model 8 for EV_Rev    (2 variables, n=136)</t>
  </si>
  <si>
    <t>Forecasts:  Model 8 for EV_Rev    (2 variables, n=136)</t>
  </si>
  <si>
    <t>Model 8 (#vars=2, n=136, AdjRsq=0.16): EV_Rev &lt;&lt; GP_Margin, Rev_Growth</t>
  </si>
  <si>
    <t>Model 8 preceding model was Model 2 (#vars=2, n=136, AdjRsq=0.16): EV_Rev &lt;&lt; GP_Margin, Rev_Growth</t>
  </si>
  <si>
    <t>Model.8 &lt;- lm(EV_Rev ~ GP_Margin +  Rev_Growth, data = Sheet9)</t>
  </si>
  <si>
    <t>EV</t>
  </si>
  <si>
    <t>TALEND SA  - ADR</t>
  </si>
  <si>
    <t>SHOPIFY INC - CLASS A</t>
  </si>
  <si>
    <t>MONGODB INC</t>
  </si>
  <si>
    <t>TWILIO INC - A</t>
  </si>
  <si>
    <t>INOVALON HOLDINGS INC - A</t>
  </si>
  <si>
    <t>WIX.COM LTD</t>
  </si>
  <si>
    <t>OKTA INC</t>
  </si>
  <si>
    <t>CARBONITE INC</t>
  </si>
  <si>
    <t>VEEVA SYSTEMS INC-CLASS A</t>
  </si>
  <si>
    <t>MEDIDATA SOLUTIONS INC</t>
  </si>
  <si>
    <t>TERADATA CORP</t>
  </si>
  <si>
    <t>FRONTIER DEVELOPMENTS PLC</t>
  </si>
  <si>
    <t>TAKE-TWO INTERACTIVE SOFTWRE</t>
  </si>
  <si>
    <t>AVEVA GROUP PLC</t>
  </si>
  <si>
    <t>EVOLENT HEALTH INC - A</t>
  </si>
  <si>
    <t>BLUE PRISM GROUP PLC</t>
  </si>
  <si>
    <t>UBISOFT ENTERTAINMENT</t>
  </si>
  <si>
    <t>TABULA RASA HEALTHCARE INC</t>
  </si>
  <si>
    <t>GLU MOBILE INC</t>
  </si>
  <si>
    <t>CRANEWARE PLC</t>
  </si>
  <si>
    <t>ALLSCRIPTS HEALTHCARE SOLUTI</t>
  </si>
  <si>
    <t>ELECTRONIC ARTS INC</t>
  </si>
  <si>
    <t>ZYNGA INC - CL A</t>
  </si>
  <si>
    <t>OMNICELL INC</t>
  </si>
  <si>
    <t>ATHENAHEALTH INC</t>
  </si>
  <si>
    <t>CD PROJEKT SA</t>
  </si>
  <si>
    <t>GB GROUP PLC</t>
  </si>
  <si>
    <t>SDL PLC</t>
  </si>
  <si>
    <t>Model 9</t>
  </si>
  <si>
    <t>10/25/18 4:02 PM on AZRINA-KAI - Model 9 - new test 4.xlsx - RegressItPC.xlam - Version 2018.04.15</t>
  </si>
  <si>
    <t>Predicted EV = 16,115 + 161757*EBITDA_Margin - 91411*GP_Margin - 18947*Profit_Margin + 90484*R_D_Margin - 4263*Rev_Growth + 114746*S_M_Margin</t>
  </si>
  <si>
    <t>Regression Statistics:    Model 9 for EV    (6 variables, n=136)</t>
  </si>
  <si>
    <t>Coefficient Estimates:    Model 9 for EV    (6 variables, n=136)</t>
  </si>
  <si>
    <t>Analysis of Variance:    Model 9 for EV    (6 variables, n=136)</t>
  </si>
  <si>
    <t>Error Distribution Statistics:    Model 9 for EV    (6 variables, n=136)</t>
  </si>
  <si>
    <t>25.48 (P=0.000)</t>
  </si>
  <si>
    <t>Residual Autocorrelations:    Model 9 for EV    (6 variables, n=136)</t>
  </si>
  <si>
    <t>Correlation Matrix of Coefficient Estimates : Model 9 for EV    (6 variables, n=136)</t>
  </si>
  <si>
    <t xml:space="preserve">      EBITDA_Margin</t>
  </si>
  <si>
    <t xml:space="preserve">      Profit_Margin</t>
  </si>
  <si>
    <t xml:space="preserve">      R_D_Margin</t>
  </si>
  <si>
    <t xml:space="preserve">      S_M_Margin</t>
  </si>
  <si>
    <t>Forecasts:  Model 9 for EV    (6 variables, n=136)</t>
  </si>
  <si>
    <t xml:space="preserve">   EBITDA_Margin</t>
  </si>
  <si>
    <t xml:space="preserve">   Profit_Margin</t>
  </si>
  <si>
    <t xml:space="preserve">   R_D_Margin</t>
  </si>
  <si>
    <t xml:space="preserve">   S_M_Margin</t>
  </si>
  <si>
    <t>Residual Table: Model 9 for EV    (6 variables, n=136)</t>
  </si>
  <si>
    <t>Summary of Regression Model Results</t>
  </si>
  <si>
    <t>Dependent Variable:  EV</t>
  </si>
  <si>
    <t>Run Time</t>
  </si>
  <si>
    <t>Standard Deviation</t>
  </si>
  <si>
    <t>Number Of Variables</t>
  </si>
  <si>
    <t>Standard Error of Regression</t>
  </si>
  <si>
    <t>R-squared</t>
  </si>
  <si>
    <t>Adjusted R-squared</t>
  </si>
  <si>
    <t>Mean Absolute Error</t>
  </si>
  <si>
    <t>Mean Absolute Percentage Error</t>
  </si>
  <si>
    <t>Maximum VIF</t>
  </si>
  <si>
    <t>Normality Test</t>
  </si>
  <si>
    <t xml:space="preserve">  Coefficients:</t>
  </si>
  <si>
    <t>Model 9 (#vars=6, n=136, AdjRsq=0.021): EV &lt;&lt; EBITDA_Margin, GP_Margin, Profit_Margin, R_D_Margin, Rev_Growth, S_M_Margin</t>
  </si>
  <si>
    <t xml:space="preserve"> * * *  </t>
  </si>
  <si>
    <t>0.939 (lag 1)</t>
  </si>
  <si>
    <t>Mean Absolute Scaled Error</t>
  </si>
  <si>
    <t>-0.01 (lag 1)</t>
  </si>
  <si>
    <t>Residual Autocorrelation</t>
  </si>
  <si>
    <t>16,115  (0.658)</t>
  </si>
  <si>
    <t>161,757  (0.093)</t>
  </si>
  <si>
    <t>-91,411  (0.195)</t>
  </si>
  <si>
    <t>-18,947  (0.826)</t>
  </si>
  <si>
    <t>90,484  (0.288)</t>
  </si>
  <si>
    <t>-4,263  (0.883)</t>
  </si>
  <si>
    <t>114,746  (0.135)</t>
  </si>
  <si>
    <t>Model.9 &lt;- lm(EV ~ EBITDA_Margin +  GP_Margin +  Profit_Margin +  R_D_Margin +  Rev_Growth +  S_M_Margin, data = Combined Model (Rel))</t>
  </si>
  <si>
    <t>Model 10</t>
  </si>
  <si>
    <t>Low-res picture</t>
  </si>
  <si>
    <t>10/25/18 4:07 PM on AZRINA-KAI - Model 10 - new test 4.xlsx - RegressItPC.xlam - Version 2018.04.15</t>
  </si>
  <si>
    <t>EBITDA_Margin, GP_Margin, Profit_Margin, R_D_Margin, Rev, Rev_Growth, S_M_Margin</t>
  </si>
  <si>
    <t>Predicted EV = -4,038 - 14148*EBITDA_Margin + 9335*GP_Margin + 7904*Profit_Margin - 5629*R_D_Margin + 6.683*Rev + 7775*Rev_Growth - 5975*S_M_Margin</t>
  </si>
  <si>
    <t>Regression Statistics:    Model 10 for EV    (7 variables, n=136)</t>
  </si>
  <si>
    <t>Coefficient Estimates:    Model 10 for EV    (7 variables, n=136)</t>
  </si>
  <si>
    <t>Analysis of Variance:    Model 10 for EV    (7 variables, n=136)</t>
  </si>
  <si>
    <t>Error Distribution Statistics:    Model 10 for EV    (7 variables, n=136)</t>
  </si>
  <si>
    <t>23.05 (P=0.000)</t>
  </si>
  <si>
    <t>Model 10 (#vars=7, n=136, AdjRsq=0.977): EV &lt;&lt; EBITDA_Margin, GP_Margin, Profit_Margin, R_D_Margin, Rev, Rev_Growth, S_M_Margin</t>
  </si>
  <si>
    <t>-4,038  (0.471)</t>
  </si>
  <si>
    <t>-14,148  (0.344)</t>
  </si>
  <si>
    <t>9,335  (0.393)</t>
  </si>
  <si>
    <t>7,904  (0.552)</t>
  </si>
  <si>
    <t>-5,629  (0.668)</t>
  </si>
  <si>
    <t>6.683  (0.000)</t>
  </si>
  <si>
    <t>7,775  (0.083)</t>
  </si>
  <si>
    <t>-5,975  (0.615)</t>
  </si>
  <si>
    <t>Model.10 &lt;- lm(EV ~ EBITDA_Margin +  GP_Margin +  Profit_Margin +  R_D_Margin +  Rev +  Rev_Growth +  S_M_Margin, data = Combined Model (Rel))</t>
  </si>
  <si>
    <t>TTM Rev</t>
  </si>
  <si>
    <t>TTM EBITDA</t>
  </si>
  <si>
    <t>Model 11</t>
  </si>
  <si>
    <t>10/25/18 4:15 PM on AZRINA-KAI - Model 11 - new test 4.xlsx - RegressItPC.xlam - Version 2018.04.15</t>
  </si>
  <si>
    <t>Rev_Growth, TTM_EBITDA, TTM_GP, TTM_Rev</t>
  </si>
  <si>
    <t>Predicted EV = -2,061 + 3974*Rev_Growth - 10.898*TTM_EBITDA - 10.067*TTM_GP + 17.888*TTM_Rev</t>
  </si>
  <si>
    <t>Regression Statistics:    Model 11 for EV    (4 variables, n=136)</t>
  </si>
  <si>
    <t>Coefficient Estimates:    Model 11 for EV    (4 variables, n=136)</t>
  </si>
  <si>
    <t>TTM_EBITDA</t>
  </si>
  <si>
    <t>TTM_GP</t>
  </si>
  <si>
    <t>TTM_Rev</t>
  </si>
  <si>
    <t>Analysis of Variance:    Model 11 for EV    (4 variables, n=136)</t>
  </si>
  <si>
    <t>Error Distribution Statistics:    Model 11 for EV    (4 variables, n=136)</t>
  </si>
  <si>
    <t>19.09 (P=0.000)</t>
  </si>
  <si>
    <t>Model 11 (#vars=4, n=136, AdjRsq=0.987): EV &lt;&lt; Rev_Growth, TTM_EBITDA, TTM_GP, TTM_Rev</t>
  </si>
  <si>
    <t>-2,061  (0.060)</t>
  </si>
  <si>
    <t>3,974  (0.227)</t>
  </si>
  <si>
    <t>-10.898  (0.000)</t>
  </si>
  <si>
    <t>-10.067  (0.000)</t>
  </si>
  <si>
    <t>17.888  (0.000)</t>
  </si>
  <si>
    <t>Model.11 &lt;- lm(EV ~ Rev_Growth +  TTM_EBITDA +  TTM_GP +  TTM_Rev, data = Combined Model (Rel))</t>
  </si>
  <si>
    <t>Model 12</t>
  </si>
  <si>
    <t>10/25/18 4:23 PM on AZRINA-KAI - Model 12 - new test 4.xlsx - RegressItPC.xlam - Version 2018.04.15</t>
  </si>
  <si>
    <t>TTM_EBITDA, TTM_GP, TTM_Rev</t>
  </si>
  <si>
    <t>Predicted EV = -1,175 - 10.884*TTM_EBITDA - 10.299*TTM_GP + 18.031*TTM_Rev</t>
  </si>
  <si>
    <t>Regression Statistics:    Model 12 for EV    (3 variables, n=136)</t>
  </si>
  <si>
    <t>Coefficient Estimates:    Model 12 for EV    (3 variables, n=136)</t>
  </si>
  <si>
    <t>Analysis of Variance:    Model 12 for EV    (3 variables, n=136)</t>
  </si>
  <si>
    <t>Error Distribution Statistics:    Model 12 for EV    (3 variables, n=136)</t>
  </si>
  <si>
    <t>18.63 (P=0.000)</t>
  </si>
  <si>
    <t>Residual Autocorrelations:    Model 12 for EV    (3 variables, n=136)</t>
  </si>
  <si>
    <t>Correlation Matrix of Coefficient Estimates : Model 12 for EV    (3 variables, n=136)</t>
  </si>
  <si>
    <t xml:space="preserve">      TTM_EBITDA</t>
  </si>
  <si>
    <t xml:space="preserve">        TTM_GP</t>
  </si>
  <si>
    <t xml:space="preserve">       TTM_Rev</t>
  </si>
  <si>
    <t>Forecasts:  Model 12 for EV    (3 variables, n=136)</t>
  </si>
  <si>
    <t xml:space="preserve">   TTM_EBITDA</t>
  </si>
  <si>
    <t xml:space="preserve">      TTM_GP</t>
  </si>
  <si>
    <t xml:space="preserve">     TTM_Rev</t>
  </si>
  <si>
    <t xml:space="preserve"> Residual -vs- TTM_EBITDA</t>
  </si>
  <si>
    <t xml:space="preserve"> Residual -vs- TTM_GP</t>
  </si>
  <si>
    <t xml:space="preserve"> Residual -vs- TTM_Rev</t>
  </si>
  <si>
    <t>Residual Table: Model 12 for EV    (3 variables, n=136)</t>
  </si>
  <si>
    <t>Model 12 (#vars=3, n=136, AdjRsq=0.986): EV &lt;&lt; TTM_EBITDA, TTM_GP, TTM_Rev</t>
  </si>
  <si>
    <t>0.128 (lag 1)</t>
  </si>
  <si>
    <t>-0.03 (lag 1)</t>
  </si>
  <si>
    <t>-1,175  (0.147)</t>
  </si>
  <si>
    <t>-10.884  (0.000)</t>
  </si>
  <si>
    <t>-10.299  (0.000)</t>
  </si>
  <si>
    <t>18.031  (0.000)</t>
  </si>
  <si>
    <t>Model.12 &lt;- lm(EV ~ TTM_EBITDA +  TTM_GP +  TTM_Rev, data = Combined Model (Rel))</t>
  </si>
  <si>
    <t xml:space="preserve">TTM GP </t>
  </si>
  <si>
    <t>Model 13</t>
  </si>
  <si>
    <t>10/25/18 4:43 PM on AZRINA-KAI - Model 13 - new test 5.xlsx - RegressItPC.xlam - Version 2018.04.15</t>
  </si>
  <si>
    <t>Predicted EV = 699.801 - 3.288*TTM_EBITDA - 1.182*TTM_GP + 6.514*TTM_Rev</t>
  </si>
  <si>
    <t>Regression Statistics:    Model 13 for EV    (3 variables, n=126)</t>
  </si>
  <si>
    <t>Coefficient Estimates:    Model 13 for EV    (3 variables, n=126)</t>
  </si>
  <si>
    <t>Analysis of Variance:    Model 13 for EV    (3 variables, n=126)</t>
  </si>
  <si>
    <t>Error Distribution Statistics:    Model 13 for EV    (3 variables, n=126)</t>
  </si>
  <si>
    <t>Fitted (n=126)</t>
  </si>
  <si>
    <t>4.49 (P=0.000)</t>
  </si>
  <si>
    <t>Actual and Predicted -vs- Observation #
Model 13 for EV    (3 variables, n=126)</t>
  </si>
  <si>
    <t>Model 13 (#vars=3, n=126, AdjRsq=0.746): EV &lt;&lt; TTM_EBITDA, TTM_GP, TTM_Rev</t>
  </si>
  <si>
    <t>699.801  (0.019)</t>
  </si>
  <si>
    <t>-3.288  (0.032)</t>
  </si>
  <si>
    <t>-1.182  (0.476)</t>
  </si>
  <si>
    <t>6.514  (0.000)</t>
  </si>
  <si>
    <t>Model.13 &lt;- lm(EV ~ TTM_EBITDA +  TTM_GP +  TTM_Rev, data = Combined Model (Rel))</t>
  </si>
  <si>
    <t>Model 14</t>
  </si>
  <si>
    <t>10/25/18 4:52 PM on AZRINA-KAI - Model 14 - new test 5.xlsx - RegressItPC.xlam - Version 2018.04.15</t>
  </si>
  <si>
    <t>Predicted EV_Rev = 1.063 - 6.833*EBITDA_Margin + 9.887*GP_Margin + 0.972*Profit_Margin - 5.468*R_D_Margin + 4.894*Rev_Growth - 5.876*S_M_Margin</t>
  </si>
  <si>
    <t>Regression Statistics:    Model 14 for EV_Rev    (6 variables, n=126)</t>
  </si>
  <si>
    <t>Coefficient Estimates:    Model 14 for EV_Rev    (6 variables, n=126)</t>
  </si>
  <si>
    <t>Analysis of Variance:    Model 14 for EV_Rev    (6 variables, n=126)</t>
  </si>
  <si>
    <t>Error Distribution Statistics:    Model 14 for EV_Rev    (6 variables, n=126)</t>
  </si>
  <si>
    <t>0.62 (P=0.109)</t>
  </si>
  <si>
    <t>Actual and Predicted -vs- Observation #
Model 14 for EV_Rev    (6 variables, n=126)</t>
  </si>
  <si>
    <t>Dependent Variable:  EV_Rev</t>
  </si>
  <si>
    <t>Model 14 (#vars=6, n=126, AdjRsq=0.164): EV_Rev &lt;&lt; EBITDA_Margin, GP_Margin, Profit_Margin, R_D_Margin, Rev_Growth, S_M_Margin</t>
  </si>
  <si>
    <t xml:space="preserve">_  </t>
  </si>
  <si>
    <t>1.063  (0.466)</t>
  </si>
  <si>
    <t>-6.833  (0.083)</t>
  </si>
  <si>
    <t>9.887  (0.001)</t>
  </si>
  <si>
    <t>0.972  (0.788)</t>
  </si>
  <si>
    <t>-5.468  (0.124)</t>
  </si>
  <si>
    <t>4.894  (0.000)</t>
  </si>
  <si>
    <t>-5.876  (0.058)</t>
  </si>
  <si>
    <t>Model.14 &lt;- lm(EV_Rev ~ EBITDA_Margin +  GP_Margin +  Profit_Margin +  R_D_Margin +  Rev_Growth +  S_M_Margin, data = Combined Model (Rel))</t>
  </si>
  <si>
    <t>EV/TTM</t>
  </si>
  <si>
    <t>Model 15</t>
  </si>
  <si>
    <t>Model 15 (#vars=6, n=121, AdjRsq=0.406): EV_Rev &lt;&lt; EBITDA_Margin, GP_Margin, Profit_Margin, R_D_Margin, Rev_Growth, S_M_Margin</t>
  </si>
  <si>
    <t xml:space="preserve">  *  </t>
  </si>
  <si>
    <t>0.600 (lag 1)</t>
  </si>
  <si>
    <t>0.22 (lag 1)</t>
  </si>
  <si>
    <t>0.059  (0.974)</t>
  </si>
  <si>
    <t>-9.910  (0.043)</t>
  </si>
  <si>
    <t>14.602  (0.000)</t>
  </si>
  <si>
    <t>-1.215  (0.794)</t>
  </si>
  <si>
    <t>-6.945  (0.110)</t>
  </si>
  <si>
    <t>11.088  (0.000)</t>
  </si>
  <si>
    <t>-11.170  (0.006)</t>
  </si>
  <si>
    <t>Model 16</t>
  </si>
  <si>
    <t>Model 16 (#vars=4, n=121, AdjRsq=0.376): EV_Rev &lt;&lt; EBITDA_Margin, GP_Margin, R_D_Margin, Rev_Growth</t>
  </si>
  <si>
    <t xml:space="preserve">  * *  </t>
  </si>
  <si>
    <t>0.625 (lag 1)</t>
  </si>
  <si>
    <t>0.18 (lag 1)</t>
  </si>
  <si>
    <t>0.625  (0.729)</t>
  </si>
  <si>
    <t>-3.461  (0.030)</t>
  </si>
  <si>
    <t>7.295  (0.004)</t>
  </si>
  <si>
    <t>-4.043  (0.320)</t>
  </si>
  <si>
    <t>11.467  (0.000)</t>
  </si>
  <si>
    <t>Model 17</t>
  </si>
  <si>
    <t>Model 17 (#vars=4, n=121, AdjRsq=0.403): EV_Rev &lt;&lt; EBITDA_Margin, GP_Margin, Rev_Growth, S_M_Margin</t>
  </si>
  <si>
    <t>0.617 (lag 1)</t>
  </si>
  <si>
    <t>0.24 (lag 1)</t>
  </si>
  <si>
    <t>-0.232  (0.895)</t>
  </si>
  <si>
    <t>-8.401  (0.002)</t>
  </si>
  <si>
    <t>12.464  (0.000)</t>
  </si>
  <si>
    <t>10.960  (0.000)</t>
  </si>
  <si>
    <t>-9.759  (0.014)</t>
  </si>
  <si>
    <t>Model 18</t>
  </si>
  <si>
    <t>Model 18 (#vars=5, n=121, AdjRsq=0.411): EV_Rev &lt;&lt; EBITDA_Margin, GP_Margin, R_D_Margin, Rev_Growth, S_M_Margin</t>
  </si>
  <si>
    <t>0.133  (0.940)</t>
  </si>
  <si>
    <t>-10.891  (0.001)</t>
  </si>
  <si>
    <t>14.531  (0.000)</t>
  </si>
  <si>
    <t>-6.556  (0.107)</t>
  </si>
  <si>
    <t>11.105  (0.000)</t>
  </si>
  <si>
    <t>-11.183  (0.006)</t>
  </si>
  <si>
    <t>Model 19</t>
  </si>
  <si>
    <t>Model 19 (#vars=3, n=121, AdjRsq=0.376): EV_Rev &lt;&lt; EBITDA_Margin, GP_Margin, Rev_Growth</t>
  </si>
  <si>
    <t>0.628 (lag 1)</t>
  </si>
  <si>
    <t>0.19 (lag 1)</t>
  </si>
  <si>
    <t>0.348  (0.845)</t>
  </si>
  <si>
    <t>-2.461  (0.045)</t>
  </si>
  <si>
    <t>6.553  (0.007)</t>
  </si>
  <si>
    <t>11.343  (0.000)</t>
  </si>
  <si>
    <t>ENTERPRISE_VALUE</t>
  </si>
  <si>
    <t>TTTM Rev</t>
  </si>
  <si>
    <t>Sales_rev_turn</t>
  </si>
  <si>
    <t>TRAIL_12M_FREE_CASH_FLOW</t>
  </si>
  <si>
    <t>TTM FCF</t>
  </si>
  <si>
    <t>BS_CASH_NEAR_CASH_ITEM</t>
  </si>
  <si>
    <t>Cash</t>
  </si>
  <si>
    <t>EV/NTM</t>
  </si>
  <si>
    <t>TTM Rev Growth</t>
  </si>
  <si>
    <t>GP</t>
  </si>
  <si>
    <t>NTM Rev Growth</t>
  </si>
  <si>
    <t>NTM Rev</t>
  </si>
  <si>
    <t>TTTMRev</t>
  </si>
  <si>
    <t>TTMRev</t>
  </si>
  <si>
    <t>NTMRev</t>
  </si>
  <si>
    <t>TTMRevGr</t>
  </si>
  <si>
    <t>NTMRevGr</t>
  </si>
  <si>
    <t>GP%</t>
  </si>
  <si>
    <t>RD</t>
  </si>
  <si>
    <t>RD%</t>
  </si>
  <si>
    <t>SM</t>
  </si>
  <si>
    <t>SM%</t>
  </si>
  <si>
    <t>GA</t>
  </si>
  <si>
    <t>GA%</t>
  </si>
  <si>
    <t>EBITDA%</t>
  </si>
  <si>
    <t>TTMFCF</t>
  </si>
  <si>
    <t>NI</t>
  </si>
  <si>
    <t>NI%</t>
  </si>
  <si>
    <t>R&amp;D%</t>
  </si>
  <si>
    <t>S&amp;M%</t>
  </si>
  <si>
    <t>G&amp;A%</t>
  </si>
  <si>
    <t>Profit%</t>
  </si>
  <si>
    <t>Cash%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</si>
</sst>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164" formatCode="#,##0.0_);\(#,##0.0\);0.0_);@_)"/>
    <numFmt numFmtId="165" formatCode="#,##0_);\(#,##0\);0_);@_)"/>
    <numFmt numFmtId="166" formatCode="mmm\ dd\,\ yyyy"/>
    <numFmt numFmtId="167" formatCode="####"/>
    <numFmt numFmtId="168" formatCode="#,##0.0\ \x_)"/>
    <numFmt numFmtId="169" formatCode="0.0%"/>
    <numFmt numFmtId="170" formatCode="0.0%_);\(0.0%\)"/>
    <numFmt numFmtId="171" formatCode="0.00000E+00"/>
    <numFmt numFmtId="172" formatCode="#,##0.0_);\(#,##0.0\)"/>
    <numFmt numFmtId="173" formatCode="#,##0.000"/>
    <numFmt numFmtId="174" formatCode="0.000"/>
    <numFmt numFmtId="175" formatCode="#,###"/>
    <numFmt numFmtId="176" formatCode="0.000E+00"/>
    <numFmt numFmtId="177" formatCode="[$-409]m/d/yy\ h:mm\ AM/PM;@"/>
    <numFmt numFmtId="178" formatCode="0.000000"/>
    <numFmt numFmtId="179" formatCode="#,##0.00000000000_);\(#,##0.00000000000\);0.00000000000_);@_)"/>
    <numFmt numFmtId="180" formatCode="0.000%"/>
    <numFmt numFmtId="181" formatCode="#,##0.000_);\(#,##0.000\);0.000_);@_)"/>
    <numFmt numFmtId="182" formatCode="#,##0.0000000_);\(#,##0.0000000\);0.0000000_);@_)"/>
    <numFmt numFmtId="183" formatCode="0.0000%"/>
  </numFmts>
  <fonts count="43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b/>
      <sz val="10"/>
      <color theme="0"/>
      <name val="Arial"/>
      <family val="2"/>
    </font>
    <font>
      <b/>
      <sz val="12"/>
      <color theme="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b/>
      <u/>
      <sz val="10"/>
      <color theme="1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color rgb="FFFFFFFF"/>
      <name val="Arial"/>
      <family val="2"/>
    </font>
    <font>
      <i/>
      <sz val="8"/>
      <name val="Arial"/>
      <family val="2"/>
    </font>
    <font>
      <b/>
      <u/>
      <sz val="8"/>
      <name val="Arial"/>
      <family val="2"/>
    </font>
    <font>
      <b/>
      <sz val="7"/>
      <name val="Arial"/>
      <family val="2"/>
    </font>
    <font>
      <sz val="8"/>
      <color rgb="FFF8F8F8"/>
      <name val="Arial"/>
      <family val="2"/>
    </font>
    <font>
      <sz val="8"/>
      <color theme="0"/>
      <name val="Arial"/>
      <family val="2"/>
    </font>
    <font>
      <sz val="9"/>
      <color indexed="81"/>
      <name val="Tahoma"/>
      <family val="2"/>
    </font>
    <font>
      <sz val="8"/>
      <color rgb="FF000000"/>
      <name val="Arial"/>
      <family val="2"/>
    </font>
    <font>
      <sz val="8"/>
      <color rgb="FF010101"/>
      <name val="Arial"/>
      <family val="2"/>
    </font>
    <font>
      <sz val="8"/>
      <color rgb="FF020202"/>
      <name val="Arial"/>
      <family val="2"/>
    </font>
    <font>
      <sz val="8"/>
      <color rgb="FFB2B2B2"/>
      <name val="Arial"/>
      <family val="2"/>
    </font>
    <font>
      <sz val="10"/>
      <color rgb="FFBFBFBF"/>
      <name val="Arial"/>
      <family val="2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DBE7D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3299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E6E6E6"/>
        <bgColor indexed="64"/>
      </patternFill>
    </fill>
  </fills>
  <borders count="2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/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18"/>
      </bottom>
      <diagonal/>
    </border>
    <border>
      <left style="medium">
        <color indexed="18"/>
      </left>
      <right/>
      <top/>
      <bottom style="medium">
        <color indexed="18"/>
      </bottom>
      <diagonal/>
    </border>
  </borders>
  <cellStyleXfs count="51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164" fontId="20" fillId="0" borderId="0"/>
    <xf numFmtId="166" fontId="20" fillId="0" borderId="0" applyFont="0" applyFill="0" applyBorder="0" applyAlignment="0" applyProtection="0"/>
    <xf numFmtId="164" fontId="20" fillId="34" borderId="0" applyNumberFormat="0" applyFont="0" applyBorder="0" applyAlignment="0" applyProtection="0"/>
    <xf numFmtId="164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4" fontId="24" fillId="37" borderId="14" applyNumberFormat="0" applyAlignment="0" applyProtection="0"/>
    <xf numFmtId="9" fontId="1" fillId="0" borderId="0" applyFont="0" applyFill="0" applyBorder="0" applyAlignment="0" applyProtection="0"/>
    <xf numFmtId="0" fontId="1" fillId="0" borderId="0"/>
    <xf numFmtId="9" fontId="26" fillId="0" borderId="0" applyFont="0" applyFill="0" applyBorder="0" applyAlignment="0" applyProtection="0"/>
  </cellStyleXfs>
  <cellXfs count="185">
    <xf numFmtId="0" fontId="19" fillId="0" borderId="0" xfId="0" applyFont="1"/>
    <xf numFmtId="0" fontId="0" fillId="0" borderId="0" xfId="0" applyFont="1"/>
    <xf numFmtId="164" fontId="20" fillId="0" borderId="0" xfId="42" applyFont="1"/>
    <xf numFmtId="164" fontId="20" fillId="0" borderId="0" xfId="42"/>
    <xf numFmtId="164" fontId="20" fillId="0" borderId="0" xfId="42" applyFont="1" applyAlignment="1">
      <alignment horizontal="center" vertical="center"/>
    </xf>
    <xf numFmtId="164" fontId="20" fillId="0" borderId="10" xfId="42" applyBorder="1"/>
    <xf numFmtId="165" fontId="0" fillId="33" borderId="11" xfId="42" applyNumberFormat="1" applyFont="1" applyFill="1" applyBorder="1" applyAlignment="1">
      <alignment horizontal="center"/>
    </xf>
    <xf numFmtId="165" fontId="20" fillId="0" borderId="0" xfId="42" applyNumberFormat="1" applyBorder="1" applyAlignment="1">
      <alignment horizontal="center"/>
    </xf>
    <xf numFmtId="164" fontId="0" fillId="0" borderId="0" xfId="42" applyFont="1"/>
    <xf numFmtId="166" fontId="20" fillId="0" borderId="0" xfId="43" applyFont="1"/>
    <xf numFmtId="164" fontId="22" fillId="34" borderId="0" xfId="44" applyFont="1" applyBorder="1" applyAlignment="1">
      <alignment vertical="center"/>
    </xf>
    <xf numFmtId="164" fontId="22" fillId="34" borderId="0" xfId="44" applyFont="1" applyBorder="1" applyAlignment="1">
      <alignment horizontal="center" vertical="center" wrapText="1"/>
    </xf>
    <xf numFmtId="164" fontId="22" fillId="34" borderId="12" xfId="44" applyFont="1" applyBorder="1" applyAlignment="1">
      <alignment horizontal="centerContinuous" vertical="center" wrapText="1"/>
    </xf>
    <xf numFmtId="164" fontId="22" fillId="34" borderId="0" xfId="44" applyFont="1" applyBorder="1" applyAlignment="1">
      <alignment horizontal="centerContinuous" vertical="center"/>
    </xf>
    <xf numFmtId="164" fontId="22" fillId="34" borderId="12" xfId="44" applyFont="1" applyBorder="1" applyAlignment="1">
      <alignment horizontal="centerContinuous" vertical="center"/>
    </xf>
    <xf numFmtId="164" fontId="22" fillId="34" borderId="0" xfId="44" applyFont="1" applyBorder="1" applyAlignment="1">
      <alignment horizontal="centerContinuous" vertical="center" wrapText="1"/>
    </xf>
    <xf numFmtId="164" fontId="21" fillId="34" borderId="13" xfId="44" applyFont="1" applyBorder="1" applyAlignment="1">
      <alignment horizontal="center" vertical="center" wrapText="1"/>
    </xf>
    <xf numFmtId="164" fontId="21" fillId="34" borderId="13" xfId="44" applyFont="1" applyBorder="1" applyAlignment="1">
      <alignment horizontal="centerContinuous" vertical="center"/>
    </xf>
    <xf numFmtId="164" fontId="22" fillId="35" borderId="0" xfId="42" applyFont="1" applyFill="1" applyBorder="1" applyAlignment="1">
      <alignment vertical="center"/>
    </xf>
    <xf numFmtId="164" fontId="22" fillId="35" borderId="12" xfId="42" applyFont="1" applyFill="1" applyBorder="1" applyAlignment="1">
      <alignment horizontal="center" vertical="center"/>
    </xf>
    <xf numFmtId="164" fontId="22" fillId="35" borderId="0" xfId="42" applyFont="1" applyFill="1" applyBorder="1" applyAlignment="1">
      <alignment horizontal="center" vertical="center"/>
    </xf>
    <xf numFmtId="164" fontId="21" fillId="35" borderId="13" xfId="42" applyFont="1" applyFill="1" applyBorder="1" applyAlignment="1">
      <alignment vertical="center"/>
    </xf>
    <xf numFmtId="164" fontId="21" fillId="35" borderId="13" xfId="42" applyFont="1" applyFill="1" applyBorder="1" applyAlignment="1">
      <alignment horizontal="center" vertical="center"/>
    </xf>
    <xf numFmtId="167" fontId="21" fillId="35" borderId="13" xfId="42" applyNumberFormat="1" applyFont="1" applyFill="1" applyBorder="1" applyAlignment="1">
      <alignment horizontal="center" vertical="center"/>
    </xf>
    <xf numFmtId="164" fontId="23" fillId="36" borderId="0" xfId="42" applyFont="1" applyFill="1" applyBorder="1" applyAlignment="1">
      <alignment vertical="center"/>
    </xf>
    <xf numFmtId="164" fontId="23" fillId="36" borderId="0" xfId="42" applyFont="1" applyFill="1" applyBorder="1" applyAlignment="1">
      <alignment vertical="center" wrapText="1"/>
    </xf>
    <xf numFmtId="165" fontId="23" fillId="36" borderId="0" xfId="45" applyNumberFormat="1" applyFont="1" applyFill="1" applyBorder="1" applyAlignment="1">
      <alignment horizontal="center" vertical="center"/>
    </xf>
    <xf numFmtId="165" fontId="23" fillId="36" borderId="12" xfId="42" applyNumberFormat="1" applyFont="1" applyFill="1" applyBorder="1" applyAlignment="1">
      <alignment horizontal="center" vertical="center"/>
    </xf>
    <xf numFmtId="165" fontId="23" fillId="36" borderId="0" xfId="42" applyNumberFormat="1" applyFont="1" applyFill="1" applyBorder="1" applyAlignment="1">
      <alignment horizontal="center" vertical="center"/>
    </xf>
    <xf numFmtId="168" fontId="23" fillId="36" borderId="12" xfId="42" applyNumberFormat="1" applyFont="1" applyFill="1" applyBorder="1" applyAlignment="1">
      <alignment horizontal="center" vertical="center"/>
    </xf>
    <xf numFmtId="168" fontId="23" fillId="36" borderId="0" xfId="42" applyNumberFormat="1" applyFont="1" applyFill="1" applyBorder="1" applyAlignment="1">
      <alignment horizontal="center" vertical="center"/>
    </xf>
    <xf numFmtId="169" fontId="23" fillId="36" borderId="12" xfId="42" applyNumberFormat="1" applyFont="1" applyFill="1" applyBorder="1" applyAlignment="1">
      <alignment horizontal="center" vertical="center"/>
    </xf>
    <xf numFmtId="170" fontId="23" fillId="36" borderId="12" xfId="46" applyFont="1" applyFill="1" applyBorder="1" applyAlignment="1">
      <alignment horizontal="center" vertical="center"/>
    </xf>
    <xf numFmtId="170" fontId="23" fillId="36" borderId="0" xfId="46" applyFont="1" applyFill="1" applyBorder="1" applyAlignment="1">
      <alignment horizontal="center" vertical="center"/>
    </xf>
    <xf numFmtId="164" fontId="0" fillId="0" borderId="13" xfId="42" applyFont="1" applyBorder="1" applyAlignment="1">
      <alignment vertical="center"/>
    </xf>
    <xf numFmtId="164" fontId="0" fillId="0" borderId="13" xfId="42" applyFont="1" applyBorder="1" applyAlignment="1">
      <alignment vertical="center" wrapText="1"/>
    </xf>
    <xf numFmtId="164" fontId="20" fillId="0" borderId="13" xfId="42" applyFont="1" applyBorder="1" applyAlignment="1">
      <alignment vertical="center"/>
    </xf>
    <xf numFmtId="164" fontId="24" fillId="37" borderId="14" xfId="47"/>
    <xf numFmtId="164" fontId="24" fillId="37" borderId="14" xfId="47" applyAlignment="1">
      <alignment horizontal="center" vertical="center"/>
    </xf>
    <xf numFmtId="164" fontId="21" fillId="34" borderId="13" xfId="44" applyFont="1" applyBorder="1" applyAlignment="1">
      <alignment vertical="center"/>
    </xf>
    <xf numFmtId="164" fontId="21" fillId="34" borderId="13" xfId="44" applyFont="1" applyBorder="1" applyAlignment="1">
      <alignment horizontal="centerContinuous" vertical="center" wrapText="1"/>
    </xf>
    <xf numFmtId="164" fontId="21" fillId="34" borderId="13" xfId="44" applyFont="1" applyBorder="1" applyAlignment="1">
      <alignment horizontal="center" vertical="center"/>
    </xf>
    <xf numFmtId="164" fontId="21" fillId="34" borderId="13" xfId="44" applyFont="1" applyBorder="1" applyAlignment="1">
      <alignment horizontal="left" vertical="center"/>
    </xf>
    <xf numFmtId="164" fontId="21" fillId="0" borderId="0" xfId="42" applyFont="1"/>
    <xf numFmtId="170" fontId="20" fillId="0" borderId="13" xfId="46" applyFont="1" applyBorder="1" applyAlignment="1">
      <alignment vertical="center"/>
    </xf>
    <xf numFmtId="164" fontId="25" fillId="37" borderId="14" xfId="47" applyFont="1" applyAlignment="1">
      <alignment vertical="center"/>
    </xf>
    <xf numFmtId="164" fontId="23" fillId="36" borderId="15" xfId="42" applyFont="1" applyFill="1" applyBorder="1" applyAlignment="1">
      <alignment vertical="center" wrapText="1"/>
    </xf>
    <xf numFmtId="165" fontId="23" fillId="36" borderId="15" xfId="42" applyNumberFormat="1" applyFont="1" applyFill="1" applyBorder="1" applyAlignment="1">
      <alignment horizontal="center" vertical="center"/>
    </xf>
    <xf numFmtId="165" fontId="23" fillId="36" borderId="16" xfId="45" applyNumberFormat="1" applyFont="1" applyFill="1" applyBorder="1" applyAlignment="1">
      <alignment horizontal="center" vertical="center"/>
    </xf>
    <xf numFmtId="165" fontId="23" fillId="36" borderId="15" xfId="45" applyNumberFormat="1" applyFont="1" applyFill="1" applyBorder="1" applyAlignment="1">
      <alignment horizontal="center" vertical="center"/>
    </xf>
    <xf numFmtId="168" fontId="23" fillId="36" borderId="16" xfId="42" applyNumberFormat="1" applyFont="1" applyFill="1" applyBorder="1" applyAlignment="1">
      <alignment horizontal="center" vertical="center"/>
    </xf>
    <xf numFmtId="168" fontId="23" fillId="36" borderId="15" xfId="42" applyNumberFormat="1" applyFont="1" applyFill="1" applyBorder="1" applyAlignment="1">
      <alignment horizontal="center" vertical="center"/>
    </xf>
    <xf numFmtId="170" fontId="23" fillId="36" borderId="16" xfId="46" applyFont="1" applyFill="1" applyBorder="1" applyAlignment="1">
      <alignment horizontal="center" vertical="center"/>
    </xf>
    <xf numFmtId="170" fontId="23" fillId="36" borderId="15" xfId="46" applyFont="1" applyFill="1" applyBorder="1" applyAlignment="1">
      <alignment horizontal="center" vertical="center"/>
    </xf>
    <xf numFmtId="164" fontId="23" fillId="0" borderId="15" xfId="42" applyFont="1" applyBorder="1" applyAlignment="1">
      <alignment vertical="center" wrapText="1"/>
    </xf>
    <xf numFmtId="165" fontId="23" fillId="0" borderId="15" xfId="42" applyNumberFormat="1" applyFont="1" applyBorder="1" applyAlignment="1">
      <alignment horizontal="center" vertical="center"/>
    </xf>
    <xf numFmtId="165" fontId="23" fillId="0" borderId="16" xfId="45" applyNumberFormat="1" applyFont="1" applyBorder="1" applyAlignment="1">
      <alignment horizontal="center" vertical="center"/>
    </xf>
    <xf numFmtId="165" fontId="23" fillId="0" borderId="15" xfId="45" applyNumberFormat="1" applyFont="1" applyBorder="1" applyAlignment="1">
      <alignment horizontal="center" vertical="center"/>
    </xf>
    <xf numFmtId="168" fontId="23" fillId="0" borderId="16" xfId="42" applyNumberFormat="1" applyFont="1" applyBorder="1" applyAlignment="1">
      <alignment horizontal="center" vertical="center"/>
    </xf>
    <xf numFmtId="168" fontId="23" fillId="0" borderId="15" xfId="42" applyNumberFormat="1" applyFont="1" applyBorder="1" applyAlignment="1">
      <alignment horizontal="center" vertical="center"/>
    </xf>
    <xf numFmtId="170" fontId="23" fillId="0" borderId="16" xfId="46" applyFont="1" applyBorder="1" applyAlignment="1">
      <alignment horizontal="center" vertical="center"/>
    </xf>
    <xf numFmtId="170" fontId="23" fillId="0" borderId="15" xfId="46" applyFont="1" applyBorder="1" applyAlignment="1">
      <alignment horizontal="center" vertical="center"/>
    </xf>
    <xf numFmtId="164" fontId="23" fillId="0" borderId="17" xfId="42" applyFont="1" applyBorder="1" applyAlignment="1">
      <alignment vertical="center" wrapText="1"/>
    </xf>
    <xf numFmtId="164" fontId="23" fillId="0" borderId="0" xfId="42" applyFont="1" applyBorder="1"/>
    <xf numFmtId="164" fontId="23" fillId="36" borderId="0" xfId="42" applyFont="1" applyFill="1" applyBorder="1" applyAlignment="1">
      <alignment horizontal="center" vertical="center"/>
    </xf>
    <xf numFmtId="164" fontId="23" fillId="0" borderId="0" xfId="42" applyFont="1"/>
    <xf numFmtId="165" fontId="23" fillId="0" borderId="17" xfId="42" applyNumberFormat="1" applyFont="1" applyBorder="1" applyAlignment="1">
      <alignment horizontal="center" vertical="center"/>
    </xf>
    <xf numFmtId="165" fontId="23" fillId="0" borderId="18" xfId="45" applyNumberFormat="1" applyFont="1" applyBorder="1" applyAlignment="1">
      <alignment horizontal="center" vertical="center"/>
    </xf>
    <xf numFmtId="165" fontId="23" fillId="0" borderId="17" xfId="45" applyNumberFormat="1" applyFont="1" applyBorder="1" applyAlignment="1">
      <alignment horizontal="center" vertical="center"/>
    </xf>
    <xf numFmtId="168" fontId="23" fillId="0" borderId="18" xfId="42" applyNumberFormat="1" applyFont="1" applyBorder="1" applyAlignment="1">
      <alignment horizontal="center" vertical="center"/>
    </xf>
    <xf numFmtId="168" fontId="23" fillId="0" borderId="17" xfId="42" applyNumberFormat="1" applyFont="1" applyBorder="1" applyAlignment="1">
      <alignment horizontal="center" vertical="center"/>
    </xf>
    <xf numFmtId="170" fontId="23" fillId="0" borderId="18" xfId="46" applyFont="1" applyBorder="1" applyAlignment="1">
      <alignment horizontal="center" vertical="center"/>
    </xf>
    <xf numFmtId="169" fontId="23" fillId="36" borderId="12" xfId="48" applyNumberFormat="1" applyFont="1" applyFill="1" applyBorder="1" applyAlignment="1">
      <alignment horizontal="center" vertical="center"/>
    </xf>
    <xf numFmtId="164" fontId="23" fillId="36" borderId="15" xfId="42" applyFont="1" applyFill="1" applyBorder="1" applyAlignment="1">
      <alignment vertical="center"/>
    </xf>
    <xf numFmtId="169" fontId="23" fillId="36" borderId="16" xfId="48" applyNumberFormat="1" applyFont="1" applyFill="1" applyBorder="1" applyAlignment="1">
      <alignment horizontal="center" vertical="center"/>
    </xf>
    <xf numFmtId="164" fontId="23" fillId="0" borderId="15" xfId="42" applyFont="1" applyBorder="1" applyAlignment="1">
      <alignment vertical="center"/>
    </xf>
    <xf numFmtId="169" fontId="23" fillId="0" borderId="16" xfId="48" applyNumberFormat="1" applyFont="1" applyBorder="1" applyAlignment="1">
      <alignment horizontal="center" vertical="center"/>
    </xf>
    <xf numFmtId="164" fontId="23" fillId="0" borderId="17" xfId="42" applyFont="1" applyBorder="1" applyAlignment="1">
      <alignment vertical="center"/>
    </xf>
    <xf numFmtId="169" fontId="23" fillId="0" borderId="18" xfId="48" applyNumberFormat="1" applyFont="1" applyBorder="1" applyAlignment="1">
      <alignment horizontal="center" vertical="center"/>
    </xf>
    <xf numFmtId="170" fontId="23" fillId="0" borderId="17" xfId="46" applyFont="1" applyBorder="1" applyAlignment="1">
      <alignment horizontal="center" vertical="center"/>
    </xf>
    <xf numFmtId="164" fontId="23" fillId="0" borderId="19" xfId="42" applyFont="1" applyBorder="1" applyAlignment="1">
      <alignment vertical="center"/>
    </xf>
    <xf numFmtId="165" fontId="23" fillId="0" borderId="19" xfId="42" applyNumberFormat="1" applyFont="1" applyBorder="1" applyAlignment="1">
      <alignment horizontal="center" vertical="center"/>
    </xf>
    <xf numFmtId="168" fontId="23" fillId="0" borderId="20" xfId="42" applyNumberFormat="1" applyFont="1" applyBorder="1" applyAlignment="1">
      <alignment horizontal="center" vertical="center"/>
    </xf>
    <xf numFmtId="168" fontId="23" fillId="0" borderId="19" xfId="42" applyNumberFormat="1" applyFont="1" applyBorder="1" applyAlignment="1">
      <alignment horizontal="center" vertical="center"/>
    </xf>
    <xf numFmtId="169" fontId="23" fillId="0" borderId="20" xfId="48" applyNumberFormat="1" applyFont="1" applyBorder="1" applyAlignment="1">
      <alignment horizontal="center" vertical="center"/>
    </xf>
    <xf numFmtId="170" fontId="23" fillId="0" borderId="20" xfId="46" applyFont="1" applyBorder="1" applyAlignment="1">
      <alignment horizontal="center" vertical="center"/>
    </xf>
    <xf numFmtId="170" fontId="23" fillId="0" borderId="19" xfId="46" applyFont="1" applyBorder="1" applyAlignment="1">
      <alignment horizontal="center" vertical="center"/>
    </xf>
    <xf numFmtId="164" fontId="20" fillId="0" borderId="0" xfId="42" applyFont="1" applyBorder="1"/>
    <xf numFmtId="164" fontId="23" fillId="0" borderId="19" xfId="42" applyFont="1" applyBorder="1" applyAlignment="1">
      <alignment vertical="center" wrapText="1"/>
    </xf>
    <xf numFmtId="164" fontId="23" fillId="0" borderId="0" xfId="42" applyFont="1" applyBorder="1" applyAlignment="1">
      <alignment vertical="center" wrapText="1"/>
    </xf>
    <xf numFmtId="0" fontId="1" fillId="0" borderId="0" xfId="49"/>
    <xf numFmtId="164" fontId="20" fillId="0" borderId="13" xfId="42" applyFont="1" applyBorder="1"/>
    <xf numFmtId="164" fontId="20" fillId="0" borderId="0" xfId="42" applyFont="1" applyBorder="1" applyAlignment="1">
      <alignment vertical="center"/>
    </xf>
    <xf numFmtId="170" fontId="20" fillId="0" borderId="0" xfId="46" applyFont="1" applyBorder="1" applyAlignment="1">
      <alignment vertical="center"/>
    </xf>
    <xf numFmtId="9" fontId="20" fillId="0" borderId="13" xfId="50" applyFont="1" applyBorder="1" applyAlignment="1">
      <alignment vertical="center"/>
    </xf>
    <xf numFmtId="164" fontId="21" fillId="34" borderId="13" xfId="44" applyFont="1" applyBorder="1" applyAlignment="1">
      <alignment horizontal="left" vertical="center" wrapText="1"/>
    </xf>
    <xf numFmtId="164" fontId="21" fillId="34" borderId="0" xfId="44" applyFont="1" applyBorder="1" applyAlignment="1">
      <alignment horizontal="centerContinuous" vertical="center" wrapText="1"/>
    </xf>
    <xf numFmtId="0" fontId="0" fillId="0" borderId="0" xfId="0"/>
    <xf numFmtId="0" fontId="0" fillId="0" borderId="0" xfId="0" applyFill="1" applyBorder="1" applyAlignment="1"/>
    <xf numFmtId="0" fontId="0" fillId="0" borderId="21" xfId="0" applyFill="1" applyBorder="1" applyAlignment="1"/>
    <xf numFmtId="0" fontId="27" fillId="0" borderId="22" xfId="0" applyFont="1" applyFill="1" applyBorder="1" applyAlignment="1">
      <alignment horizontal="center"/>
    </xf>
    <xf numFmtId="0" fontId="27" fillId="0" borderId="22" xfId="0" applyFont="1" applyFill="1" applyBorder="1" applyAlignment="1">
      <alignment horizontal="centerContinuous"/>
    </xf>
    <xf numFmtId="171" fontId="0" fillId="0" borderId="0" xfId="0" applyNumberFormat="1" applyFill="1" applyBorder="1" applyAlignment="1"/>
    <xf numFmtId="0" fontId="28" fillId="0" borderId="0" xfId="0" applyFont="1"/>
    <xf numFmtId="0" fontId="0" fillId="0" borderId="23" xfId="0" applyBorder="1" applyAlignment="1">
      <alignment wrapText="1"/>
    </xf>
    <xf numFmtId="0" fontId="0" fillId="0" borderId="23" xfId="0" applyFill="1" applyBorder="1" applyAlignment="1">
      <alignment wrapText="1"/>
    </xf>
    <xf numFmtId="170" fontId="0" fillId="0" borderId="0" xfId="46" applyFont="1"/>
    <xf numFmtId="0" fontId="0" fillId="38" borderId="0" xfId="0" applyFill="1" applyBorder="1"/>
    <xf numFmtId="164" fontId="0" fillId="0" borderId="0" xfId="0" applyNumberFormat="1"/>
    <xf numFmtId="9" fontId="20" fillId="0" borderId="0" xfId="50" applyFont="1" applyBorder="1" applyAlignment="1">
      <alignment vertical="center"/>
    </xf>
    <xf numFmtId="172" fontId="0" fillId="0" borderId="0" xfId="0" applyNumberFormat="1"/>
    <xf numFmtId="0" fontId="0" fillId="38" borderId="0" xfId="0" applyFill="1" applyBorder="1" applyAlignment="1"/>
    <xf numFmtId="0" fontId="19" fillId="0" borderId="23" xfId="0" applyFont="1" applyFill="1" applyBorder="1" applyAlignment="1">
      <alignment wrapText="1"/>
    </xf>
    <xf numFmtId="0" fontId="0" fillId="35" borderId="0" xfId="0" applyFill="1"/>
    <xf numFmtId="0" fontId="20" fillId="0" borderId="13" xfId="46" applyNumberFormat="1" applyFont="1" applyBorder="1" applyAlignment="1">
      <alignment vertical="center"/>
    </xf>
    <xf numFmtId="173" fontId="29" fillId="0" borderId="0" xfId="0" applyNumberFormat="1" applyFont="1" applyAlignment="1"/>
    <xf numFmtId="173" fontId="30" fillId="0" borderId="0" xfId="0" applyNumberFormat="1" applyFont="1" applyAlignment="1"/>
    <xf numFmtId="173" fontId="31" fillId="0" borderId="0" xfId="0" applyNumberFormat="1" applyFont="1" applyAlignment="1"/>
    <xf numFmtId="173" fontId="32" fillId="0" borderId="0" xfId="0" applyNumberFormat="1" applyFont="1" applyAlignment="1"/>
    <xf numFmtId="173" fontId="33" fillId="0" borderId="0" xfId="0" applyNumberFormat="1" applyFont="1" applyAlignment="1"/>
    <xf numFmtId="173" fontId="29" fillId="0" borderId="24" xfId="0" applyNumberFormat="1" applyFont="1" applyBorder="1" applyAlignment="1"/>
    <xf numFmtId="173" fontId="34" fillId="0" borderId="24" xfId="0" applyNumberFormat="1" applyFont="1" applyBorder="1" applyAlignment="1"/>
    <xf numFmtId="173" fontId="34" fillId="0" borderId="24" xfId="0" applyNumberFormat="1" applyFont="1" applyBorder="1" applyAlignment="1">
      <alignment horizontal="right"/>
    </xf>
    <xf numFmtId="174" fontId="29" fillId="0" borderId="0" xfId="0" applyNumberFormat="1" applyFont="1" applyAlignment="1"/>
    <xf numFmtId="1" fontId="29" fillId="0" borderId="0" xfId="0" applyNumberFormat="1" applyFont="1" applyAlignment="1"/>
    <xf numFmtId="173" fontId="34" fillId="0" borderId="24" xfId="0" applyNumberFormat="1" applyFont="1" applyBorder="1" applyAlignment="1">
      <alignment horizontal="center"/>
    </xf>
    <xf numFmtId="174" fontId="29" fillId="0" borderId="0" xfId="0" applyNumberFormat="1" applyFont="1" applyAlignment="1">
      <alignment horizontal="center"/>
    </xf>
    <xf numFmtId="1" fontId="29" fillId="0" borderId="0" xfId="0" applyNumberFormat="1" applyFont="1" applyAlignment="1">
      <alignment horizontal="center"/>
    </xf>
    <xf numFmtId="173" fontId="29" fillId="0" borderId="0" xfId="0" applyNumberFormat="1" applyFont="1" applyAlignment="1">
      <alignment horizontal="center"/>
    </xf>
    <xf numFmtId="169" fontId="29" fillId="0" borderId="0" xfId="0" applyNumberFormat="1" applyFont="1" applyAlignment="1">
      <alignment horizontal="center"/>
    </xf>
    <xf numFmtId="173" fontId="34" fillId="0" borderId="24" xfId="0" applyNumberFormat="1" applyFont="1" applyBorder="1" applyAlignment="1">
      <alignment horizontal="left"/>
    </xf>
    <xf numFmtId="173" fontId="29" fillId="0" borderId="0" xfId="0" applyNumberFormat="1" applyFont="1" applyAlignment="1">
      <alignment horizontal="left"/>
    </xf>
    <xf numFmtId="174" fontId="29" fillId="0" borderId="0" xfId="0" applyNumberFormat="1" applyFont="1" applyAlignment="1">
      <alignment horizontal="right"/>
    </xf>
    <xf numFmtId="175" fontId="29" fillId="0" borderId="0" xfId="0" applyNumberFormat="1" applyFont="1" applyAlignment="1"/>
    <xf numFmtId="173" fontId="29" fillId="0" borderId="24" xfId="0" applyNumberFormat="1" applyFont="1" applyBorder="1" applyAlignment="1">
      <alignment horizontal="center"/>
    </xf>
    <xf numFmtId="173" fontId="35" fillId="0" borderId="0" xfId="0" applyNumberFormat="1" applyFont="1" applyAlignment="1"/>
    <xf numFmtId="173" fontId="36" fillId="0" borderId="0" xfId="0" applyNumberFormat="1" applyFont="1" applyAlignment="1">
      <alignment wrapText="1"/>
    </xf>
    <xf numFmtId="173" fontId="29" fillId="0" borderId="0" xfId="0" applyNumberFormat="1" applyFont="1" applyAlignment="1">
      <alignment horizontal="right"/>
    </xf>
    <xf numFmtId="173" fontId="39" fillId="0" borderId="0" xfId="0" applyNumberFormat="1" applyFont="1" applyAlignment="1"/>
    <xf numFmtId="173" fontId="40" fillId="0" borderId="0" xfId="0" applyNumberFormat="1" applyFont="1" applyAlignment="1"/>
    <xf numFmtId="173" fontId="36" fillId="0" borderId="0" xfId="0" applyNumberFormat="1" applyFont="1" applyAlignment="1"/>
    <xf numFmtId="1" fontId="34" fillId="0" borderId="24" xfId="0" applyNumberFormat="1" applyFont="1" applyBorder="1" applyAlignment="1">
      <alignment horizontal="right"/>
    </xf>
    <xf numFmtId="173" fontId="38" fillId="0" borderId="0" xfId="0" applyNumberFormat="1" applyFont="1" applyAlignment="1"/>
    <xf numFmtId="174" fontId="38" fillId="0" borderId="0" xfId="0" applyNumberFormat="1" applyFont="1" applyAlignment="1"/>
    <xf numFmtId="173" fontId="29" fillId="0" borderId="24" xfId="0" applyNumberFormat="1" applyFont="1" applyBorder="1" applyAlignment="1">
      <alignment horizontal="right"/>
    </xf>
    <xf numFmtId="173" fontId="41" fillId="0" borderId="0" xfId="0" applyNumberFormat="1" applyFont="1" applyAlignment="1"/>
    <xf numFmtId="173" fontId="29" fillId="0" borderId="25" xfId="0" applyNumberFormat="1" applyFont="1" applyBorder="1" applyAlignment="1"/>
    <xf numFmtId="0" fontId="29" fillId="0" borderId="0" xfId="0" applyNumberFormat="1" applyFont="1" applyAlignment="1"/>
    <xf numFmtId="173" fontId="33" fillId="0" borderId="0" xfId="0" applyNumberFormat="1" applyFont="1" applyAlignment="1">
      <alignment horizontal="left"/>
    </xf>
    <xf numFmtId="175" fontId="29" fillId="0" borderId="0" xfId="0" applyNumberFormat="1" applyFont="1" applyAlignment="1">
      <alignment horizontal="center"/>
    </xf>
    <xf numFmtId="175" fontId="29" fillId="0" borderId="0" xfId="0" applyNumberFormat="1" applyFont="1" applyAlignment="1">
      <alignment horizontal="right"/>
    </xf>
    <xf numFmtId="176" fontId="29" fillId="0" borderId="0" xfId="0" applyNumberFormat="1" applyFont="1" applyAlignment="1">
      <alignment horizontal="right"/>
    </xf>
    <xf numFmtId="173" fontId="33" fillId="0" borderId="0" xfId="0" applyNumberFormat="1" applyFont="1" applyAlignment="1">
      <alignment horizontal="right"/>
    </xf>
    <xf numFmtId="173" fontId="29" fillId="39" borderId="0" xfId="0" applyNumberFormat="1" applyFont="1" applyFill="1" applyAlignment="1">
      <alignment horizontal="right"/>
    </xf>
    <xf numFmtId="173" fontId="30" fillId="39" borderId="0" xfId="0" applyNumberFormat="1" applyFont="1" applyFill="1" applyAlignment="1">
      <alignment horizontal="left"/>
    </xf>
    <xf numFmtId="173" fontId="30" fillId="0" borderId="0" xfId="0" applyNumberFormat="1" applyFont="1" applyAlignment="1">
      <alignment horizontal="right"/>
    </xf>
    <xf numFmtId="173" fontId="31" fillId="0" borderId="0" xfId="0" applyNumberFormat="1" applyFont="1" applyAlignment="1">
      <alignment horizontal="right"/>
    </xf>
    <xf numFmtId="177" fontId="29" fillId="0" borderId="0" xfId="0" applyNumberFormat="1" applyFont="1" applyAlignment="1">
      <alignment horizontal="right"/>
    </xf>
    <xf numFmtId="1" fontId="29" fillId="0" borderId="0" xfId="0" applyNumberFormat="1" applyFont="1" applyAlignment="1">
      <alignment horizontal="right"/>
    </xf>
    <xf numFmtId="169" fontId="29" fillId="0" borderId="0" xfId="0" applyNumberFormat="1" applyFont="1" applyAlignment="1">
      <alignment horizontal="right"/>
    </xf>
    <xf numFmtId="173" fontId="29" fillId="0" borderId="0" xfId="0" applyNumberFormat="1" applyFont="1" applyFill="1" applyAlignment="1">
      <alignment horizontal="right"/>
    </xf>
    <xf numFmtId="173" fontId="38" fillId="0" borderId="0" xfId="0" applyNumberFormat="1" applyFont="1" applyFill="1" applyAlignment="1">
      <alignment horizontal="right"/>
    </xf>
    <xf numFmtId="178" fontId="29" fillId="0" borderId="0" xfId="0" applyNumberFormat="1" applyFont="1" applyAlignment="1">
      <alignment horizontal="center"/>
    </xf>
    <xf numFmtId="1" fontId="29" fillId="0" borderId="0" xfId="0" applyNumberFormat="1" applyFont="1" applyFill="1" applyAlignment="1">
      <alignment horizontal="right"/>
    </xf>
    <xf numFmtId="175" fontId="29" fillId="0" borderId="0" xfId="0" applyNumberFormat="1" applyFont="1" applyFill="1" applyAlignment="1">
      <alignment horizontal="right"/>
    </xf>
    <xf numFmtId="169" fontId="29" fillId="0" borderId="0" xfId="0" applyNumberFormat="1" applyFont="1" applyFill="1" applyAlignment="1">
      <alignment horizontal="right"/>
    </xf>
    <xf numFmtId="174" fontId="29" fillId="0" borderId="0" xfId="0" applyNumberFormat="1" applyFont="1" applyFill="1" applyAlignment="1">
      <alignment horizontal="right"/>
    </xf>
    <xf numFmtId="174" fontId="38" fillId="0" borderId="0" xfId="0" applyNumberFormat="1" applyFont="1" applyFill="1" applyAlignment="1">
      <alignment horizontal="right"/>
    </xf>
    <xf numFmtId="177" fontId="29" fillId="0" borderId="0" xfId="0" applyNumberFormat="1" applyFont="1" applyFill="1" applyAlignment="1">
      <alignment horizontal="right"/>
    </xf>
    <xf numFmtId="0" fontId="42" fillId="0" borderId="0" xfId="0" applyFont="1" applyFill="1" applyBorder="1"/>
    <xf numFmtId="179" fontId="20" fillId="0" borderId="0" xfId="42" applyNumberFormat="1" applyFont="1" applyBorder="1" applyAlignment="1">
      <alignment vertical="center"/>
    </xf>
    <xf numFmtId="180" fontId="20" fillId="0" borderId="13" xfId="50" applyNumberFormat="1" applyFont="1" applyBorder="1" applyAlignment="1">
      <alignment vertical="center"/>
    </xf>
    <xf numFmtId="181" fontId="21" fillId="34" borderId="13" xfId="44" applyNumberFormat="1" applyFont="1" applyBorder="1" applyAlignment="1">
      <alignment horizontal="centerContinuous" vertical="center" wrapText="1"/>
    </xf>
    <xf numFmtId="181" fontId="20" fillId="0" borderId="13" xfId="42" applyNumberFormat="1" applyFont="1" applyBorder="1" applyAlignment="1">
      <alignment vertical="center"/>
    </xf>
    <xf numFmtId="181" fontId="19" fillId="0" borderId="0" xfId="0" applyNumberFormat="1" applyFont="1"/>
    <xf numFmtId="182" fontId="21" fillId="34" borderId="13" xfId="44" applyNumberFormat="1" applyFont="1" applyBorder="1" applyAlignment="1">
      <alignment horizontal="centerContinuous" vertical="center" wrapText="1"/>
    </xf>
    <xf numFmtId="182" fontId="20" fillId="0" borderId="13" xfId="50" applyNumberFormat="1" applyFont="1" applyBorder="1" applyAlignment="1">
      <alignment vertical="center"/>
    </xf>
    <xf numFmtId="182" fontId="19" fillId="0" borderId="0" xfId="0" applyNumberFormat="1" applyFont="1"/>
    <xf numFmtId="180" fontId="21" fillId="34" borderId="13" xfId="50" applyNumberFormat="1" applyFont="1" applyFill="1" applyBorder="1" applyAlignment="1">
      <alignment horizontal="centerContinuous" vertical="center" wrapText="1"/>
    </xf>
    <xf numFmtId="180" fontId="20" fillId="0" borderId="0" xfId="50" applyNumberFormat="1" applyFont="1" applyBorder="1"/>
    <xf numFmtId="180" fontId="20" fillId="0" borderId="0" xfId="50" applyNumberFormat="1" applyFont="1"/>
    <xf numFmtId="180" fontId="19" fillId="0" borderId="0" xfId="50" applyNumberFormat="1" applyFont="1"/>
    <xf numFmtId="183" fontId="21" fillId="34" borderId="13" xfId="50" applyNumberFormat="1" applyFont="1" applyFill="1" applyBorder="1" applyAlignment="1">
      <alignment horizontal="centerContinuous" vertical="center" wrapText="1"/>
    </xf>
    <xf numFmtId="183" fontId="20" fillId="0" borderId="13" xfId="50" applyNumberFormat="1" applyFont="1" applyBorder="1" applyAlignment="1">
      <alignment vertical="center"/>
    </xf>
    <xf numFmtId="183" fontId="19" fillId="0" borderId="0" xfId="50" applyNumberFormat="1" applyFont="1"/>
  </cellXfs>
  <cellStyles count="51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5" xr:uid="{00000000-0005-0000-0000-00001B000000}"/>
    <cellStyle name="Date" xfId="43" xr:uid="{00000000-0005-0000-0000-00001C000000}"/>
    <cellStyle name="Explanatory Text" xfId="16" builtinId="53" customBuiltin="1"/>
    <cellStyle name="Good" xfId="6" builtinId="26" customBuiltin="1"/>
    <cellStyle name="Heading 1" xfId="2" builtinId="16" customBuiltin="1"/>
    <cellStyle name="Heading 1 2" xfId="47" xr:uid="{00000000-0005-0000-0000-000020000000}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8000000}"/>
    <cellStyle name="Normal 5" xfId="49" xr:uid="{00000000-0005-0000-0000-000029000000}"/>
    <cellStyle name="Note" xfId="15" builtinId="10" customBuiltin="1"/>
    <cellStyle name="Note 2" xfId="44" xr:uid="{00000000-0005-0000-0000-00002B000000}"/>
    <cellStyle name="Output" xfId="10" builtinId="21" customBuiltin="1"/>
    <cellStyle name="Percent" xfId="50" builtinId="5"/>
    <cellStyle name="Percent 2" xfId="46" xr:uid="{00000000-0005-0000-0000-00002E000000}"/>
    <cellStyle name="Percent 2 2" xfId="48" xr:uid="{00000000-0005-0000-0000-00002F000000}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'Model 8'!$AA$2</c:f>
          <c:strCache>
            <c:ptCount val="1"/>
            <c:pt idx="0">
              <c:v>Forecasts and 95.0% confidence limits for means and forecasts
Model 8 for EV_Rev    (2 variables, n=136)</c:v>
            </c:pt>
          </c:strCache>
        </c:strRef>
      </c:tx>
      <c:overlay val="0"/>
      <c:txPr>
        <a:bodyPr/>
        <a:lstStyle/>
        <a:p>
          <a:pPr>
            <a:defRPr sz="1000"/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Forecast</c:v>
          </c:tx>
          <c:spPr>
            <a:ln w="25400">
              <a:noFill/>
            </a:ln>
          </c:spPr>
          <c:marker>
            <c:symbol val="circle"/>
            <c:size val="7"/>
            <c:spPr>
              <a:solidFill>
                <a:srgbClr val="FF9999"/>
              </a:solidFill>
              <a:ln w="12700">
                <a:solidFill>
                  <a:srgbClr val="FF0000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'Model 8'!$CG$43</c:f>
              </c:numRef>
            </c:plus>
            <c:minus>
              <c:numRef>
                <c:f>'Model 8'!$CG$43</c:f>
              </c:numRef>
            </c:minus>
          </c:errBars>
          <c:val>
            <c:numRef>
              <c:f>'Model 8'!$B$43</c:f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 xmlns:c16="http://schemas.microsoft.com/office/drawing/2014/chart">
                      <c:ext uri="{02D57815-91ED-43cb-92C2-25804820EDAC}">
                        <c15:formulaRef>
                          <c15:sqref>'Model 8'!$A$43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9030-4ABD-BC24-6E73FE2BC9F7}"/>
            </c:ext>
          </c:extLst>
        </c:ser>
        <c:ser>
          <c:idx val="1"/>
          <c:order val="1"/>
          <c:tx>
            <c:strRef>
              <c:f>'Model 8'!$H$42</c:f>
              <c:strCache>
                <c:ptCount val="1"/>
                <c:pt idx="0">
                  <c:v>Upper95%M</c:v>
                </c:pt>
              </c:strCache>
            </c:strRef>
          </c:tx>
          <c:spPr>
            <a:ln w="25400">
              <a:noFill/>
            </a:ln>
          </c:spPr>
          <c:marker>
            <c:symbol val="dash"/>
            <c:size val="7"/>
            <c:spPr>
              <a:noFill/>
              <a:ln w="12700">
                <a:solidFill>
                  <a:srgbClr val="000000"/>
                </a:solidFill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ED7D31"/>
                    </a:solidFill>
                  </a14:hiddenFill>
                </a:ext>
              </a:extLst>
            </c:spPr>
          </c:marker>
          <c:val>
            <c:numRef>
              <c:f>'Model 8'!$H$43</c:f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 xmlns:c16="http://schemas.microsoft.com/office/drawing/2014/chart">
                      <c:ext uri="{02D57815-91ED-43cb-92C2-25804820EDAC}">
                        <c15:formulaRef>
                          <c15:sqref>'Model 8'!$A$43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9030-4ABD-BC24-6E73FE2BC9F7}"/>
            </c:ext>
          </c:extLst>
        </c:ser>
        <c:ser>
          <c:idx val="2"/>
          <c:order val="2"/>
          <c:tx>
            <c:strRef>
              <c:f>'Model 8'!$G$42</c:f>
              <c:strCache>
                <c:ptCount val="1"/>
                <c:pt idx="0">
                  <c:v>Lower95%M</c:v>
                </c:pt>
              </c:strCache>
            </c:strRef>
          </c:tx>
          <c:spPr>
            <a:ln w="25400">
              <a:noFill/>
            </a:ln>
          </c:spPr>
          <c:marker>
            <c:symbol val="dash"/>
            <c:size val="7"/>
            <c:spPr>
              <a:noFill/>
              <a:ln w="12700">
                <a:solidFill>
                  <a:srgbClr val="000000"/>
                </a:solidFill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A5A5A5"/>
                    </a:solidFill>
                  </a14:hiddenFill>
                </a:ext>
              </a:extLst>
            </c:spPr>
          </c:marker>
          <c:val>
            <c:numRef>
              <c:f>'Model 8'!$G$43</c:f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 xmlns:c16="http://schemas.microsoft.com/office/drawing/2014/chart">
                      <c:ext uri="{02D57815-91ED-43cb-92C2-25804820EDAC}">
                        <c15:formulaRef>
                          <c15:sqref>'Model 8'!$A$43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9030-4ABD-BC24-6E73FE2BC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995024"/>
        <c:axId val="787995808"/>
      </c:lineChart>
      <c:catAx>
        <c:axId val="787995024"/>
        <c:scaling>
          <c:orientation val="minMax"/>
        </c:scaling>
        <c:delete val="0"/>
        <c:axPos val="b"/>
        <c:numFmt formatCode="#,##0.000" sourceLinked="1"/>
        <c:majorTickMark val="out"/>
        <c:minorTickMark val="none"/>
        <c:tickLblPos val="nextTo"/>
        <c:crossAx val="787995808"/>
        <c:crossesAt val="0"/>
        <c:auto val="1"/>
        <c:lblAlgn val="ctr"/>
        <c:lblOffset val="100"/>
        <c:noMultiLvlLbl val="0"/>
      </c:catAx>
      <c:valAx>
        <c:axId val="78799580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crossAx val="787995024"/>
        <c:crosses val="autoZero"/>
        <c:crossBetween val="between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3F3"/>
    </a:solidFill>
    <a:ln w="6350">
      <a:solidFill>
        <a:srgbClr val="808080"/>
      </a:solidFill>
      <a:prstDash val="solid"/>
    </a:ln>
  </c:spPr>
  <c:txPr>
    <a:bodyPr/>
    <a:lstStyle/>
    <a:p>
      <a:pPr>
        <a:defRPr sz="1000"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'Model 8'!$AA$3</c:f>
          <c:strCache>
            <c:ptCount val="1"/>
            <c:pt idx="0">
              <c:v>Actual and Predicted -vs- Observation #
Model 8 for EV_Rev    (2 variables, n=136)</c:v>
            </c:pt>
          </c:strCache>
        </c:strRef>
      </c:tx>
      <c:overlay val="0"/>
      <c:txPr>
        <a:bodyPr/>
        <a:lstStyle/>
        <a:p>
          <a:pPr>
            <a:defRPr sz="1000"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3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  <c:pt idx="31">
                <c:v>32</c:v>
              </c:pt>
              <c:pt idx="32">
                <c:v>33</c:v>
              </c:pt>
              <c:pt idx="33">
                <c:v>34</c:v>
              </c:pt>
              <c:pt idx="34">
                <c:v>35</c:v>
              </c:pt>
              <c:pt idx="35">
                <c:v>36</c:v>
              </c:pt>
              <c:pt idx="36">
                <c:v>37</c:v>
              </c:pt>
              <c:pt idx="37">
                <c:v>38</c:v>
              </c:pt>
              <c:pt idx="38">
                <c:v>39</c:v>
              </c:pt>
              <c:pt idx="39">
                <c:v>40</c:v>
              </c:pt>
              <c:pt idx="40">
                <c:v>41</c:v>
              </c:pt>
              <c:pt idx="41">
                <c:v>42</c:v>
              </c:pt>
              <c:pt idx="42">
                <c:v>43</c:v>
              </c:pt>
              <c:pt idx="43">
                <c:v>44</c:v>
              </c:pt>
              <c:pt idx="44">
                <c:v>45</c:v>
              </c:pt>
              <c:pt idx="45">
                <c:v>46</c:v>
              </c:pt>
              <c:pt idx="46">
                <c:v>47</c:v>
              </c:pt>
              <c:pt idx="47">
                <c:v>48</c:v>
              </c:pt>
              <c:pt idx="48">
                <c:v>49</c:v>
              </c:pt>
              <c:pt idx="49">
                <c:v>50</c:v>
              </c:pt>
              <c:pt idx="50">
                <c:v>51</c:v>
              </c:pt>
              <c:pt idx="51">
                <c:v>52</c:v>
              </c:pt>
              <c:pt idx="52">
                <c:v>53</c:v>
              </c:pt>
              <c:pt idx="53">
                <c:v>54</c:v>
              </c:pt>
              <c:pt idx="54">
                <c:v>55</c:v>
              </c:pt>
              <c:pt idx="55">
                <c:v>56</c:v>
              </c:pt>
              <c:pt idx="56">
                <c:v>57</c:v>
              </c:pt>
              <c:pt idx="57">
                <c:v>58</c:v>
              </c:pt>
              <c:pt idx="58">
                <c:v>59</c:v>
              </c:pt>
              <c:pt idx="59">
                <c:v>60</c:v>
              </c:pt>
              <c:pt idx="60">
                <c:v>61</c:v>
              </c:pt>
              <c:pt idx="61">
                <c:v>62</c:v>
              </c:pt>
              <c:pt idx="62">
                <c:v>63</c:v>
              </c:pt>
              <c:pt idx="63">
                <c:v>64</c:v>
              </c:pt>
              <c:pt idx="64">
                <c:v>65</c:v>
              </c:pt>
              <c:pt idx="65">
                <c:v>66</c:v>
              </c:pt>
              <c:pt idx="66">
                <c:v>67</c:v>
              </c:pt>
              <c:pt idx="67">
                <c:v>68</c:v>
              </c:pt>
              <c:pt idx="68">
                <c:v>69</c:v>
              </c:pt>
              <c:pt idx="69">
                <c:v>70</c:v>
              </c:pt>
              <c:pt idx="70">
                <c:v>71</c:v>
              </c:pt>
              <c:pt idx="71">
                <c:v>72</c:v>
              </c:pt>
              <c:pt idx="72">
                <c:v>73</c:v>
              </c:pt>
              <c:pt idx="73">
                <c:v>74</c:v>
              </c:pt>
              <c:pt idx="74">
                <c:v>75</c:v>
              </c:pt>
              <c:pt idx="75">
                <c:v>76</c:v>
              </c:pt>
              <c:pt idx="76">
                <c:v>77</c:v>
              </c:pt>
              <c:pt idx="77">
                <c:v>78</c:v>
              </c:pt>
              <c:pt idx="78">
                <c:v>79</c:v>
              </c:pt>
              <c:pt idx="79">
                <c:v>80</c:v>
              </c:pt>
              <c:pt idx="80">
                <c:v>81</c:v>
              </c:pt>
              <c:pt idx="81">
                <c:v>82</c:v>
              </c:pt>
              <c:pt idx="82">
                <c:v>83</c:v>
              </c:pt>
              <c:pt idx="83">
                <c:v>84</c:v>
              </c:pt>
              <c:pt idx="84">
                <c:v>85</c:v>
              </c:pt>
              <c:pt idx="85">
                <c:v>86</c:v>
              </c:pt>
              <c:pt idx="86">
                <c:v>87</c:v>
              </c:pt>
              <c:pt idx="87">
                <c:v>88</c:v>
              </c:pt>
              <c:pt idx="88">
                <c:v>89</c:v>
              </c:pt>
              <c:pt idx="89">
                <c:v>90</c:v>
              </c:pt>
              <c:pt idx="90">
                <c:v>91</c:v>
              </c:pt>
              <c:pt idx="91">
                <c:v>92</c:v>
              </c:pt>
              <c:pt idx="92">
                <c:v>93</c:v>
              </c:pt>
              <c:pt idx="93">
                <c:v>94</c:v>
              </c:pt>
              <c:pt idx="94">
                <c:v>95</c:v>
              </c:pt>
              <c:pt idx="95">
                <c:v>96</c:v>
              </c:pt>
              <c:pt idx="96">
                <c:v>97</c:v>
              </c:pt>
              <c:pt idx="97">
                <c:v>98</c:v>
              </c:pt>
              <c:pt idx="98">
                <c:v>99</c:v>
              </c:pt>
              <c:pt idx="99">
                <c:v>100</c:v>
              </c:pt>
              <c:pt idx="100">
                <c:v>101</c:v>
              </c:pt>
              <c:pt idx="101">
                <c:v>102</c:v>
              </c:pt>
              <c:pt idx="102">
                <c:v>103</c:v>
              </c:pt>
              <c:pt idx="103">
                <c:v>104</c:v>
              </c:pt>
              <c:pt idx="104">
                <c:v>105</c:v>
              </c:pt>
              <c:pt idx="105">
                <c:v>106</c:v>
              </c:pt>
              <c:pt idx="106">
                <c:v>107</c:v>
              </c:pt>
              <c:pt idx="107">
                <c:v>108</c:v>
              </c:pt>
              <c:pt idx="108">
                <c:v>109</c:v>
              </c:pt>
              <c:pt idx="109">
                <c:v>110</c:v>
              </c:pt>
              <c:pt idx="110">
                <c:v>111</c:v>
              </c:pt>
              <c:pt idx="111">
                <c:v>112</c:v>
              </c:pt>
              <c:pt idx="112">
                <c:v>113</c:v>
              </c:pt>
              <c:pt idx="113">
                <c:v>114</c:v>
              </c:pt>
              <c:pt idx="114">
                <c:v>115</c:v>
              </c:pt>
              <c:pt idx="115">
                <c:v>116</c:v>
              </c:pt>
              <c:pt idx="116">
                <c:v>117</c:v>
              </c:pt>
              <c:pt idx="117">
                <c:v>118</c:v>
              </c:pt>
              <c:pt idx="118">
                <c:v>119</c:v>
              </c:pt>
              <c:pt idx="119">
                <c:v>120</c:v>
              </c:pt>
              <c:pt idx="120">
                <c:v>121</c:v>
              </c:pt>
              <c:pt idx="121">
                <c:v>122</c:v>
              </c:pt>
              <c:pt idx="122">
                <c:v>123</c:v>
              </c:pt>
              <c:pt idx="123">
                <c:v>124</c:v>
              </c:pt>
              <c:pt idx="124">
                <c:v>125</c:v>
              </c:pt>
              <c:pt idx="125">
                <c:v>126</c:v>
              </c:pt>
              <c:pt idx="126">
                <c:v>127</c:v>
              </c:pt>
              <c:pt idx="127">
                <c:v>128</c:v>
              </c:pt>
              <c:pt idx="128">
                <c:v>129</c:v>
              </c:pt>
              <c:pt idx="129">
                <c:v>130</c:v>
              </c:pt>
              <c:pt idx="130">
                <c:v>131</c:v>
              </c:pt>
              <c:pt idx="131">
                <c:v>132</c:v>
              </c:pt>
              <c:pt idx="132">
                <c:v>133</c:v>
              </c:pt>
              <c:pt idx="133">
                <c:v>134</c:v>
              </c:pt>
              <c:pt idx="134">
                <c:v>135</c:v>
              </c:pt>
              <c:pt idx="135">
                <c:v>136</c:v>
              </c:pt>
            </c:numLit>
          </c:xVal>
          <c:yVal>
            <c:numLit>
              <c:formatCode>General</c:formatCode>
              <c:ptCount val="136"/>
              <c:pt idx="0">
                <c:v>6.6749513014078792</c:v>
              </c:pt>
              <c:pt idx="1">
                <c:v>4.0362890436273213</c:v>
              </c:pt>
              <c:pt idx="2">
                <c:v>1.2459494213459066</c:v>
              </c:pt>
              <c:pt idx="3">
                <c:v>2.1019087009803923</c:v>
              </c:pt>
              <c:pt idx="4">
                <c:v>3.3401406603773585</c:v>
              </c:pt>
              <c:pt idx="5">
                <c:v>11.381009183694736</c:v>
              </c:pt>
              <c:pt idx="6">
                <c:v>2.265671270718232</c:v>
              </c:pt>
              <c:pt idx="7">
                <c:v>5.0794251385061777</c:v>
              </c:pt>
              <c:pt idx="8">
                <c:v>1.1807002329403935</c:v>
              </c:pt>
              <c:pt idx="9">
                <c:v>5.8082102070701689</c:v>
              </c:pt>
              <c:pt idx="10">
                <c:v>10.536085746896847</c:v>
              </c:pt>
              <c:pt idx="11">
                <c:v>2.9120112013441615</c:v>
              </c:pt>
              <c:pt idx="12">
                <c:v>2.2066003330557868</c:v>
              </c:pt>
              <c:pt idx="13">
                <c:v>9.7853713869322334</c:v>
              </c:pt>
              <c:pt idx="14">
                <c:v>6.4028104385120033</c:v>
              </c:pt>
              <c:pt idx="15">
                <c:v>4.0798187607151597</c:v>
              </c:pt>
              <c:pt idx="16">
                <c:v>12.568502068130735</c:v>
              </c:pt>
              <c:pt idx="17">
                <c:v>3.4412682459309774</c:v>
              </c:pt>
              <c:pt idx="18">
                <c:v>12.266786806509231</c:v>
              </c:pt>
              <c:pt idx="19">
                <c:v>3.5067365269461073</c:v>
              </c:pt>
              <c:pt idx="20">
                <c:v>7.2610403592663362</c:v>
              </c:pt>
              <c:pt idx="21">
                <c:v>10.146867839840409</c:v>
              </c:pt>
              <c:pt idx="22">
                <c:v>8.9364435486722531</c:v>
              </c:pt>
              <c:pt idx="23">
                <c:v>5.3069674422560871</c:v>
              </c:pt>
              <c:pt idx="24">
                <c:v>4.0996019037452189</c:v>
              </c:pt>
              <c:pt idx="25">
                <c:v>4.1098323278361049</c:v>
              </c:pt>
              <c:pt idx="26">
                <c:v>8.7731952120848646</c:v>
              </c:pt>
              <c:pt idx="27">
                <c:v>6.5048979458190175</c:v>
              </c:pt>
              <c:pt idx="28">
                <c:v>3.8654935148642928</c:v>
              </c:pt>
              <c:pt idx="29">
                <c:v>4.1445323066153303</c:v>
              </c:pt>
              <c:pt idx="30">
                <c:v>5.8022321144674081</c:v>
              </c:pt>
              <c:pt idx="31">
                <c:v>3.750024913562092</c:v>
              </c:pt>
              <c:pt idx="32">
                <c:v>6.3740109429466525</c:v>
              </c:pt>
              <c:pt idx="33">
                <c:v>1.9981420626895856</c:v>
              </c:pt>
              <c:pt idx="34">
                <c:v>6.62695871340149</c:v>
              </c:pt>
              <c:pt idx="35">
                <c:v>4.8252930836079786</c:v>
              </c:pt>
              <c:pt idx="36">
                <c:v>3.3714653832491841</c:v>
              </c:pt>
              <c:pt idx="37">
                <c:v>2.955181786533017</c:v>
              </c:pt>
              <c:pt idx="38">
                <c:v>4.3292629004258751</c:v>
              </c:pt>
              <c:pt idx="39">
                <c:v>5.0900997981504945</c:v>
              </c:pt>
              <c:pt idx="40">
                <c:v>12.250370401026363</c:v>
              </c:pt>
              <c:pt idx="41">
                <c:v>11.103551898734178</c:v>
              </c:pt>
              <c:pt idx="42">
                <c:v>6.0755460940922488</c:v>
              </c:pt>
              <c:pt idx="43">
                <c:v>3.9222766122766122</c:v>
              </c:pt>
              <c:pt idx="44">
                <c:v>8.2728247227892098</c:v>
              </c:pt>
              <c:pt idx="45">
                <c:v>7.8129506260335466</c:v>
              </c:pt>
              <c:pt idx="46">
                <c:v>6.4523526539411495</c:v>
              </c:pt>
              <c:pt idx="47">
                <c:v>4.7929064546174907</c:v>
              </c:pt>
              <c:pt idx="48">
                <c:v>4.16037951302041</c:v>
              </c:pt>
              <c:pt idx="49">
                <c:v>2.9983473325766177</c:v>
              </c:pt>
              <c:pt idx="50">
                <c:v>4.7479818606825619</c:v>
              </c:pt>
              <c:pt idx="51">
                <c:v>8.9237196782026444</c:v>
              </c:pt>
              <c:pt idx="52">
                <c:v>4.7576498686410318</c:v>
              </c:pt>
              <c:pt idx="53">
                <c:v>3.7473726905173033</c:v>
              </c:pt>
              <c:pt idx="54">
                <c:v>7.7644892299367179</c:v>
              </c:pt>
              <c:pt idx="55">
                <c:v>3.1361184086605665</c:v>
              </c:pt>
              <c:pt idx="56">
                <c:v>6.4736606852984853</c:v>
              </c:pt>
              <c:pt idx="57">
                <c:v>1.9161039192701697</c:v>
              </c:pt>
              <c:pt idx="58">
                <c:v>2.0835744808456407</c:v>
              </c:pt>
              <c:pt idx="59">
                <c:v>8.5238847539015605</c:v>
              </c:pt>
              <c:pt idx="60">
                <c:v>3.6584260968073057</c:v>
              </c:pt>
              <c:pt idx="61">
                <c:v>8.490319800310715</c:v>
              </c:pt>
              <c:pt idx="62">
                <c:v>4.1780519729885413</c:v>
              </c:pt>
              <c:pt idx="63">
                <c:v>3.7828574125049155</c:v>
              </c:pt>
              <c:pt idx="64">
                <c:v>4.3721659914652227</c:v>
              </c:pt>
              <c:pt idx="65">
                <c:v>7.9097525042591084</c:v>
              </c:pt>
              <c:pt idx="66">
                <c:v>3.4114083075348165</c:v>
              </c:pt>
              <c:pt idx="67">
                <c:v>9.2100984931490704</c:v>
              </c:pt>
              <c:pt idx="68">
                <c:v>4.6914530971126585</c:v>
              </c:pt>
              <c:pt idx="69">
                <c:v>3.3262405995961988</c:v>
              </c:pt>
              <c:pt idx="70">
                <c:v>1.245534219269103</c:v>
              </c:pt>
              <c:pt idx="71">
                <c:v>5.0464857499109375</c:v>
              </c:pt>
              <c:pt idx="72">
                <c:v>11.859411942343245</c:v>
              </c:pt>
              <c:pt idx="73">
                <c:v>5.6727835836341995</c:v>
              </c:pt>
              <c:pt idx="74">
                <c:v>6.1767701915601814</c:v>
              </c:pt>
              <c:pt idx="75">
                <c:v>1.3997070038910506</c:v>
              </c:pt>
              <c:pt idx="76">
                <c:v>5.4568475555797393</c:v>
              </c:pt>
              <c:pt idx="77">
                <c:v>5.2102507725858258</c:v>
              </c:pt>
              <c:pt idx="78">
                <c:v>3.9416613922006789</c:v>
              </c:pt>
              <c:pt idx="79">
                <c:v>1.6798325991189427</c:v>
              </c:pt>
              <c:pt idx="80">
                <c:v>3.1340332336324357</c:v>
              </c:pt>
              <c:pt idx="81">
                <c:v>3.0714453294069579</c:v>
              </c:pt>
              <c:pt idx="82">
                <c:v>9.0551950609724976</c:v>
              </c:pt>
              <c:pt idx="83">
                <c:v>3.1986545053245892</c:v>
              </c:pt>
              <c:pt idx="84">
                <c:v>4.5647688752546358</c:v>
              </c:pt>
              <c:pt idx="85">
                <c:v>13.182529344909383</c:v>
              </c:pt>
              <c:pt idx="86">
                <c:v>2.6890396514513135</c:v>
              </c:pt>
              <c:pt idx="87">
                <c:v>3.8518125773037823</c:v>
              </c:pt>
              <c:pt idx="88">
                <c:v>1.0114658536585366</c:v>
              </c:pt>
              <c:pt idx="89">
                <c:v>4.429887145357001</c:v>
              </c:pt>
              <c:pt idx="90">
                <c:v>11.913384585692228</c:v>
              </c:pt>
              <c:pt idx="91">
                <c:v>7.0749901682228113</c:v>
              </c:pt>
              <c:pt idx="92">
                <c:v>4.1901921750377236</c:v>
              </c:pt>
              <c:pt idx="93">
                <c:v>6.1000758770737011</c:v>
              </c:pt>
              <c:pt idx="94">
                <c:v>3.5420179179810725</c:v>
              </c:pt>
              <c:pt idx="95">
                <c:v>6.5353081442171996</c:v>
              </c:pt>
              <c:pt idx="96">
                <c:v>5.8731444420696759</c:v>
              </c:pt>
              <c:pt idx="97">
                <c:v>8.0015335934837513</c:v>
              </c:pt>
              <c:pt idx="98">
                <c:v>7.7488244679249831</c:v>
              </c:pt>
              <c:pt idx="99">
                <c:v>2.0150768397535712</c:v>
              </c:pt>
              <c:pt idx="100">
                <c:v>8.3344293965673266</c:v>
              </c:pt>
              <c:pt idx="101">
                <c:v>5.5386857868663117</c:v>
              </c:pt>
              <c:pt idx="102">
                <c:v>5.5983514970295474</c:v>
              </c:pt>
              <c:pt idx="103">
                <c:v>5.3269977455988604</c:v>
              </c:pt>
              <c:pt idx="104">
                <c:v>7.8507875107814389</c:v>
              </c:pt>
              <c:pt idx="105">
                <c:v>7.2125454410523382</c:v>
              </c:pt>
              <c:pt idx="106">
                <c:v>2.0687725027599684</c:v>
              </c:pt>
              <c:pt idx="107">
                <c:v>8.6234948708425652</c:v>
              </c:pt>
              <c:pt idx="108">
                <c:v>10.166276468778422</c:v>
              </c:pt>
              <c:pt idx="109">
                <c:v>9.7147620223455284</c:v>
              </c:pt>
              <c:pt idx="110">
                <c:v>9.7891752187397572</c:v>
              </c:pt>
              <c:pt idx="111">
                <c:v>12.764006066393305</c:v>
              </c:pt>
              <c:pt idx="112">
                <c:v>6.8447533077898379</c:v>
              </c:pt>
              <c:pt idx="113">
                <c:v>5.2308952422745243</c:v>
              </c:pt>
              <c:pt idx="114">
                <c:v>4.1965213012924441</c:v>
              </c:pt>
              <c:pt idx="115">
                <c:v>3.066665611468923</c:v>
              </c:pt>
              <c:pt idx="116">
                <c:v>4.0920802692105829</c:v>
              </c:pt>
              <c:pt idx="117">
                <c:v>7.0694147705516315</c:v>
              </c:pt>
              <c:pt idx="118">
                <c:v>7.357837407128244</c:v>
              </c:pt>
              <c:pt idx="119">
                <c:v>10.068368363264293</c:v>
              </c:pt>
              <c:pt idx="120">
                <c:v>6.8757439506693947</c:v>
              </c:pt>
              <c:pt idx="121">
                <c:v>3.766483430668091</c:v>
              </c:pt>
              <c:pt idx="122">
                <c:v>9.104710218176864</c:v>
              </c:pt>
              <c:pt idx="123">
                <c:v>4.2078890622349192</c:v>
              </c:pt>
              <c:pt idx="124">
                <c:v>7.0123354832491298</c:v>
              </c:pt>
              <c:pt idx="125">
                <c:v>4.8337773589754578</c:v>
              </c:pt>
              <c:pt idx="126">
                <c:v>5.7389390736787496</c:v>
              </c:pt>
              <c:pt idx="127">
                <c:v>12.600473756977253</c:v>
              </c:pt>
              <c:pt idx="128">
                <c:v>5.4254390698714063</c:v>
              </c:pt>
              <c:pt idx="129">
                <c:v>6.1564705986961723</c:v>
              </c:pt>
              <c:pt idx="130">
                <c:v>8.1596586177651069</c:v>
              </c:pt>
              <c:pt idx="131">
                <c:v>5.3155876836511409</c:v>
              </c:pt>
              <c:pt idx="132">
                <c:v>7.2118645836259514</c:v>
              </c:pt>
              <c:pt idx="133">
                <c:v>8.4077397304365906</c:v>
              </c:pt>
              <c:pt idx="134">
                <c:v>2.9137461510471292</c:v>
              </c:pt>
              <c:pt idx="135">
                <c:v>8.6079148104728418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1907-49E8-BAFA-EB6F82B45A77}"/>
            </c:ext>
          </c:extLst>
        </c:ser>
        <c:ser>
          <c:idx val="1"/>
          <c:order val="1"/>
          <c:tx>
            <c:v>Predicted</c:v>
          </c:tx>
          <c:spPr>
            <a:ln w="25400">
              <a:noFill/>
            </a:ln>
          </c:spPr>
          <c:marker>
            <c:symbol val="circle"/>
            <c:size val="6"/>
            <c:spPr>
              <a:noFill/>
              <a:ln w="9525">
                <a:solidFill>
                  <a:srgbClr val="FF0000"/>
                </a:solidFill>
                <a:prstDash val="solid"/>
              </a:ln>
            </c:spPr>
          </c:marker>
          <c:xVal>
            <c:numLit>
              <c:formatCode>General</c:formatCode>
              <c:ptCount val="13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  <c:pt idx="31">
                <c:v>32</c:v>
              </c:pt>
              <c:pt idx="32">
                <c:v>33</c:v>
              </c:pt>
              <c:pt idx="33">
                <c:v>34</c:v>
              </c:pt>
              <c:pt idx="34">
                <c:v>35</c:v>
              </c:pt>
              <c:pt idx="35">
                <c:v>36</c:v>
              </c:pt>
              <c:pt idx="36">
                <c:v>37</c:v>
              </c:pt>
              <c:pt idx="37">
                <c:v>38</c:v>
              </c:pt>
              <c:pt idx="38">
                <c:v>39</c:v>
              </c:pt>
              <c:pt idx="39">
                <c:v>40</c:v>
              </c:pt>
              <c:pt idx="40">
                <c:v>41</c:v>
              </c:pt>
              <c:pt idx="41">
                <c:v>42</c:v>
              </c:pt>
              <c:pt idx="42">
                <c:v>43</c:v>
              </c:pt>
              <c:pt idx="43">
                <c:v>44</c:v>
              </c:pt>
              <c:pt idx="44">
                <c:v>45</c:v>
              </c:pt>
              <c:pt idx="45">
                <c:v>46</c:v>
              </c:pt>
              <c:pt idx="46">
                <c:v>47</c:v>
              </c:pt>
              <c:pt idx="47">
                <c:v>48</c:v>
              </c:pt>
              <c:pt idx="48">
                <c:v>49</c:v>
              </c:pt>
              <c:pt idx="49">
                <c:v>50</c:v>
              </c:pt>
              <c:pt idx="50">
                <c:v>51</c:v>
              </c:pt>
              <c:pt idx="51">
                <c:v>52</c:v>
              </c:pt>
              <c:pt idx="52">
                <c:v>53</c:v>
              </c:pt>
              <c:pt idx="53">
                <c:v>54</c:v>
              </c:pt>
              <c:pt idx="54">
                <c:v>55</c:v>
              </c:pt>
              <c:pt idx="55">
                <c:v>56</c:v>
              </c:pt>
              <c:pt idx="56">
                <c:v>57</c:v>
              </c:pt>
              <c:pt idx="57">
                <c:v>58</c:v>
              </c:pt>
              <c:pt idx="58">
                <c:v>59</c:v>
              </c:pt>
              <c:pt idx="59">
                <c:v>60</c:v>
              </c:pt>
              <c:pt idx="60">
                <c:v>61</c:v>
              </c:pt>
              <c:pt idx="61">
                <c:v>62</c:v>
              </c:pt>
              <c:pt idx="62">
                <c:v>63</c:v>
              </c:pt>
              <c:pt idx="63">
                <c:v>64</c:v>
              </c:pt>
              <c:pt idx="64">
                <c:v>65</c:v>
              </c:pt>
              <c:pt idx="65">
                <c:v>66</c:v>
              </c:pt>
              <c:pt idx="66">
                <c:v>67</c:v>
              </c:pt>
              <c:pt idx="67">
                <c:v>68</c:v>
              </c:pt>
              <c:pt idx="68">
                <c:v>69</c:v>
              </c:pt>
              <c:pt idx="69">
                <c:v>70</c:v>
              </c:pt>
              <c:pt idx="70">
                <c:v>71</c:v>
              </c:pt>
              <c:pt idx="71">
                <c:v>72</c:v>
              </c:pt>
              <c:pt idx="72">
                <c:v>73</c:v>
              </c:pt>
              <c:pt idx="73">
                <c:v>74</c:v>
              </c:pt>
              <c:pt idx="74">
                <c:v>75</c:v>
              </c:pt>
              <c:pt idx="75">
                <c:v>76</c:v>
              </c:pt>
              <c:pt idx="76">
                <c:v>77</c:v>
              </c:pt>
              <c:pt idx="77">
                <c:v>78</c:v>
              </c:pt>
              <c:pt idx="78">
                <c:v>79</c:v>
              </c:pt>
              <c:pt idx="79">
                <c:v>80</c:v>
              </c:pt>
              <c:pt idx="80">
                <c:v>81</c:v>
              </c:pt>
              <c:pt idx="81">
                <c:v>82</c:v>
              </c:pt>
              <c:pt idx="82">
                <c:v>83</c:v>
              </c:pt>
              <c:pt idx="83">
                <c:v>84</c:v>
              </c:pt>
              <c:pt idx="84">
                <c:v>85</c:v>
              </c:pt>
              <c:pt idx="85">
                <c:v>86</c:v>
              </c:pt>
              <c:pt idx="86">
                <c:v>87</c:v>
              </c:pt>
              <c:pt idx="87">
                <c:v>88</c:v>
              </c:pt>
              <c:pt idx="88">
                <c:v>89</c:v>
              </c:pt>
              <c:pt idx="89">
                <c:v>90</c:v>
              </c:pt>
              <c:pt idx="90">
                <c:v>91</c:v>
              </c:pt>
              <c:pt idx="91">
                <c:v>92</c:v>
              </c:pt>
              <c:pt idx="92">
                <c:v>93</c:v>
              </c:pt>
              <c:pt idx="93">
                <c:v>94</c:v>
              </c:pt>
              <c:pt idx="94">
                <c:v>95</c:v>
              </c:pt>
              <c:pt idx="95">
                <c:v>96</c:v>
              </c:pt>
              <c:pt idx="96">
                <c:v>97</c:v>
              </c:pt>
              <c:pt idx="97">
                <c:v>98</c:v>
              </c:pt>
              <c:pt idx="98">
                <c:v>99</c:v>
              </c:pt>
              <c:pt idx="99">
                <c:v>100</c:v>
              </c:pt>
              <c:pt idx="100">
                <c:v>101</c:v>
              </c:pt>
              <c:pt idx="101">
                <c:v>102</c:v>
              </c:pt>
              <c:pt idx="102">
                <c:v>103</c:v>
              </c:pt>
              <c:pt idx="103">
                <c:v>104</c:v>
              </c:pt>
              <c:pt idx="104">
                <c:v>105</c:v>
              </c:pt>
              <c:pt idx="105">
                <c:v>106</c:v>
              </c:pt>
              <c:pt idx="106">
                <c:v>107</c:v>
              </c:pt>
              <c:pt idx="107">
                <c:v>108</c:v>
              </c:pt>
              <c:pt idx="108">
                <c:v>109</c:v>
              </c:pt>
              <c:pt idx="109">
                <c:v>110</c:v>
              </c:pt>
              <c:pt idx="110">
                <c:v>111</c:v>
              </c:pt>
              <c:pt idx="111">
                <c:v>112</c:v>
              </c:pt>
              <c:pt idx="112">
                <c:v>113</c:v>
              </c:pt>
              <c:pt idx="113">
                <c:v>114</c:v>
              </c:pt>
              <c:pt idx="114">
                <c:v>115</c:v>
              </c:pt>
              <c:pt idx="115">
                <c:v>116</c:v>
              </c:pt>
              <c:pt idx="116">
                <c:v>117</c:v>
              </c:pt>
              <c:pt idx="117">
                <c:v>118</c:v>
              </c:pt>
              <c:pt idx="118">
                <c:v>119</c:v>
              </c:pt>
              <c:pt idx="119">
                <c:v>120</c:v>
              </c:pt>
              <c:pt idx="120">
                <c:v>121</c:v>
              </c:pt>
              <c:pt idx="121">
                <c:v>122</c:v>
              </c:pt>
              <c:pt idx="122">
                <c:v>123</c:v>
              </c:pt>
              <c:pt idx="123">
                <c:v>124</c:v>
              </c:pt>
              <c:pt idx="124">
                <c:v>125</c:v>
              </c:pt>
              <c:pt idx="125">
                <c:v>126</c:v>
              </c:pt>
              <c:pt idx="126">
                <c:v>127</c:v>
              </c:pt>
              <c:pt idx="127">
                <c:v>128</c:v>
              </c:pt>
              <c:pt idx="128">
                <c:v>129</c:v>
              </c:pt>
              <c:pt idx="129">
                <c:v>130</c:v>
              </c:pt>
              <c:pt idx="130">
                <c:v>131</c:v>
              </c:pt>
              <c:pt idx="131">
                <c:v>132</c:v>
              </c:pt>
              <c:pt idx="132">
                <c:v>133</c:v>
              </c:pt>
              <c:pt idx="133">
                <c:v>134</c:v>
              </c:pt>
              <c:pt idx="134">
                <c:v>135</c:v>
              </c:pt>
              <c:pt idx="135">
                <c:v>136</c:v>
              </c:pt>
            </c:numLit>
          </c:xVal>
          <c:yVal>
            <c:numLit>
              <c:formatCode>General</c:formatCode>
              <c:ptCount val="136"/>
              <c:pt idx="0">
                <c:v>7.4501647090943965</c:v>
              </c:pt>
              <c:pt idx="1">
                <c:v>6.001570008263176</c:v>
              </c:pt>
              <c:pt idx="2">
                <c:v>5.218761611272325</c:v>
              </c:pt>
              <c:pt idx="3">
                <c:v>5.8687234277054658</c:v>
              </c:pt>
              <c:pt idx="4">
                <c:v>4.1633195334147457</c:v>
              </c:pt>
              <c:pt idx="5">
                <c:v>6.8212432166240289</c:v>
              </c:pt>
              <c:pt idx="6">
                <c:v>4.3279821535238394</c:v>
              </c:pt>
              <c:pt idx="7">
                <c:v>5.0188558241946115</c:v>
              </c:pt>
              <c:pt idx="8">
                <c:v>5.2240988720296784</c:v>
              </c:pt>
              <c:pt idx="9">
                <c:v>5.2777089946628948</c:v>
              </c:pt>
              <c:pt idx="10">
                <c:v>7.7354074276331231</c:v>
              </c:pt>
              <c:pt idx="11">
                <c:v>4.2353736694917981</c:v>
              </c:pt>
              <c:pt idx="12">
                <c:v>4.0839553945074849</c:v>
              </c:pt>
              <c:pt idx="13">
                <c:v>5.5370221294529562</c:v>
              </c:pt>
              <c:pt idx="14">
                <c:v>4.59696813667939</c:v>
              </c:pt>
              <c:pt idx="15">
                <c:v>5.5893046461306151</c:v>
              </c:pt>
              <c:pt idx="16">
                <c:v>6.4251059967558692</c:v>
              </c:pt>
              <c:pt idx="17">
                <c:v>4.2972677224270308</c:v>
              </c:pt>
              <c:pt idx="18">
                <c:v>7.1163958461721055</c:v>
              </c:pt>
              <c:pt idx="19">
                <c:v>6.654838667484646</c:v>
              </c:pt>
              <c:pt idx="20">
                <c:v>9.7368320710221852</c:v>
              </c:pt>
              <c:pt idx="21">
                <c:v>7.0907219822256309</c:v>
              </c:pt>
              <c:pt idx="22">
                <c:v>6.6248707776658549</c:v>
              </c:pt>
              <c:pt idx="23">
                <c:v>7.1340058574385514</c:v>
              </c:pt>
              <c:pt idx="24">
                <c:v>3.8935905675783324</c:v>
              </c:pt>
              <c:pt idx="25">
                <c:v>4.0787970933757283</c:v>
              </c:pt>
              <c:pt idx="26">
                <c:v>6.3265038581268627</c:v>
              </c:pt>
              <c:pt idx="27">
                <c:v>4.3317314914087275</c:v>
              </c:pt>
              <c:pt idx="28">
                <c:v>5.9711350308577602</c:v>
              </c:pt>
              <c:pt idx="29">
                <c:v>5.8158569357437084</c:v>
              </c:pt>
              <c:pt idx="30">
                <c:v>6.1446665236706446</c:v>
              </c:pt>
              <c:pt idx="31">
                <c:v>6.093485781001907</c:v>
              </c:pt>
              <c:pt idx="32">
                <c:v>7.3212037965006962</c:v>
              </c:pt>
              <c:pt idx="33">
                <c:v>5.5098477778081572</c:v>
              </c:pt>
              <c:pt idx="34">
                <c:v>6.0604138344332421</c:v>
              </c:pt>
              <c:pt idx="35">
                <c:v>5.7438733806249616</c:v>
              </c:pt>
              <c:pt idx="36">
                <c:v>5.5808442198241046</c:v>
              </c:pt>
              <c:pt idx="37">
                <c:v>6.0178018499563102</c:v>
              </c:pt>
              <c:pt idx="38">
                <c:v>6.6669765304630548</c:v>
              </c:pt>
              <c:pt idx="39">
                <c:v>4.9493334237983877</c:v>
              </c:pt>
              <c:pt idx="40">
                <c:v>5.7821229024088554</c:v>
              </c:pt>
              <c:pt idx="41">
                <c:v>7.153767565502533</c:v>
              </c:pt>
              <c:pt idx="42">
                <c:v>6.5708907813742945</c:v>
              </c:pt>
              <c:pt idx="43">
                <c:v>5.2124897665449375</c:v>
              </c:pt>
              <c:pt idx="44">
                <c:v>5.5049595993373206</c:v>
              </c:pt>
              <c:pt idx="45">
                <c:v>5.9807072308638762</c:v>
              </c:pt>
              <c:pt idx="46">
                <c:v>6.3167413614079333</c:v>
              </c:pt>
              <c:pt idx="47">
                <c:v>5.4708054740098673</c:v>
              </c:pt>
              <c:pt idx="48">
                <c:v>5.7826378069846625</c:v>
              </c:pt>
              <c:pt idx="49">
                <c:v>4.7422577903040288</c:v>
              </c:pt>
              <c:pt idx="50">
                <c:v>4.8949632280524735</c:v>
              </c:pt>
              <c:pt idx="51">
                <c:v>6.4160256332538967</c:v>
              </c:pt>
              <c:pt idx="52">
                <c:v>11.576940975518532</c:v>
              </c:pt>
              <c:pt idx="53">
                <c:v>4.8500128188853928</c:v>
              </c:pt>
              <c:pt idx="54">
                <c:v>5.0173286996334054</c:v>
              </c:pt>
              <c:pt idx="55">
                <c:v>5.9728309248123237</c:v>
              </c:pt>
              <c:pt idx="56">
                <c:v>5.9174092751668601</c:v>
              </c:pt>
              <c:pt idx="57">
                <c:v>4.7125413324462553</c:v>
              </c:pt>
              <c:pt idx="58">
                <c:v>6.7203414360309992</c:v>
              </c:pt>
              <c:pt idx="59">
                <c:v>4.537248532653134</c:v>
              </c:pt>
              <c:pt idx="60">
                <c:v>5.9371336872541685</c:v>
              </c:pt>
              <c:pt idx="61">
                <c:v>6.7355782544111822</c:v>
              </c:pt>
              <c:pt idx="62">
                <c:v>5.6967042910903825</c:v>
              </c:pt>
              <c:pt idx="63">
                <c:v>6.4379597390925154</c:v>
              </c:pt>
              <c:pt idx="64">
                <c:v>6.089870303253818</c:v>
              </c:pt>
              <c:pt idx="65">
                <c:v>6.1110236804773397</c:v>
              </c:pt>
              <c:pt idx="66">
                <c:v>5.9881875411316647</c:v>
              </c:pt>
              <c:pt idx="67">
                <c:v>5.7231351537817821</c:v>
              </c:pt>
              <c:pt idx="68">
                <c:v>5.5625722879514603</c:v>
              </c:pt>
              <c:pt idx="69">
                <c:v>5.6338857342409678</c:v>
              </c:pt>
              <c:pt idx="70">
                <c:v>3.0277648898818033</c:v>
              </c:pt>
              <c:pt idx="71">
                <c:v>3.9957012976187687</c:v>
              </c:pt>
              <c:pt idx="72">
                <c:v>7.0383582249074594</c:v>
              </c:pt>
              <c:pt idx="73">
                <c:v>6.0122959966294642</c:v>
              </c:pt>
              <c:pt idx="74">
                <c:v>5.0342316266485252</c:v>
              </c:pt>
              <c:pt idx="75">
                <c:v>5.4087558575261312</c:v>
              </c:pt>
              <c:pt idx="76">
                <c:v>6.1766372083836467</c:v>
              </c:pt>
              <c:pt idx="77">
                <c:v>6.4595174587108639</c:v>
              </c:pt>
              <c:pt idx="78">
                <c:v>7.8546262313561295</c:v>
              </c:pt>
              <c:pt idx="79">
                <c:v>6.1659974476436332</c:v>
              </c:pt>
              <c:pt idx="80">
                <c:v>3.8767985879625368</c:v>
              </c:pt>
              <c:pt idx="81">
                <c:v>5.4757203910201229</c:v>
              </c:pt>
              <c:pt idx="82">
                <c:v>6.9839827084209363</c:v>
              </c:pt>
              <c:pt idx="83">
                <c:v>4.1516257333764859</c:v>
              </c:pt>
              <c:pt idx="84">
                <c:v>5.4818880024122407</c:v>
              </c:pt>
              <c:pt idx="85">
                <c:v>6.3820602226284571</c:v>
              </c:pt>
              <c:pt idx="86">
                <c:v>5.387765585310194</c:v>
              </c:pt>
              <c:pt idx="87">
                <c:v>4.6380367754663663</c:v>
              </c:pt>
              <c:pt idx="88">
                <c:v>3.6985035979370591</c:v>
              </c:pt>
              <c:pt idx="89">
                <c:v>5.3621505753953489</c:v>
              </c:pt>
              <c:pt idx="90">
                <c:v>6.8545254038320929</c:v>
              </c:pt>
              <c:pt idx="91">
                <c:v>5.2044760006634725</c:v>
              </c:pt>
              <c:pt idx="92">
                <c:v>4.9263949990369493</c:v>
              </c:pt>
              <c:pt idx="93">
                <c:v>6.193342454890101</c:v>
              </c:pt>
              <c:pt idx="94">
                <c:v>5.4165540332960651</c:v>
              </c:pt>
              <c:pt idx="95">
                <c:v>6.357801515763863</c:v>
              </c:pt>
              <c:pt idx="96">
                <c:v>4.7388220035002009</c:v>
              </c:pt>
              <c:pt idx="97">
                <c:v>5.30880495110822</c:v>
              </c:pt>
              <c:pt idx="98">
                <c:v>4.739938333508003</c:v>
              </c:pt>
              <c:pt idx="99">
                <c:v>3.7871387184686371</c:v>
              </c:pt>
              <c:pt idx="100">
                <c:v>6.1306609749467826</c:v>
              </c:pt>
              <c:pt idx="101">
                <c:v>5.6848583744520971</c:v>
              </c:pt>
              <c:pt idx="102">
                <c:v>5.3024973730004836</c:v>
              </c:pt>
              <c:pt idx="103">
                <c:v>6.3727644593943422</c:v>
              </c:pt>
              <c:pt idx="104">
                <c:v>6.4004856306180846</c:v>
              </c:pt>
              <c:pt idx="105">
                <c:v>6.1226654870449346</c:v>
              </c:pt>
              <c:pt idx="106">
                <c:v>4.1182745956593347</c:v>
              </c:pt>
              <c:pt idx="107">
                <c:v>6.1259697068801042</c:v>
              </c:pt>
              <c:pt idx="108">
                <c:v>6.6662731525793353</c:v>
              </c:pt>
              <c:pt idx="109">
                <c:v>6.1377759435268713</c:v>
              </c:pt>
              <c:pt idx="110">
                <c:v>5.7018518688089417</c:v>
              </c:pt>
              <c:pt idx="111">
                <c:v>9.4018153948383212</c:v>
              </c:pt>
              <c:pt idx="112">
                <c:v>6.8109871212697977</c:v>
              </c:pt>
              <c:pt idx="113">
                <c:v>4.9814622187910595</c:v>
              </c:pt>
              <c:pt idx="114">
                <c:v>8.3464965116736902</c:v>
              </c:pt>
              <c:pt idx="115">
                <c:v>5.1746954304109263</c:v>
              </c:pt>
              <c:pt idx="116">
                <c:v>5.4797704918875496</c:v>
              </c:pt>
              <c:pt idx="117">
                <c:v>6.057566143382874</c:v>
              </c:pt>
              <c:pt idx="118">
                <c:v>6.7974628288916028</c:v>
              </c:pt>
              <c:pt idx="119">
                <c:v>8.7204755016968178</c:v>
              </c:pt>
              <c:pt idx="120">
                <c:v>3.8954542297001735</c:v>
              </c:pt>
              <c:pt idx="121">
                <c:v>7.4300351405256677</c:v>
              </c:pt>
              <c:pt idx="122">
                <c:v>5.6020893455877845</c:v>
              </c:pt>
              <c:pt idx="123">
                <c:v>7.1127838408541963</c:v>
              </c:pt>
              <c:pt idx="124">
                <c:v>5.3509140303643701</c:v>
              </c:pt>
              <c:pt idx="125">
                <c:v>6.3757393912801419</c:v>
              </c:pt>
              <c:pt idx="126">
                <c:v>6.8516396479314414</c:v>
              </c:pt>
              <c:pt idx="127">
                <c:v>5.7157332783761898</c:v>
              </c:pt>
              <c:pt idx="128">
                <c:v>6.0597118121768894</c:v>
              </c:pt>
              <c:pt idx="129">
                <c:v>7.0775653041684219</c:v>
              </c:pt>
              <c:pt idx="130">
                <c:v>6.272083162888042</c:v>
              </c:pt>
              <c:pt idx="131">
                <c:v>5.5126452699886892</c:v>
              </c:pt>
              <c:pt idx="132">
                <c:v>6.3399679728782479</c:v>
              </c:pt>
              <c:pt idx="133">
                <c:v>6.4013562451258332</c:v>
              </c:pt>
              <c:pt idx="134">
                <c:v>5.2487672074309693</c:v>
              </c:pt>
              <c:pt idx="135">
                <c:v>6.4577396149653703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1907-49E8-BAFA-EB6F82B45A77}"/>
            </c:ext>
          </c:extLst>
        </c:ser>
        <c:ser>
          <c:idx val="2"/>
          <c:order val="2"/>
          <c:tx>
            <c:v>Forecast</c:v>
          </c:tx>
          <c:marker>
            <c:symbol val="circle"/>
            <c:size val="7"/>
            <c:spPr>
              <a:solidFill>
                <a:srgbClr val="FF9999"/>
              </a:solidFill>
              <a:ln w="12700">
                <a:solidFill>
                  <a:srgbClr val="FF0000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'Model 8'!$CG$43</c:f>
              </c:numRef>
            </c:plus>
            <c:minus>
              <c:numRef>
                <c:f>'Model 8'!$CG$43</c:f>
              </c:numRef>
            </c:minus>
          </c:errBars>
          <c:xVal>
            <c:numRef>
              <c:f>'Model 8'!$A$43:$A$43</c:f>
            </c:numRef>
          </c:xVal>
          <c:yVal>
            <c:numRef>
              <c:f>'Model 8'!$B$43:$B$43</c:f>
            </c:numRef>
          </c:yVal>
          <c:smooth val="0"/>
          <c:extLst>
            <c:ext xmlns:c16="http://schemas.microsoft.com/office/drawing/2014/chart" uri="{C3380CC4-5D6E-409C-BE32-E72D297353CC}">
              <c16:uniqueId val="{00000002-1907-49E8-BAFA-EB6F82B45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7996592"/>
        <c:axId val="787996984"/>
      </c:scatterChart>
      <c:valAx>
        <c:axId val="787996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87996984"/>
        <c:crossesAt val="0"/>
        <c:crossBetween val="midCat"/>
      </c:valAx>
      <c:valAx>
        <c:axId val="787996984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87996592"/>
        <c:crossesAt val="0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3F3"/>
    </a:solidFill>
    <a:ln w="6350">
      <a:solidFill>
        <a:srgbClr val="808080"/>
      </a:solidFill>
      <a:prstDash val="solid"/>
    </a:ln>
  </c:spPr>
  <c:txPr>
    <a:bodyPr/>
    <a:lstStyle/>
    <a:p>
      <a:pPr>
        <a:defRPr sz="1000">
          <a:latin typeface="+mn-lt"/>
          <a:ea typeface="+mn-lt"/>
          <a:cs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Observation #
</a:t>
            </a:r>
            <a:r>
              <a:rPr lang="en-US" sz="1000"/>
              <a:t>Model 8 for EV_Rev    (2 variables, n=136)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Actual</c:v>
          </c:tx>
          <c:spPr>
            <a:solidFill>
              <a:srgbClr val="0000FF"/>
            </a:solidFill>
            <a:ln w="3175">
              <a:solidFill>
                <a:srgbClr val="0000FF"/>
              </a:solidFill>
              <a:prstDash val="solid"/>
            </a:ln>
            <a:effectLst/>
          </c:spPr>
          <c:invertIfNegative val="0"/>
          <c:trendline>
            <c:spPr>
              <a:ln w="12700">
                <a:solidFill>
                  <a:srgbClr val="FF0000"/>
                </a:solidFill>
                <a:prstDash val="sysDash"/>
              </a:ln>
            </c:spPr>
            <c:trendlineType val="linear"/>
            <c:dispRSqr val="0"/>
            <c:dispEq val="0"/>
          </c:trendline>
          <c:cat>
            <c:numLit>
              <c:formatCode>General</c:formatCode>
              <c:ptCount val="13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  <c:pt idx="31">
                <c:v>32</c:v>
              </c:pt>
              <c:pt idx="32">
                <c:v>33</c:v>
              </c:pt>
              <c:pt idx="33">
                <c:v>34</c:v>
              </c:pt>
              <c:pt idx="34">
                <c:v>35</c:v>
              </c:pt>
              <c:pt idx="35">
                <c:v>36</c:v>
              </c:pt>
              <c:pt idx="36">
                <c:v>37</c:v>
              </c:pt>
              <c:pt idx="37">
                <c:v>38</c:v>
              </c:pt>
              <c:pt idx="38">
                <c:v>39</c:v>
              </c:pt>
              <c:pt idx="39">
                <c:v>40</c:v>
              </c:pt>
              <c:pt idx="40">
                <c:v>41</c:v>
              </c:pt>
              <c:pt idx="41">
                <c:v>42</c:v>
              </c:pt>
              <c:pt idx="42">
                <c:v>43</c:v>
              </c:pt>
              <c:pt idx="43">
                <c:v>44</c:v>
              </c:pt>
              <c:pt idx="44">
                <c:v>45</c:v>
              </c:pt>
              <c:pt idx="45">
                <c:v>46</c:v>
              </c:pt>
              <c:pt idx="46">
                <c:v>47</c:v>
              </c:pt>
              <c:pt idx="47">
                <c:v>48</c:v>
              </c:pt>
              <c:pt idx="48">
                <c:v>49</c:v>
              </c:pt>
              <c:pt idx="49">
                <c:v>50</c:v>
              </c:pt>
              <c:pt idx="50">
                <c:v>51</c:v>
              </c:pt>
              <c:pt idx="51">
                <c:v>52</c:v>
              </c:pt>
              <c:pt idx="52">
                <c:v>53</c:v>
              </c:pt>
              <c:pt idx="53">
                <c:v>54</c:v>
              </c:pt>
              <c:pt idx="54">
                <c:v>55</c:v>
              </c:pt>
              <c:pt idx="55">
                <c:v>56</c:v>
              </c:pt>
              <c:pt idx="56">
                <c:v>57</c:v>
              </c:pt>
              <c:pt idx="57">
                <c:v>58</c:v>
              </c:pt>
              <c:pt idx="58">
                <c:v>59</c:v>
              </c:pt>
              <c:pt idx="59">
                <c:v>60</c:v>
              </c:pt>
              <c:pt idx="60">
                <c:v>61</c:v>
              </c:pt>
              <c:pt idx="61">
                <c:v>62</c:v>
              </c:pt>
              <c:pt idx="62">
                <c:v>63</c:v>
              </c:pt>
              <c:pt idx="63">
                <c:v>64</c:v>
              </c:pt>
              <c:pt idx="64">
                <c:v>65</c:v>
              </c:pt>
              <c:pt idx="65">
                <c:v>66</c:v>
              </c:pt>
              <c:pt idx="66">
                <c:v>67</c:v>
              </c:pt>
              <c:pt idx="67">
                <c:v>68</c:v>
              </c:pt>
              <c:pt idx="68">
                <c:v>69</c:v>
              </c:pt>
              <c:pt idx="69">
                <c:v>70</c:v>
              </c:pt>
              <c:pt idx="70">
                <c:v>71</c:v>
              </c:pt>
              <c:pt idx="71">
                <c:v>72</c:v>
              </c:pt>
              <c:pt idx="72">
                <c:v>73</c:v>
              </c:pt>
              <c:pt idx="73">
                <c:v>74</c:v>
              </c:pt>
              <c:pt idx="74">
                <c:v>75</c:v>
              </c:pt>
              <c:pt idx="75">
                <c:v>76</c:v>
              </c:pt>
              <c:pt idx="76">
                <c:v>77</c:v>
              </c:pt>
              <c:pt idx="77">
                <c:v>78</c:v>
              </c:pt>
              <c:pt idx="78">
                <c:v>79</c:v>
              </c:pt>
              <c:pt idx="79">
                <c:v>80</c:v>
              </c:pt>
              <c:pt idx="80">
                <c:v>81</c:v>
              </c:pt>
              <c:pt idx="81">
                <c:v>82</c:v>
              </c:pt>
              <c:pt idx="82">
                <c:v>83</c:v>
              </c:pt>
              <c:pt idx="83">
                <c:v>84</c:v>
              </c:pt>
              <c:pt idx="84">
                <c:v>85</c:v>
              </c:pt>
              <c:pt idx="85">
                <c:v>86</c:v>
              </c:pt>
              <c:pt idx="86">
                <c:v>87</c:v>
              </c:pt>
              <c:pt idx="87">
                <c:v>88</c:v>
              </c:pt>
              <c:pt idx="88">
                <c:v>89</c:v>
              </c:pt>
              <c:pt idx="89">
                <c:v>90</c:v>
              </c:pt>
              <c:pt idx="90">
                <c:v>91</c:v>
              </c:pt>
              <c:pt idx="91">
                <c:v>92</c:v>
              </c:pt>
              <c:pt idx="92">
                <c:v>93</c:v>
              </c:pt>
              <c:pt idx="93">
                <c:v>94</c:v>
              </c:pt>
              <c:pt idx="94">
                <c:v>95</c:v>
              </c:pt>
              <c:pt idx="95">
                <c:v>96</c:v>
              </c:pt>
              <c:pt idx="96">
                <c:v>97</c:v>
              </c:pt>
              <c:pt idx="97">
                <c:v>98</c:v>
              </c:pt>
              <c:pt idx="98">
                <c:v>99</c:v>
              </c:pt>
              <c:pt idx="99">
                <c:v>100</c:v>
              </c:pt>
              <c:pt idx="100">
                <c:v>101</c:v>
              </c:pt>
              <c:pt idx="101">
                <c:v>102</c:v>
              </c:pt>
              <c:pt idx="102">
                <c:v>103</c:v>
              </c:pt>
              <c:pt idx="103">
                <c:v>104</c:v>
              </c:pt>
              <c:pt idx="104">
                <c:v>105</c:v>
              </c:pt>
              <c:pt idx="105">
                <c:v>106</c:v>
              </c:pt>
              <c:pt idx="106">
                <c:v>107</c:v>
              </c:pt>
              <c:pt idx="107">
                <c:v>108</c:v>
              </c:pt>
              <c:pt idx="108">
                <c:v>109</c:v>
              </c:pt>
              <c:pt idx="109">
                <c:v>110</c:v>
              </c:pt>
              <c:pt idx="110">
                <c:v>111</c:v>
              </c:pt>
              <c:pt idx="111">
                <c:v>112</c:v>
              </c:pt>
              <c:pt idx="112">
                <c:v>113</c:v>
              </c:pt>
              <c:pt idx="113">
                <c:v>114</c:v>
              </c:pt>
              <c:pt idx="114">
                <c:v>115</c:v>
              </c:pt>
              <c:pt idx="115">
                <c:v>116</c:v>
              </c:pt>
              <c:pt idx="116">
                <c:v>117</c:v>
              </c:pt>
              <c:pt idx="117">
                <c:v>118</c:v>
              </c:pt>
              <c:pt idx="118">
                <c:v>119</c:v>
              </c:pt>
              <c:pt idx="119">
                <c:v>120</c:v>
              </c:pt>
              <c:pt idx="120">
                <c:v>121</c:v>
              </c:pt>
              <c:pt idx="121">
                <c:v>122</c:v>
              </c:pt>
              <c:pt idx="122">
                <c:v>123</c:v>
              </c:pt>
              <c:pt idx="123">
                <c:v>124</c:v>
              </c:pt>
              <c:pt idx="124">
                <c:v>125</c:v>
              </c:pt>
              <c:pt idx="125">
                <c:v>126</c:v>
              </c:pt>
              <c:pt idx="126">
                <c:v>127</c:v>
              </c:pt>
              <c:pt idx="127">
                <c:v>128</c:v>
              </c:pt>
              <c:pt idx="128">
                <c:v>129</c:v>
              </c:pt>
              <c:pt idx="129">
                <c:v>130</c:v>
              </c:pt>
              <c:pt idx="130">
                <c:v>131</c:v>
              </c:pt>
              <c:pt idx="131">
                <c:v>132</c:v>
              </c:pt>
              <c:pt idx="132">
                <c:v>133</c:v>
              </c:pt>
              <c:pt idx="133">
                <c:v>134</c:v>
              </c:pt>
              <c:pt idx="134">
                <c:v>135</c:v>
              </c:pt>
              <c:pt idx="135">
                <c:v>136</c:v>
              </c:pt>
            </c:numLit>
          </c:cat>
          <c:val>
            <c:numLit>
              <c:formatCode>General</c:formatCode>
              <c:ptCount val="136"/>
              <c:pt idx="0">
                <c:v>-0.77521340768651736</c:v>
              </c:pt>
              <c:pt idx="1">
                <c:v>-1.9652809646358547</c:v>
              </c:pt>
              <c:pt idx="2">
                <c:v>-3.9728121899264184</c:v>
              </c:pt>
              <c:pt idx="3">
                <c:v>-3.7668147267250736</c:v>
              </c:pt>
              <c:pt idx="4">
                <c:v>-0.82317887303738724</c:v>
              </c:pt>
              <c:pt idx="5">
                <c:v>4.5597659670707076</c:v>
              </c:pt>
              <c:pt idx="6">
                <c:v>-2.0623108828056074</c:v>
              </c:pt>
              <c:pt idx="7">
                <c:v>6.0569314311566202E-2</c:v>
              </c:pt>
              <c:pt idx="8">
                <c:v>-4.0433986390892844</c:v>
              </c:pt>
              <c:pt idx="9">
                <c:v>0.5305012124072741</c:v>
              </c:pt>
              <c:pt idx="10">
                <c:v>2.8006783192637235</c:v>
              </c:pt>
              <c:pt idx="11">
                <c:v>-1.3233624681476366</c:v>
              </c:pt>
              <c:pt idx="12">
                <c:v>-1.8773550614516981</c:v>
              </c:pt>
              <c:pt idx="13">
                <c:v>4.2483492574792772</c:v>
              </c:pt>
              <c:pt idx="14">
                <c:v>1.8058423018326133</c:v>
              </c:pt>
              <c:pt idx="15">
                <c:v>-1.5094858854154554</c:v>
              </c:pt>
              <c:pt idx="16">
                <c:v>6.1433960713748661</c:v>
              </c:pt>
              <c:pt idx="17">
                <c:v>-0.85599947649605346</c:v>
              </c:pt>
              <c:pt idx="18">
                <c:v>5.1503909603371252</c:v>
              </c:pt>
              <c:pt idx="19">
                <c:v>-3.1481021405385388</c:v>
              </c:pt>
              <c:pt idx="20">
                <c:v>-2.475791711755849</c:v>
              </c:pt>
              <c:pt idx="21">
                <c:v>3.0561458576147782</c:v>
              </c:pt>
              <c:pt idx="22">
                <c:v>2.3115727710063982</c:v>
              </c:pt>
              <c:pt idx="23">
                <c:v>-1.8270384151824643</c:v>
              </c:pt>
              <c:pt idx="24">
                <c:v>0.20601133616688649</c:v>
              </c:pt>
              <c:pt idx="25">
                <c:v>3.1035234460376593E-2</c:v>
              </c:pt>
              <c:pt idx="26">
                <c:v>2.446691353958002</c:v>
              </c:pt>
              <c:pt idx="27">
                <c:v>2.17316645441029</c:v>
              </c:pt>
              <c:pt idx="28">
                <c:v>-2.1056415159934674</c:v>
              </c:pt>
              <c:pt idx="29">
                <c:v>-1.6713246291283781</c:v>
              </c:pt>
              <c:pt idx="30">
                <c:v>-0.34243440920323653</c:v>
              </c:pt>
              <c:pt idx="31">
                <c:v>-2.343460867439815</c:v>
              </c:pt>
              <c:pt idx="32">
                <c:v>-0.9471928535540437</c:v>
              </c:pt>
              <c:pt idx="33">
                <c:v>-3.5117057151185715</c:v>
              </c:pt>
              <c:pt idx="34">
                <c:v>0.5665448789682479</c:v>
              </c:pt>
              <c:pt idx="35">
                <c:v>-0.91858029701698296</c:v>
              </c:pt>
              <c:pt idx="36">
                <c:v>-2.2093788365749205</c:v>
              </c:pt>
              <c:pt idx="37">
                <c:v>-3.0626200634232932</c:v>
              </c:pt>
              <c:pt idx="38">
                <c:v>-2.3377136300371797</c:v>
              </c:pt>
              <c:pt idx="39">
                <c:v>0.14076637435210682</c:v>
              </c:pt>
              <c:pt idx="40">
                <c:v>6.4682474986175071</c:v>
              </c:pt>
              <c:pt idx="41">
                <c:v>3.9497843332316451</c:v>
              </c:pt>
              <c:pt idx="42">
                <c:v>-0.49534468728204573</c:v>
              </c:pt>
              <c:pt idx="43">
                <c:v>-1.2902131542683253</c:v>
              </c:pt>
              <c:pt idx="44">
                <c:v>2.7678651234518892</c:v>
              </c:pt>
              <c:pt idx="45">
                <c:v>1.8322433951696704</c:v>
              </c:pt>
              <c:pt idx="46">
                <c:v>0.13561129253321624</c:v>
              </c:pt>
              <c:pt idx="47">
                <c:v>-0.67789901939237662</c:v>
              </c:pt>
              <c:pt idx="48">
                <c:v>-1.6222582939642525</c:v>
              </c:pt>
              <c:pt idx="49">
                <c:v>-1.7439104577274112</c:v>
              </c:pt>
              <c:pt idx="50">
                <c:v>-0.14698136736991163</c:v>
              </c:pt>
              <c:pt idx="51">
                <c:v>2.5076940449487477</c:v>
              </c:pt>
              <c:pt idx="52">
                <c:v>-6.8192911068775004</c:v>
              </c:pt>
              <c:pt idx="53">
                <c:v>-1.1026401283680896</c:v>
              </c:pt>
              <c:pt idx="54">
                <c:v>2.7471605303033124</c:v>
              </c:pt>
              <c:pt idx="55">
                <c:v>-2.8367125161517572</c:v>
              </c:pt>
              <c:pt idx="56">
                <c:v>0.55625141013162516</c:v>
              </c:pt>
              <c:pt idx="57">
                <c:v>-2.7964374131760854</c:v>
              </c:pt>
              <c:pt idx="58">
                <c:v>-4.6367669551853581</c:v>
              </c:pt>
              <c:pt idx="59">
                <c:v>3.9866362212484265</c:v>
              </c:pt>
              <c:pt idx="60">
                <c:v>-2.2787075904468628</c:v>
              </c:pt>
              <c:pt idx="61">
                <c:v>1.7547415458995328</c:v>
              </c:pt>
              <c:pt idx="62">
                <c:v>-1.5186523181018412</c:v>
              </c:pt>
              <c:pt idx="63">
                <c:v>-2.6551023265875999</c:v>
              </c:pt>
              <c:pt idx="64">
                <c:v>-1.7177043117885953</c:v>
              </c:pt>
              <c:pt idx="65">
                <c:v>1.7987288237817687</c:v>
              </c:pt>
              <c:pt idx="66">
                <c:v>-2.5767792335968482</c:v>
              </c:pt>
              <c:pt idx="67">
                <c:v>3.4869633393672883</c:v>
              </c:pt>
              <c:pt idx="68">
                <c:v>-0.87111919083880185</c:v>
              </c:pt>
              <c:pt idx="69">
                <c:v>-2.3076451346447691</c:v>
              </c:pt>
              <c:pt idx="70">
                <c:v>-1.7822306706127002</c:v>
              </c:pt>
              <c:pt idx="71">
                <c:v>1.0507844522921688</c:v>
              </c:pt>
              <c:pt idx="72">
                <c:v>4.8210537174357855</c:v>
              </c:pt>
              <c:pt idx="73">
                <c:v>-0.33951241299526469</c:v>
              </c:pt>
              <c:pt idx="74">
                <c:v>1.1425385649116562</c:v>
              </c:pt>
              <c:pt idx="75">
                <c:v>-4.0090488536350808</c:v>
              </c:pt>
              <c:pt idx="76">
                <c:v>-0.71978965280390739</c:v>
              </c:pt>
              <c:pt idx="77">
                <c:v>-1.2492666861250381</c:v>
              </c:pt>
              <c:pt idx="78">
                <c:v>-3.9129648391554506</c:v>
              </c:pt>
              <c:pt idx="79">
                <c:v>-4.486164848524691</c:v>
              </c:pt>
              <c:pt idx="80">
                <c:v>-0.74276535433010116</c:v>
              </c:pt>
              <c:pt idx="81">
                <c:v>-2.404275061613165</c:v>
              </c:pt>
              <c:pt idx="82">
                <c:v>2.0712123525515613</c:v>
              </c:pt>
              <c:pt idx="83">
                <c:v>-0.95297122805189671</c:v>
              </c:pt>
              <c:pt idx="84">
                <c:v>-0.91711912715760491</c:v>
              </c:pt>
              <c:pt idx="85">
                <c:v>6.8004691222809264</c:v>
              </c:pt>
              <c:pt idx="86">
                <c:v>-2.6987259338588805</c:v>
              </c:pt>
              <c:pt idx="87">
                <c:v>-0.78622419816258393</c:v>
              </c:pt>
              <c:pt idx="88">
                <c:v>-2.6870377442785225</c:v>
              </c:pt>
              <c:pt idx="89">
                <c:v>-0.93226343003834788</c:v>
              </c:pt>
              <c:pt idx="90">
                <c:v>5.0588591818601349</c:v>
              </c:pt>
              <c:pt idx="91">
                <c:v>1.8705141675593389</c:v>
              </c:pt>
              <c:pt idx="92">
                <c:v>-0.73620282399922576</c:v>
              </c:pt>
              <c:pt idx="93">
                <c:v>-9.3266577816399909E-2</c:v>
              </c:pt>
              <c:pt idx="94">
                <c:v>-1.8745361153149926</c:v>
              </c:pt>
              <c:pt idx="95">
                <c:v>0.17750662845333665</c:v>
              </c:pt>
              <c:pt idx="96">
                <c:v>1.134322438569475</c:v>
              </c:pt>
              <c:pt idx="97">
                <c:v>2.6927286423755312</c:v>
              </c:pt>
              <c:pt idx="98">
                <c:v>3.0088861344169802</c:v>
              </c:pt>
              <c:pt idx="99">
                <c:v>-1.7720618787150659</c:v>
              </c:pt>
              <c:pt idx="100">
                <c:v>2.203768421620544</c:v>
              </c:pt>
              <c:pt idx="101">
                <c:v>-0.14617258758578533</c:v>
              </c:pt>
              <c:pt idx="102">
                <c:v>0.29585412402906375</c:v>
              </c:pt>
              <c:pt idx="103">
                <c:v>-1.0457667137954818</c:v>
              </c:pt>
              <c:pt idx="104">
                <c:v>1.4503018801633543</c:v>
              </c:pt>
              <c:pt idx="105">
                <c:v>1.0898799540074036</c:v>
              </c:pt>
              <c:pt idx="106">
                <c:v>-2.0495020928993664</c:v>
              </c:pt>
              <c:pt idx="107">
                <c:v>2.4975251639624609</c:v>
              </c:pt>
              <c:pt idx="108">
                <c:v>3.5000033161990869</c:v>
              </c:pt>
              <c:pt idx="109">
                <c:v>3.5769860788186572</c:v>
              </c:pt>
              <c:pt idx="110">
                <c:v>4.0873233499308155</c:v>
              </c:pt>
              <c:pt idx="111">
                <c:v>3.3621906715549841</c:v>
              </c:pt>
              <c:pt idx="112">
                <c:v>3.3766186520040264E-2</c:v>
              </c:pt>
              <c:pt idx="113">
                <c:v>0.24943302348346474</c:v>
              </c:pt>
              <c:pt idx="114">
                <c:v>-4.1499752103812462</c:v>
              </c:pt>
              <c:pt idx="115">
                <c:v>-2.1080298189420033</c:v>
              </c:pt>
              <c:pt idx="116">
                <c:v>-1.3876902226769667</c:v>
              </c:pt>
              <c:pt idx="117">
                <c:v>1.0118486271687575</c:v>
              </c:pt>
              <c:pt idx="118">
                <c:v>0.56037457823664116</c:v>
              </c:pt>
              <c:pt idx="119">
                <c:v>1.347892861567475</c:v>
              </c:pt>
              <c:pt idx="120">
                <c:v>2.9802897209692212</c:v>
              </c:pt>
              <c:pt idx="121">
                <c:v>-3.6635517098575767</c:v>
              </c:pt>
              <c:pt idx="122">
                <c:v>3.5026208725890795</c:v>
              </c:pt>
              <c:pt idx="123">
                <c:v>-2.9048947786192771</c:v>
              </c:pt>
              <c:pt idx="124">
                <c:v>1.6614214528847597</c:v>
              </c:pt>
              <c:pt idx="125">
                <c:v>-1.5419620323046841</c:v>
              </c:pt>
              <c:pt idx="126">
                <c:v>-1.1127005742526919</c:v>
              </c:pt>
              <c:pt idx="127">
                <c:v>6.8847404786010635</c:v>
              </c:pt>
              <c:pt idx="128">
                <c:v>-0.63427274230548303</c:v>
              </c:pt>
              <c:pt idx="129">
                <c:v>-0.92109470547224959</c:v>
              </c:pt>
              <c:pt idx="130">
                <c:v>1.8875754548770649</c:v>
              </c:pt>
              <c:pt idx="131">
                <c:v>-0.19705758633754833</c:v>
              </c:pt>
              <c:pt idx="132">
                <c:v>0.87189661074770353</c:v>
              </c:pt>
              <c:pt idx="133">
                <c:v>2.0063834853107574</c:v>
              </c:pt>
              <c:pt idx="134">
                <c:v>-2.3350210563838401</c:v>
              </c:pt>
              <c:pt idx="135">
                <c:v>2.1501751955074715</c:v>
              </c:pt>
            </c:numLit>
          </c:val>
          <c:extLst>
            <c:ext xmlns:c16="http://schemas.microsoft.com/office/drawing/2014/chart" uri="{C3380CC4-5D6E-409C-BE32-E72D297353CC}">
              <c16:uniqueId val="{00000000-D7CD-4118-B939-658C736F9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axId val="786821712"/>
        <c:axId val="786822104"/>
      </c:barChart>
      <c:catAx>
        <c:axId val="786821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/>
                </a:pPr>
                <a:r>
                  <a:rPr lang="en-US" sz="900"/>
                  <a:t>Lag 1 autocorrelation = -0.01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txPr>
          <a:bodyPr rot="-5400000" vert="horz"/>
          <a:lstStyle/>
          <a:p>
            <a:pPr>
              <a:defRPr sz="900"/>
            </a:pPr>
            <a:endParaRPr lang="en-US"/>
          </a:p>
        </c:txPr>
        <c:crossAx val="786822104"/>
        <c:crossesAt val="0"/>
        <c:auto val="1"/>
        <c:lblAlgn val="ctr"/>
        <c:lblOffset val="100"/>
        <c:noMultiLvlLbl val="0"/>
      </c:catAx>
      <c:valAx>
        <c:axId val="78682210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86821712"/>
        <c:crosses val="autoZero"/>
        <c:crossBetween val="between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Predicted
</a:t>
            </a:r>
            <a:r>
              <a:rPr lang="en-US" sz="1000"/>
              <a:t>Model 8 for EV_Rev    (2 variables, n=136)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36"/>
              <c:pt idx="0">
                <c:v>7.4501647090943965</c:v>
              </c:pt>
              <c:pt idx="1">
                <c:v>6.001570008263176</c:v>
              </c:pt>
              <c:pt idx="2">
                <c:v>5.218761611272325</c:v>
              </c:pt>
              <c:pt idx="3">
                <c:v>5.8687234277054658</c:v>
              </c:pt>
              <c:pt idx="4">
                <c:v>4.1633195334147457</c:v>
              </c:pt>
              <c:pt idx="5">
                <c:v>6.8212432166240289</c:v>
              </c:pt>
              <c:pt idx="6">
                <c:v>4.3279821535238394</c:v>
              </c:pt>
              <c:pt idx="7">
                <c:v>5.0188558241946115</c:v>
              </c:pt>
              <c:pt idx="8">
                <c:v>5.2240988720296784</c:v>
              </c:pt>
              <c:pt idx="9">
                <c:v>5.2777089946628948</c:v>
              </c:pt>
              <c:pt idx="10">
                <c:v>7.7354074276331231</c:v>
              </c:pt>
              <c:pt idx="11">
                <c:v>4.2353736694917981</c:v>
              </c:pt>
              <c:pt idx="12">
                <c:v>4.0839553945074849</c:v>
              </c:pt>
              <c:pt idx="13">
                <c:v>5.5370221294529562</c:v>
              </c:pt>
              <c:pt idx="14">
                <c:v>4.59696813667939</c:v>
              </c:pt>
              <c:pt idx="15">
                <c:v>5.5893046461306151</c:v>
              </c:pt>
              <c:pt idx="16">
                <c:v>6.4251059967558692</c:v>
              </c:pt>
              <c:pt idx="17">
                <c:v>4.2972677224270308</c:v>
              </c:pt>
              <c:pt idx="18">
                <c:v>7.1163958461721055</c:v>
              </c:pt>
              <c:pt idx="19">
                <c:v>6.654838667484646</c:v>
              </c:pt>
              <c:pt idx="20">
                <c:v>9.7368320710221852</c:v>
              </c:pt>
              <c:pt idx="21">
                <c:v>7.0907219822256309</c:v>
              </c:pt>
              <c:pt idx="22">
                <c:v>6.6248707776658549</c:v>
              </c:pt>
              <c:pt idx="23">
                <c:v>7.1340058574385514</c:v>
              </c:pt>
              <c:pt idx="24">
                <c:v>3.8935905675783324</c:v>
              </c:pt>
              <c:pt idx="25">
                <c:v>4.0787970933757283</c:v>
              </c:pt>
              <c:pt idx="26">
                <c:v>6.3265038581268627</c:v>
              </c:pt>
              <c:pt idx="27">
                <c:v>4.3317314914087275</c:v>
              </c:pt>
              <c:pt idx="28">
                <c:v>5.9711350308577602</c:v>
              </c:pt>
              <c:pt idx="29">
                <c:v>5.8158569357437084</c:v>
              </c:pt>
              <c:pt idx="30">
                <c:v>6.1446665236706446</c:v>
              </c:pt>
              <c:pt idx="31">
                <c:v>6.093485781001907</c:v>
              </c:pt>
              <c:pt idx="32">
                <c:v>7.3212037965006962</c:v>
              </c:pt>
              <c:pt idx="33">
                <c:v>5.5098477778081572</c:v>
              </c:pt>
              <c:pt idx="34">
                <c:v>6.0604138344332421</c:v>
              </c:pt>
              <c:pt idx="35">
                <c:v>5.7438733806249616</c:v>
              </c:pt>
              <c:pt idx="36">
                <c:v>5.5808442198241046</c:v>
              </c:pt>
              <c:pt idx="37">
                <c:v>6.0178018499563102</c:v>
              </c:pt>
              <c:pt idx="38">
                <c:v>6.6669765304630548</c:v>
              </c:pt>
              <c:pt idx="39">
                <c:v>4.9493334237983877</c:v>
              </c:pt>
              <c:pt idx="40">
                <c:v>5.7821229024088554</c:v>
              </c:pt>
              <c:pt idx="41">
                <c:v>7.153767565502533</c:v>
              </c:pt>
              <c:pt idx="42">
                <c:v>6.5708907813742945</c:v>
              </c:pt>
              <c:pt idx="43">
                <c:v>5.2124897665449375</c:v>
              </c:pt>
              <c:pt idx="44">
                <c:v>5.5049595993373206</c:v>
              </c:pt>
              <c:pt idx="45">
                <c:v>5.9807072308638762</c:v>
              </c:pt>
              <c:pt idx="46">
                <c:v>6.3167413614079333</c:v>
              </c:pt>
              <c:pt idx="47">
                <c:v>5.4708054740098673</c:v>
              </c:pt>
              <c:pt idx="48">
                <c:v>5.7826378069846625</c:v>
              </c:pt>
              <c:pt idx="49">
                <c:v>4.7422577903040288</c:v>
              </c:pt>
              <c:pt idx="50">
                <c:v>4.8949632280524735</c:v>
              </c:pt>
              <c:pt idx="51">
                <c:v>6.4160256332538967</c:v>
              </c:pt>
              <c:pt idx="52">
                <c:v>11.576940975518532</c:v>
              </c:pt>
              <c:pt idx="53">
                <c:v>4.8500128188853928</c:v>
              </c:pt>
              <c:pt idx="54">
                <c:v>5.0173286996334054</c:v>
              </c:pt>
              <c:pt idx="55">
                <c:v>5.9728309248123237</c:v>
              </c:pt>
              <c:pt idx="56">
                <c:v>5.9174092751668601</c:v>
              </c:pt>
              <c:pt idx="57">
                <c:v>4.7125413324462553</c:v>
              </c:pt>
              <c:pt idx="58">
                <c:v>6.7203414360309992</c:v>
              </c:pt>
              <c:pt idx="59">
                <c:v>4.537248532653134</c:v>
              </c:pt>
              <c:pt idx="60">
                <c:v>5.9371336872541685</c:v>
              </c:pt>
              <c:pt idx="61">
                <c:v>6.7355782544111822</c:v>
              </c:pt>
              <c:pt idx="62">
                <c:v>5.6967042910903825</c:v>
              </c:pt>
              <c:pt idx="63">
                <c:v>6.4379597390925154</c:v>
              </c:pt>
              <c:pt idx="64">
                <c:v>6.089870303253818</c:v>
              </c:pt>
              <c:pt idx="65">
                <c:v>6.1110236804773397</c:v>
              </c:pt>
              <c:pt idx="66">
                <c:v>5.9881875411316647</c:v>
              </c:pt>
              <c:pt idx="67">
                <c:v>5.7231351537817821</c:v>
              </c:pt>
              <c:pt idx="68">
                <c:v>5.5625722879514603</c:v>
              </c:pt>
              <c:pt idx="69">
                <c:v>5.6338857342409678</c:v>
              </c:pt>
              <c:pt idx="70">
                <c:v>3.0277648898818033</c:v>
              </c:pt>
              <c:pt idx="71">
                <c:v>3.9957012976187687</c:v>
              </c:pt>
              <c:pt idx="72">
                <c:v>7.0383582249074594</c:v>
              </c:pt>
              <c:pt idx="73">
                <c:v>6.0122959966294642</c:v>
              </c:pt>
              <c:pt idx="74">
                <c:v>5.0342316266485252</c:v>
              </c:pt>
              <c:pt idx="75">
                <c:v>5.4087558575261312</c:v>
              </c:pt>
              <c:pt idx="76">
                <c:v>6.1766372083836467</c:v>
              </c:pt>
              <c:pt idx="77">
                <c:v>6.4595174587108639</c:v>
              </c:pt>
              <c:pt idx="78">
                <c:v>7.8546262313561295</c:v>
              </c:pt>
              <c:pt idx="79">
                <c:v>6.1659974476436332</c:v>
              </c:pt>
              <c:pt idx="80">
                <c:v>3.8767985879625368</c:v>
              </c:pt>
              <c:pt idx="81">
                <c:v>5.4757203910201229</c:v>
              </c:pt>
              <c:pt idx="82">
                <c:v>6.9839827084209363</c:v>
              </c:pt>
              <c:pt idx="83">
                <c:v>4.1516257333764859</c:v>
              </c:pt>
              <c:pt idx="84">
                <c:v>5.4818880024122407</c:v>
              </c:pt>
              <c:pt idx="85">
                <c:v>6.3820602226284571</c:v>
              </c:pt>
              <c:pt idx="86">
                <c:v>5.387765585310194</c:v>
              </c:pt>
              <c:pt idx="87">
                <c:v>4.6380367754663663</c:v>
              </c:pt>
              <c:pt idx="88">
                <c:v>3.6985035979370591</c:v>
              </c:pt>
              <c:pt idx="89">
                <c:v>5.3621505753953489</c:v>
              </c:pt>
              <c:pt idx="90">
                <c:v>6.8545254038320929</c:v>
              </c:pt>
              <c:pt idx="91">
                <c:v>5.2044760006634725</c:v>
              </c:pt>
              <c:pt idx="92">
                <c:v>4.9263949990369493</c:v>
              </c:pt>
              <c:pt idx="93">
                <c:v>6.193342454890101</c:v>
              </c:pt>
              <c:pt idx="94">
                <c:v>5.4165540332960651</c:v>
              </c:pt>
              <c:pt idx="95">
                <c:v>6.357801515763863</c:v>
              </c:pt>
              <c:pt idx="96">
                <c:v>4.7388220035002009</c:v>
              </c:pt>
              <c:pt idx="97">
                <c:v>5.30880495110822</c:v>
              </c:pt>
              <c:pt idx="98">
                <c:v>4.739938333508003</c:v>
              </c:pt>
              <c:pt idx="99">
                <c:v>3.7871387184686371</c:v>
              </c:pt>
              <c:pt idx="100">
                <c:v>6.1306609749467826</c:v>
              </c:pt>
              <c:pt idx="101">
                <c:v>5.6848583744520971</c:v>
              </c:pt>
              <c:pt idx="102">
                <c:v>5.3024973730004836</c:v>
              </c:pt>
              <c:pt idx="103">
                <c:v>6.3727644593943422</c:v>
              </c:pt>
              <c:pt idx="104">
                <c:v>6.4004856306180846</c:v>
              </c:pt>
              <c:pt idx="105">
                <c:v>6.1226654870449346</c:v>
              </c:pt>
              <c:pt idx="106">
                <c:v>4.1182745956593347</c:v>
              </c:pt>
              <c:pt idx="107">
                <c:v>6.1259697068801042</c:v>
              </c:pt>
              <c:pt idx="108">
                <c:v>6.6662731525793353</c:v>
              </c:pt>
              <c:pt idx="109">
                <c:v>6.1377759435268713</c:v>
              </c:pt>
              <c:pt idx="110">
                <c:v>5.7018518688089417</c:v>
              </c:pt>
              <c:pt idx="111">
                <c:v>9.4018153948383212</c:v>
              </c:pt>
              <c:pt idx="112">
                <c:v>6.8109871212697977</c:v>
              </c:pt>
              <c:pt idx="113">
                <c:v>4.9814622187910595</c:v>
              </c:pt>
              <c:pt idx="114">
                <c:v>8.3464965116736902</c:v>
              </c:pt>
              <c:pt idx="115">
                <c:v>5.1746954304109263</c:v>
              </c:pt>
              <c:pt idx="116">
                <c:v>5.4797704918875496</c:v>
              </c:pt>
              <c:pt idx="117">
                <c:v>6.057566143382874</c:v>
              </c:pt>
              <c:pt idx="118">
                <c:v>6.7974628288916028</c:v>
              </c:pt>
              <c:pt idx="119">
                <c:v>8.7204755016968178</c:v>
              </c:pt>
              <c:pt idx="120">
                <c:v>3.8954542297001735</c:v>
              </c:pt>
              <c:pt idx="121">
                <c:v>7.4300351405256677</c:v>
              </c:pt>
              <c:pt idx="122">
                <c:v>5.6020893455877845</c:v>
              </c:pt>
              <c:pt idx="123">
                <c:v>7.1127838408541963</c:v>
              </c:pt>
              <c:pt idx="124">
                <c:v>5.3509140303643701</c:v>
              </c:pt>
              <c:pt idx="125">
                <c:v>6.3757393912801419</c:v>
              </c:pt>
              <c:pt idx="126">
                <c:v>6.8516396479314414</c:v>
              </c:pt>
              <c:pt idx="127">
                <c:v>5.7157332783761898</c:v>
              </c:pt>
              <c:pt idx="128">
                <c:v>6.0597118121768894</c:v>
              </c:pt>
              <c:pt idx="129">
                <c:v>7.0775653041684219</c:v>
              </c:pt>
              <c:pt idx="130">
                <c:v>6.272083162888042</c:v>
              </c:pt>
              <c:pt idx="131">
                <c:v>5.5126452699886892</c:v>
              </c:pt>
              <c:pt idx="132">
                <c:v>6.3399679728782479</c:v>
              </c:pt>
              <c:pt idx="133">
                <c:v>6.4013562451258332</c:v>
              </c:pt>
              <c:pt idx="134">
                <c:v>5.2487672074309693</c:v>
              </c:pt>
              <c:pt idx="135">
                <c:v>6.4577396149653703</c:v>
              </c:pt>
            </c:numLit>
          </c:xVal>
          <c:yVal>
            <c:numLit>
              <c:formatCode>General</c:formatCode>
              <c:ptCount val="136"/>
              <c:pt idx="0">
                <c:v>-0.77521340768651736</c:v>
              </c:pt>
              <c:pt idx="1">
                <c:v>-1.9652809646358547</c:v>
              </c:pt>
              <c:pt idx="2">
                <c:v>-3.9728121899264184</c:v>
              </c:pt>
              <c:pt idx="3">
                <c:v>-3.7668147267250736</c:v>
              </c:pt>
              <c:pt idx="4">
                <c:v>-0.82317887303738724</c:v>
              </c:pt>
              <c:pt idx="5">
                <c:v>4.5597659670707076</c:v>
              </c:pt>
              <c:pt idx="6">
                <c:v>-2.0623108828056074</c:v>
              </c:pt>
              <c:pt idx="7">
                <c:v>6.0569314311566202E-2</c:v>
              </c:pt>
              <c:pt idx="8">
                <c:v>-4.0433986390892844</c:v>
              </c:pt>
              <c:pt idx="9">
                <c:v>0.5305012124072741</c:v>
              </c:pt>
              <c:pt idx="10">
                <c:v>2.8006783192637235</c:v>
              </c:pt>
              <c:pt idx="11">
                <c:v>-1.3233624681476366</c:v>
              </c:pt>
              <c:pt idx="12">
                <c:v>-1.8773550614516981</c:v>
              </c:pt>
              <c:pt idx="13">
                <c:v>4.2483492574792772</c:v>
              </c:pt>
              <c:pt idx="14">
                <c:v>1.8058423018326133</c:v>
              </c:pt>
              <c:pt idx="15">
                <c:v>-1.5094858854154554</c:v>
              </c:pt>
              <c:pt idx="16">
                <c:v>6.1433960713748661</c:v>
              </c:pt>
              <c:pt idx="17">
                <c:v>-0.85599947649605346</c:v>
              </c:pt>
              <c:pt idx="18">
                <c:v>5.1503909603371252</c:v>
              </c:pt>
              <c:pt idx="19">
                <c:v>-3.1481021405385388</c:v>
              </c:pt>
              <c:pt idx="20">
                <c:v>-2.475791711755849</c:v>
              </c:pt>
              <c:pt idx="21">
                <c:v>3.0561458576147782</c:v>
              </c:pt>
              <c:pt idx="22">
                <c:v>2.3115727710063982</c:v>
              </c:pt>
              <c:pt idx="23">
                <c:v>-1.8270384151824643</c:v>
              </c:pt>
              <c:pt idx="24">
                <c:v>0.20601133616688649</c:v>
              </c:pt>
              <c:pt idx="25">
                <c:v>3.1035234460376593E-2</c:v>
              </c:pt>
              <c:pt idx="26">
                <c:v>2.446691353958002</c:v>
              </c:pt>
              <c:pt idx="27">
                <c:v>2.17316645441029</c:v>
              </c:pt>
              <c:pt idx="28">
                <c:v>-2.1056415159934674</c:v>
              </c:pt>
              <c:pt idx="29">
                <c:v>-1.6713246291283781</c:v>
              </c:pt>
              <c:pt idx="30">
                <c:v>-0.34243440920323653</c:v>
              </c:pt>
              <c:pt idx="31">
                <c:v>-2.343460867439815</c:v>
              </c:pt>
              <c:pt idx="32">
                <c:v>-0.9471928535540437</c:v>
              </c:pt>
              <c:pt idx="33">
                <c:v>-3.5117057151185715</c:v>
              </c:pt>
              <c:pt idx="34">
                <c:v>0.5665448789682479</c:v>
              </c:pt>
              <c:pt idx="35">
                <c:v>-0.91858029701698296</c:v>
              </c:pt>
              <c:pt idx="36">
                <c:v>-2.2093788365749205</c:v>
              </c:pt>
              <c:pt idx="37">
                <c:v>-3.0626200634232932</c:v>
              </c:pt>
              <c:pt idx="38">
                <c:v>-2.3377136300371797</c:v>
              </c:pt>
              <c:pt idx="39">
                <c:v>0.14076637435210682</c:v>
              </c:pt>
              <c:pt idx="40">
                <c:v>6.4682474986175071</c:v>
              </c:pt>
              <c:pt idx="41">
                <c:v>3.9497843332316451</c:v>
              </c:pt>
              <c:pt idx="42">
                <c:v>-0.49534468728204573</c:v>
              </c:pt>
              <c:pt idx="43">
                <c:v>-1.2902131542683253</c:v>
              </c:pt>
              <c:pt idx="44">
                <c:v>2.7678651234518892</c:v>
              </c:pt>
              <c:pt idx="45">
                <c:v>1.8322433951696704</c:v>
              </c:pt>
              <c:pt idx="46">
                <c:v>0.13561129253321624</c:v>
              </c:pt>
              <c:pt idx="47">
                <c:v>-0.67789901939237662</c:v>
              </c:pt>
              <c:pt idx="48">
                <c:v>-1.6222582939642525</c:v>
              </c:pt>
              <c:pt idx="49">
                <c:v>-1.7439104577274112</c:v>
              </c:pt>
              <c:pt idx="50">
                <c:v>-0.14698136736991163</c:v>
              </c:pt>
              <c:pt idx="51">
                <c:v>2.5076940449487477</c:v>
              </c:pt>
              <c:pt idx="52">
                <c:v>-6.8192911068775004</c:v>
              </c:pt>
              <c:pt idx="53">
                <c:v>-1.1026401283680896</c:v>
              </c:pt>
              <c:pt idx="54">
                <c:v>2.7471605303033124</c:v>
              </c:pt>
              <c:pt idx="55">
                <c:v>-2.8367125161517572</c:v>
              </c:pt>
              <c:pt idx="56">
                <c:v>0.55625141013162516</c:v>
              </c:pt>
              <c:pt idx="57">
                <c:v>-2.7964374131760854</c:v>
              </c:pt>
              <c:pt idx="58">
                <c:v>-4.6367669551853581</c:v>
              </c:pt>
              <c:pt idx="59">
                <c:v>3.9866362212484265</c:v>
              </c:pt>
              <c:pt idx="60">
                <c:v>-2.2787075904468628</c:v>
              </c:pt>
              <c:pt idx="61">
                <c:v>1.7547415458995328</c:v>
              </c:pt>
              <c:pt idx="62">
                <c:v>-1.5186523181018412</c:v>
              </c:pt>
              <c:pt idx="63">
                <c:v>-2.6551023265875999</c:v>
              </c:pt>
              <c:pt idx="64">
                <c:v>-1.7177043117885953</c:v>
              </c:pt>
              <c:pt idx="65">
                <c:v>1.7987288237817687</c:v>
              </c:pt>
              <c:pt idx="66">
                <c:v>-2.5767792335968482</c:v>
              </c:pt>
              <c:pt idx="67">
                <c:v>3.4869633393672883</c:v>
              </c:pt>
              <c:pt idx="68">
                <c:v>-0.87111919083880185</c:v>
              </c:pt>
              <c:pt idx="69">
                <c:v>-2.3076451346447691</c:v>
              </c:pt>
              <c:pt idx="70">
                <c:v>-1.7822306706127002</c:v>
              </c:pt>
              <c:pt idx="71">
                <c:v>1.0507844522921688</c:v>
              </c:pt>
              <c:pt idx="72">
                <c:v>4.8210537174357855</c:v>
              </c:pt>
              <c:pt idx="73">
                <c:v>-0.33951241299526469</c:v>
              </c:pt>
              <c:pt idx="74">
                <c:v>1.1425385649116562</c:v>
              </c:pt>
              <c:pt idx="75">
                <c:v>-4.0090488536350808</c:v>
              </c:pt>
              <c:pt idx="76">
                <c:v>-0.71978965280390739</c:v>
              </c:pt>
              <c:pt idx="77">
                <c:v>-1.2492666861250381</c:v>
              </c:pt>
              <c:pt idx="78">
                <c:v>-3.9129648391554506</c:v>
              </c:pt>
              <c:pt idx="79">
                <c:v>-4.486164848524691</c:v>
              </c:pt>
              <c:pt idx="80">
                <c:v>-0.74276535433010116</c:v>
              </c:pt>
              <c:pt idx="81">
                <c:v>-2.404275061613165</c:v>
              </c:pt>
              <c:pt idx="82">
                <c:v>2.0712123525515613</c:v>
              </c:pt>
              <c:pt idx="83">
                <c:v>-0.95297122805189671</c:v>
              </c:pt>
              <c:pt idx="84">
                <c:v>-0.91711912715760491</c:v>
              </c:pt>
              <c:pt idx="85">
                <c:v>6.8004691222809264</c:v>
              </c:pt>
              <c:pt idx="86">
                <c:v>-2.6987259338588805</c:v>
              </c:pt>
              <c:pt idx="87">
                <c:v>-0.78622419816258393</c:v>
              </c:pt>
              <c:pt idx="88">
                <c:v>-2.6870377442785225</c:v>
              </c:pt>
              <c:pt idx="89">
                <c:v>-0.93226343003834788</c:v>
              </c:pt>
              <c:pt idx="90">
                <c:v>5.0588591818601349</c:v>
              </c:pt>
              <c:pt idx="91">
                <c:v>1.8705141675593389</c:v>
              </c:pt>
              <c:pt idx="92">
                <c:v>-0.73620282399922576</c:v>
              </c:pt>
              <c:pt idx="93">
                <c:v>-9.3266577816399909E-2</c:v>
              </c:pt>
              <c:pt idx="94">
                <c:v>-1.8745361153149926</c:v>
              </c:pt>
              <c:pt idx="95">
                <c:v>0.17750662845333665</c:v>
              </c:pt>
              <c:pt idx="96">
                <c:v>1.134322438569475</c:v>
              </c:pt>
              <c:pt idx="97">
                <c:v>2.6927286423755312</c:v>
              </c:pt>
              <c:pt idx="98">
                <c:v>3.0088861344169802</c:v>
              </c:pt>
              <c:pt idx="99">
                <c:v>-1.7720618787150659</c:v>
              </c:pt>
              <c:pt idx="100">
                <c:v>2.203768421620544</c:v>
              </c:pt>
              <c:pt idx="101">
                <c:v>-0.14617258758578533</c:v>
              </c:pt>
              <c:pt idx="102">
                <c:v>0.29585412402906375</c:v>
              </c:pt>
              <c:pt idx="103">
                <c:v>-1.0457667137954818</c:v>
              </c:pt>
              <c:pt idx="104">
                <c:v>1.4503018801633543</c:v>
              </c:pt>
              <c:pt idx="105">
                <c:v>1.0898799540074036</c:v>
              </c:pt>
              <c:pt idx="106">
                <c:v>-2.0495020928993664</c:v>
              </c:pt>
              <c:pt idx="107">
                <c:v>2.4975251639624609</c:v>
              </c:pt>
              <c:pt idx="108">
                <c:v>3.5000033161990869</c:v>
              </c:pt>
              <c:pt idx="109">
                <c:v>3.5769860788186572</c:v>
              </c:pt>
              <c:pt idx="110">
                <c:v>4.0873233499308155</c:v>
              </c:pt>
              <c:pt idx="111">
                <c:v>3.3621906715549841</c:v>
              </c:pt>
              <c:pt idx="112">
                <c:v>3.3766186520040264E-2</c:v>
              </c:pt>
              <c:pt idx="113">
                <c:v>0.24943302348346474</c:v>
              </c:pt>
              <c:pt idx="114">
                <c:v>-4.1499752103812462</c:v>
              </c:pt>
              <c:pt idx="115">
                <c:v>-2.1080298189420033</c:v>
              </c:pt>
              <c:pt idx="116">
                <c:v>-1.3876902226769667</c:v>
              </c:pt>
              <c:pt idx="117">
                <c:v>1.0118486271687575</c:v>
              </c:pt>
              <c:pt idx="118">
                <c:v>0.56037457823664116</c:v>
              </c:pt>
              <c:pt idx="119">
                <c:v>1.347892861567475</c:v>
              </c:pt>
              <c:pt idx="120">
                <c:v>2.9802897209692212</c:v>
              </c:pt>
              <c:pt idx="121">
                <c:v>-3.6635517098575767</c:v>
              </c:pt>
              <c:pt idx="122">
                <c:v>3.5026208725890795</c:v>
              </c:pt>
              <c:pt idx="123">
                <c:v>-2.9048947786192771</c:v>
              </c:pt>
              <c:pt idx="124">
                <c:v>1.6614214528847597</c:v>
              </c:pt>
              <c:pt idx="125">
                <c:v>-1.5419620323046841</c:v>
              </c:pt>
              <c:pt idx="126">
                <c:v>-1.1127005742526919</c:v>
              </c:pt>
              <c:pt idx="127">
                <c:v>6.8847404786010635</c:v>
              </c:pt>
              <c:pt idx="128">
                <c:v>-0.63427274230548303</c:v>
              </c:pt>
              <c:pt idx="129">
                <c:v>-0.92109470547224959</c:v>
              </c:pt>
              <c:pt idx="130">
                <c:v>1.8875754548770649</c:v>
              </c:pt>
              <c:pt idx="131">
                <c:v>-0.19705758633754833</c:v>
              </c:pt>
              <c:pt idx="132">
                <c:v>0.87189661074770353</c:v>
              </c:pt>
              <c:pt idx="133">
                <c:v>2.0063834853107574</c:v>
              </c:pt>
              <c:pt idx="134">
                <c:v>-2.3350210563838401</c:v>
              </c:pt>
              <c:pt idx="135">
                <c:v>2.1501751955074715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7115-4B60-880C-B0280867D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822888"/>
        <c:axId val="786823280"/>
      </c:scatterChart>
      <c:valAx>
        <c:axId val="786822888"/>
        <c:scaling>
          <c:orientation val="minMax"/>
          <c:min val="3"/>
        </c:scaling>
        <c:delete val="0"/>
        <c:axPos val="b"/>
        <c:numFmt formatCode="General" sourceLinked="1"/>
        <c:majorTickMark val="out"/>
        <c:minorTickMark val="none"/>
        <c:tickLblPos val="nextTo"/>
        <c:crossAx val="786823280"/>
        <c:crossesAt val="-8"/>
        <c:crossBetween val="midCat"/>
      </c:valAx>
      <c:valAx>
        <c:axId val="78682328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86822888"/>
        <c:crossesAt val="0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Histogram of Residuals
</a:t>
            </a:r>
            <a:r>
              <a:rPr lang="en-US" sz="1000"/>
              <a:t>Model 8 for EV_Rev    (2 variables, n=136)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Actual</c:v>
          </c:tx>
          <c:spPr>
            <a:solidFill>
              <a:srgbClr val="9999FF"/>
            </a:solidFill>
            <a:ln w="9525" cap="flat" cmpd="sng" algn="ctr">
              <a:solidFill>
                <a:srgbClr val="0000FF"/>
              </a:solidFill>
              <a:prstDash val="solid"/>
              <a:round/>
              <a:headEnd type="none" w="med" len="med"/>
              <a:tailEnd type="none" w="med" len="med"/>
            </a:ln>
          </c:spPr>
          <c:invertIfNegative val="0"/>
          <c:cat>
            <c:strLit>
              <c:ptCount val="21"/>
              <c:pt idx="0">
                <c:v>-6.90</c:v>
              </c:pt>
              <c:pt idx="1">
                <c:v>-6.21</c:v>
              </c:pt>
              <c:pt idx="2">
                <c:v>-5.52</c:v>
              </c:pt>
              <c:pt idx="3">
                <c:v>-4.83</c:v>
              </c:pt>
              <c:pt idx="4">
                <c:v>-4.14</c:v>
              </c:pt>
              <c:pt idx="5">
                <c:v>-3.45</c:v>
              </c:pt>
              <c:pt idx="6">
                <c:v>-2.76</c:v>
              </c:pt>
              <c:pt idx="7">
                <c:v>-2.07</c:v>
              </c:pt>
              <c:pt idx="8">
                <c:v>-1.38</c:v>
              </c:pt>
              <c:pt idx="9">
                <c:v>-0.69</c:v>
              </c:pt>
              <c:pt idx="10">
                <c:v>0.00</c:v>
              </c:pt>
              <c:pt idx="11">
                <c:v>0.69</c:v>
              </c:pt>
              <c:pt idx="12">
                <c:v>1.38</c:v>
              </c:pt>
              <c:pt idx="13">
                <c:v>2.07</c:v>
              </c:pt>
              <c:pt idx="14">
                <c:v>2.76</c:v>
              </c:pt>
              <c:pt idx="15">
                <c:v>3.45</c:v>
              </c:pt>
              <c:pt idx="16">
                <c:v>4.14</c:v>
              </c:pt>
              <c:pt idx="17">
                <c:v>4.83</c:v>
              </c:pt>
              <c:pt idx="18">
                <c:v>5.52</c:v>
              </c:pt>
              <c:pt idx="19">
                <c:v>6.21</c:v>
              </c:pt>
              <c:pt idx="20">
                <c:v>6.90</c:v>
              </c:pt>
            </c:strLit>
          </c:cat>
          <c:val>
            <c:numLit>
              <c:formatCode>General</c:formatCode>
              <c:ptCount val="21"/>
              <c:pt idx="0">
                <c:v>1</c:v>
              </c:pt>
              <c:pt idx="1">
                <c:v>0</c:v>
              </c:pt>
              <c:pt idx="2">
                <c:v>0</c:v>
              </c:pt>
              <c:pt idx="3">
                <c:v>2</c:v>
              </c:pt>
              <c:pt idx="4">
                <c:v>5</c:v>
              </c:pt>
              <c:pt idx="5">
                <c:v>4</c:v>
              </c:pt>
              <c:pt idx="6">
                <c:v>9</c:v>
              </c:pt>
              <c:pt idx="7">
                <c:v>18</c:v>
              </c:pt>
              <c:pt idx="8">
                <c:v>13</c:v>
              </c:pt>
              <c:pt idx="9">
                <c:v>17</c:v>
              </c:pt>
              <c:pt idx="10">
                <c:v>15</c:v>
              </c:pt>
              <c:pt idx="11">
                <c:v>6</c:v>
              </c:pt>
              <c:pt idx="12">
                <c:v>7</c:v>
              </c:pt>
              <c:pt idx="13">
                <c:v>12</c:v>
              </c:pt>
              <c:pt idx="14">
                <c:v>10</c:v>
              </c:pt>
              <c:pt idx="15">
                <c:v>5</c:v>
              </c:pt>
              <c:pt idx="16">
                <c:v>4</c:v>
              </c:pt>
              <c:pt idx="17">
                <c:v>4</c:v>
              </c:pt>
              <c:pt idx="18">
                <c:v>0</c:v>
              </c:pt>
              <c:pt idx="19">
                <c:v>2</c:v>
              </c:pt>
              <c:pt idx="20">
                <c:v>2</c:v>
              </c:pt>
            </c:numLit>
          </c:val>
          <c:extLst>
            <c:ext xmlns:c16="http://schemas.microsoft.com/office/drawing/2014/chart" uri="{C3380CC4-5D6E-409C-BE32-E72D297353CC}">
              <c16:uniqueId val="{00000000-FE36-4F16-B100-8109056A3012}"/>
            </c:ext>
          </c:extLst>
        </c:ser>
        <c:ser>
          <c:idx val="1"/>
          <c:order val="1"/>
          <c:tx>
            <c:v>Normal</c:v>
          </c:tx>
          <c:spPr>
            <a:solidFill>
              <a:srgbClr val="FFD2D2"/>
            </a:solidFill>
            <a:ln w="9525">
              <a:solidFill>
                <a:srgbClr val="FF0000"/>
              </a:solidFill>
              <a:prstDash val="solid"/>
            </a:ln>
          </c:spPr>
          <c:invertIfNegative val="0"/>
          <c:cat>
            <c:strLit>
              <c:ptCount val="21"/>
              <c:pt idx="0">
                <c:v>-6.90</c:v>
              </c:pt>
              <c:pt idx="1">
                <c:v>-6.21</c:v>
              </c:pt>
              <c:pt idx="2">
                <c:v>-5.52</c:v>
              </c:pt>
              <c:pt idx="3">
                <c:v>-4.83</c:v>
              </c:pt>
              <c:pt idx="4">
                <c:v>-4.14</c:v>
              </c:pt>
              <c:pt idx="5">
                <c:v>-3.45</c:v>
              </c:pt>
              <c:pt idx="6">
                <c:v>-2.76</c:v>
              </c:pt>
              <c:pt idx="7">
                <c:v>-2.07</c:v>
              </c:pt>
              <c:pt idx="8">
                <c:v>-1.38</c:v>
              </c:pt>
              <c:pt idx="9">
                <c:v>-0.69</c:v>
              </c:pt>
              <c:pt idx="10">
                <c:v>0.00</c:v>
              </c:pt>
              <c:pt idx="11">
                <c:v>0.69</c:v>
              </c:pt>
              <c:pt idx="12">
                <c:v>1.38</c:v>
              </c:pt>
              <c:pt idx="13">
                <c:v>2.07</c:v>
              </c:pt>
              <c:pt idx="14">
                <c:v>2.76</c:v>
              </c:pt>
              <c:pt idx="15">
                <c:v>3.45</c:v>
              </c:pt>
              <c:pt idx="16">
                <c:v>4.14</c:v>
              </c:pt>
              <c:pt idx="17">
                <c:v>4.83</c:v>
              </c:pt>
              <c:pt idx="18">
                <c:v>5.52</c:v>
              </c:pt>
              <c:pt idx="19">
                <c:v>6.21</c:v>
              </c:pt>
              <c:pt idx="20">
                <c:v>6.90</c:v>
              </c:pt>
            </c:strLit>
          </c:cat>
          <c:val>
            <c:numLit>
              <c:formatCode>General</c:formatCode>
              <c:ptCount val="21"/>
              <c:pt idx="0">
                <c:v>0.4692993027420389</c:v>
              </c:pt>
              <c:pt idx="1">
                <c:v>0.89660111657061503</c:v>
              </c:pt>
              <c:pt idx="2">
                <c:v>1.6001179069863589</c:v>
              </c:pt>
              <c:pt idx="3">
                <c:v>2.6675262104873023</c:v>
              </c:pt>
              <c:pt idx="4">
                <c:v>4.154033433793443</c:v>
              </c:pt>
              <c:pt idx="5">
                <c:v>6.0427742455506586</c:v>
              </c:pt>
              <c:pt idx="6">
                <c:v>8.2112310464613607</c:v>
              </c:pt>
              <c:pt idx="7">
                <c:v>10.422839503714457</c:v>
              </c:pt>
              <c:pt idx="8">
                <c:v>12.358620019719687</c:v>
              </c:pt>
              <c:pt idx="9">
                <c:v>13.688638606803657</c:v>
              </c:pt>
              <c:pt idx="10">
                <c:v>14.163057035119124</c:v>
              </c:pt>
              <c:pt idx="11">
                <c:v>13.688638606803664</c:v>
              </c:pt>
              <c:pt idx="12">
                <c:v>12.358620019719694</c:v>
              </c:pt>
              <c:pt idx="13">
                <c:v>10.422839503714442</c:v>
              </c:pt>
              <c:pt idx="14">
                <c:v>8.2112310464613643</c:v>
              </c:pt>
              <c:pt idx="15">
                <c:v>6.0427742455506603</c:v>
              </c:pt>
              <c:pt idx="16">
                <c:v>4.1540334337934439</c:v>
              </c:pt>
              <c:pt idx="17">
                <c:v>2.6675262104872957</c:v>
              </c:pt>
              <c:pt idx="18">
                <c:v>1.6001179069863838</c:v>
              </c:pt>
              <c:pt idx="19">
                <c:v>0.89660111657062203</c:v>
              </c:pt>
              <c:pt idx="20">
                <c:v>0.46929930274203002</c:v>
              </c:pt>
            </c:numLit>
          </c:val>
          <c:extLst>
            <c:ext xmlns:c16="http://schemas.microsoft.com/office/drawing/2014/chart" uri="{C3380CC4-5D6E-409C-BE32-E72D297353CC}">
              <c16:uniqueId val="{00000001-FE36-4F16-B100-8109056A30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786824064"/>
        <c:axId val="786824456"/>
      </c:barChart>
      <c:catAx>
        <c:axId val="786824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</a:t>
                </a:r>
                <a:r>
                  <a:rPr lang="en-US" sz="900"/>
                  <a:t>ormality test (A-D*):  P &lt; 0.05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824456"/>
        <c:crosses val="autoZero"/>
        <c:auto val="1"/>
        <c:lblAlgn val="ctr"/>
        <c:lblOffset val="100"/>
        <c:noMultiLvlLbl val="0"/>
      </c:catAx>
      <c:valAx>
        <c:axId val="786824456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86824064"/>
        <c:crosses val="autoZero"/>
        <c:crossBetween val="between"/>
      </c:valAx>
      <c:spPr>
        <a:ln w="6350">
          <a:solidFill>
            <a:srgbClr val="808080"/>
          </a:solidFill>
          <a:prstDash val="solid"/>
        </a:ln>
      </c:spPr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Normal Quantile Plot
</a:t>
            </a:r>
            <a:r>
              <a:rPr lang="en-US" sz="1000"/>
              <a:t>Model 8 for EV_Rev    (2 variables, n=136)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36"/>
              <c:pt idx="0">
                <c:v>-2.4421880491253143</c:v>
              </c:pt>
              <c:pt idx="1">
                <c:v>-2.1808153021682743</c:v>
              </c:pt>
              <c:pt idx="2">
                <c:v>-2.0160416527263889</c:v>
              </c:pt>
              <c:pt idx="3">
                <c:v>-1.8927271749816086</c:v>
              </c:pt>
              <c:pt idx="4">
                <c:v>-1.7928763311641345</c:v>
              </c:pt>
              <c:pt idx="5">
                <c:v>-1.7082431184356848</c:v>
              </c:pt>
              <c:pt idx="6">
                <c:v>-1.6343290311739951</c:v>
              </c:pt>
              <c:pt idx="7">
                <c:v>-1.5683978131253791</c:v>
              </c:pt>
              <c:pt idx="8">
                <c:v>-1.5086554288199723</c:v>
              </c:pt>
              <c:pt idx="9">
                <c:v>-1.4538590016426736</c:v>
              </c:pt>
              <c:pt idx="10">
                <c:v>-1.4031103288021298</c:v>
              </c:pt>
              <c:pt idx="11">
                <c:v>-1.3557381963313866</c:v>
              </c:pt>
              <c:pt idx="12">
                <c:v>-1.3112271808003206</c:v>
              </c:pt>
              <c:pt idx="13">
                <c:v>-1.269172457559324</c:v>
              </c:pt>
              <c:pt idx="14">
                <c:v>-1.2292499609031462</c:v>
              </c:pt>
              <c:pt idx="15">
                <c:v>-1.1911960182089929</c:v>
              </c:pt>
              <c:pt idx="16">
                <c:v>-1.1547930533436743</c:v>
              </c:pt>
              <c:pt idx="17">
                <c:v>-1.1198593043168414</c:v>
              </c:pt>
              <c:pt idx="18">
                <c:v>-1.0862412702562496</c:v>
              </c:pt>
              <c:pt idx="19">
                <c:v>-1.0538080593349772</c:v>
              </c:pt>
              <c:pt idx="20">
                <c:v>-1.0224470891122484</c:v>
              </c:pt>
              <c:pt idx="21">
                <c:v>-0.99206076735168713</c:v>
              </c:pt>
              <c:pt idx="22">
                <c:v>-0.96256389575654266</c:v>
              </c:pt>
              <c:pt idx="23">
                <c:v>-0.93388161486624266</c:v>
              </c:pt>
              <c:pt idx="24">
                <c:v>-0.90594775965164942</c:v>
              </c:pt>
              <c:pt idx="25">
                <c:v>-0.87870353070900364</c:v>
              </c:pt>
              <c:pt idx="26">
                <c:v>-0.85209641074996312</c:v>
              </c:pt>
              <c:pt idx="27">
                <c:v>-0.82607927374516243</c:v>
              </c:pt>
              <c:pt idx="28">
                <c:v>-0.80060964683518954</c:v>
              </c:pt>
              <c:pt idx="29">
                <c:v>-0.77564909445822994</c:v>
              </c:pt>
              <c:pt idx="30">
                <c:v>-0.75116270105805993</c:v>
              </c:pt>
              <c:pt idx="31">
                <c:v>-0.72711863391436637</c:v>
              </c:pt>
              <c:pt idx="32">
                <c:v>-0.70348777155606745</c:v>
              </c:pt>
              <c:pt idx="33">
                <c:v>-0.68024338621206992</c:v>
              </c:pt>
              <c:pt idx="34">
                <c:v>-0.65736087106186036</c:v>
              </c:pt>
              <c:pt idx="35">
                <c:v>-0.63481750484239274</c:v>
              </c:pt>
              <c:pt idx="36">
                <c:v>-0.61259224777345078</c:v>
              </c:pt>
              <c:pt idx="37">
                <c:v>-0.59066556387310731</c:v>
              </c:pt>
              <c:pt idx="38">
                <c:v>-0.56901926561672789</c:v>
              </c:pt>
              <c:pt idx="39">
                <c:v>-0.54763637759838146</c:v>
              </c:pt>
              <c:pt idx="40">
                <c:v>-0.52650101642132652</c:v>
              </c:pt>
              <c:pt idx="41">
                <c:v>-0.5055982845039646</c:v>
              </c:pt>
              <c:pt idx="42">
                <c:v>-0.48491417586189661</c:v>
              </c:pt>
              <c:pt idx="43">
                <c:v>-0.46443549223297398</c:v>
              </c:pt>
              <c:pt idx="44">
                <c:v>-0.44414976816409463</c:v>
              </c:pt>
              <c:pt idx="45">
                <c:v>-0.42404520388658756</c:v>
              </c:pt>
              <c:pt idx="46">
                <c:v>-0.40411060497970364</c:v>
              </c:pt>
              <c:pt idx="47">
                <c:v>-0.38433532796565362</c:v>
              </c:pt>
              <c:pt idx="48">
                <c:v>-0.36470923110000675</c:v>
              </c:pt>
              <c:pt idx="49">
                <c:v>-0.34522262972237733</c:v>
              </c:pt>
              <c:pt idx="50">
                <c:v>-0.32586625561750387</c:v>
              </c:pt>
              <c:pt idx="51">
                <c:v>-0.30663121990884307</c:v>
              </c:pt>
              <c:pt idx="52">
                <c:v>-0.28750897906785555</c:v>
              </c:pt>
              <c:pt idx="53">
                <c:v>-0.26849130367407431</c:v>
              </c:pt>
              <c:pt idx="54">
                <c:v>-0.24957024960527571</c:v>
              </c:pt>
              <c:pt idx="55">
                <c:v>-0.23073813137485966</c:v>
              </c:pt>
              <c:pt idx="56">
                <c:v>-0.21198749736584974</c:v>
              </c:pt>
              <c:pt idx="57">
                <c:v>-0.19331110673860696</c:v>
              </c:pt>
              <c:pt idx="58">
                <c:v>-0.17470190781306269</c:v>
              </c:pt>
              <c:pt idx="59">
                <c:v>-0.15615301774660617</c:v>
              </c:pt>
              <c:pt idx="60">
                <c:v>-0.13765770334616576</c:v>
              </c:pt>
              <c:pt idx="61">
                <c:v>-0.11920936286789212</c:v>
              </c:pt>
              <c:pt idx="62">
                <c:v>-0.10080150867052502</c:v>
              </c:pt>
              <c:pt idx="63">
                <c:v>-8.2427750599248076E-2</c:v>
              </c:pt>
              <c:pt idx="64">
                <c:v>-6.4081779985855875E-2</c:v>
              </c:pt>
              <c:pt idx="65">
                <c:v>-4.5757354158539494E-2</c:v>
              </c:pt>
              <c:pt idx="66">
                <c:v>-2.7448281360703052E-2</c:v>
              </c:pt>
              <c:pt idx="67">
                <c:v>-9.1484059830602652E-3</c:v>
              </c:pt>
              <c:pt idx="68">
                <c:v>9.1484059830604057E-3</c:v>
              </c:pt>
              <c:pt idx="69">
                <c:v>2.7448281360703194E-2</c:v>
              </c:pt>
              <c:pt idx="70">
                <c:v>4.575735415853964E-2</c:v>
              </c:pt>
              <c:pt idx="71">
                <c:v>6.4081779985855875E-2</c:v>
              </c:pt>
              <c:pt idx="72">
                <c:v>8.2427750599248076E-2</c:v>
              </c:pt>
              <c:pt idx="73">
                <c:v>0.10080150867052502</c:v>
              </c:pt>
              <c:pt idx="74">
                <c:v>0.11920936286789212</c:v>
              </c:pt>
              <c:pt idx="75">
                <c:v>0.13765770334616576</c:v>
              </c:pt>
              <c:pt idx="76">
                <c:v>0.15615301774660617</c:v>
              </c:pt>
              <c:pt idx="77">
                <c:v>0.17470190781306255</c:v>
              </c:pt>
              <c:pt idx="78">
                <c:v>0.19331110673860685</c:v>
              </c:pt>
              <c:pt idx="79">
                <c:v>0.21198749736584957</c:v>
              </c:pt>
              <c:pt idx="80">
                <c:v>0.23073813137485977</c:v>
              </c:pt>
              <c:pt idx="81">
                <c:v>0.24957024960527588</c:v>
              </c:pt>
              <c:pt idx="82">
                <c:v>0.26849130367407442</c:v>
              </c:pt>
              <c:pt idx="83">
                <c:v>0.28750897906785572</c:v>
              </c:pt>
              <c:pt idx="84">
                <c:v>0.30663121990884307</c:v>
              </c:pt>
              <c:pt idx="85">
                <c:v>0.32586625561750387</c:v>
              </c:pt>
              <c:pt idx="86">
                <c:v>0.34522262972237733</c:v>
              </c:pt>
              <c:pt idx="87">
                <c:v>0.36470923110000675</c:v>
              </c:pt>
              <c:pt idx="88">
                <c:v>0.38433532796565362</c:v>
              </c:pt>
              <c:pt idx="89">
                <c:v>0.40411060497970364</c:v>
              </c:pt>
              <c:pt idx="90">
                <c:v>0.42404520388658723</c:v>
              </c:pt>
              <c:pt idx="91">
                <c:v>0.44414976816409452</c:v>
              </c:pt>
              <c:pt idx="92">
                <c:v>0.46443549223297381</c:v>
              </c:pt>
              <c:pt idx="93">
                <c:v>0.48491417586189683</c:v>
              </c:pt>
              <c:pt idx="94">
                <c:v>0.50559828450396482</c:v>
              </c:pt>
              <c:pt idx="95">
                <c:v>0.52650101642132674</c:v>
              </c:pt>
              <c:pt idx="96">
                <c:v>0.54763637759838146</c:v>
              </c:pt>
              <c:pt idx="97">
                <c:v>0.56901926561672789</c:v>
              </c:pt>
              <c:pt idx="98">
                <c:v>0.59066556387310731</c:v>
              </c:pt>
              <c:pt idx="99">
                <c:v>0.61259224777345078</c:v>
              </c:pt>
              <c:pt idx="100">
                <c:v>0.63481750484239274</c:v>
              </c:pt>
              <c:pt idx="101">
                <c:v>0.65736087106186036</c:v>
              </c:pt>
              <c:pt idx="102">
                <c:v>0.68024338621206992</c:v>
              </c:pt>
              <c:pt idx="103">
                <c:v>0.70348777155606745</c:v>
              </c:pt>
              <c:pt idx="104">
                <c:v>0.72711863391436626</c:v>
              </c:pt>
              <c:pt idx="105">
                <c:v>0.75116270105806004</c:v>
              </c:pt>
              <c:pt idx="106">
                <c:v>0.7756490944582306</c:v>
              </c:pt>
              <c:pt idx="107">
                <c:v>0.80060964683518954</c:v>
              </c:pt>
              <c:pt idx="108">
                <c:v>0.82607927374516243</c:v>
              </c:pt>
              <c:pt idx="109">
                <c:v>0.85209641074996312</c:v>
              </c:pt>
              <c:pt idx="110">
                <c:v>0.87870353070900364</c:v>
              </c:pt>
              <c:pt idx="111">
                <c:v>0.90594775965164942</c:v>
              </c:pt>
              <c:pt idx="112">
                <c:v>0.93388161486624266</c:v>
              </c:pt>
              <c:pt idx="113">
                <c:v>0.96256389575654266</c:v>
              </c:pt>
              <c:pt idx="114">
                <c:v>0.99206076735168713</c:v>
              </c:pt>
              <c:pt idx="115">
                <c:v>1.0224470891122484</c:v>
              </c:pt>
              <c:pt idx="116">
                <c:v>1.053808059334977</c:v>
              </c:pt>
              <c:pt idx="117">
                <c:v>1.0862412702562496</c:v>
              </c:pt>
              <c:pt idx="118">
                <c:v>1.1198593043168414</c:v>
              </c:pt>
              <c:pt idx="119">
                <c:v>1.1547930533436743</c:v>
              </c:pt>
              <c:pt idx="120">
                <c:v>1.1911960182089929</c:v>
              </c:pt>
              <c:pt idx="121">
                <c:v>1.2292499609031462</c:v>
              </c:pt>
              <c:pt idx="122">
                <c:v>1.269172457559324</c:v>
              </c:pt>
              <c:pt idx="123">
                <c:v>1.3112271808003206</c:v>
              </c:pt>
              <c:pt idx="124">
                <c:v>1.3557381963313866</c:v>
              </c:pt>
              <c:pt idx="125">
                <c:v>1.4031103288021298</c:v>
              </c:pt>
              <c:pt idx="126">
                <c:v>1.453859001642674</c:v>
              </c:pt>
              <c:pt idx="127">
                <c:v>1.5086554288199729</c:v>
              </c:pt>
              <c:pt idx="128">
                <c:v>1.5683978131253788</c:v>
              </c:pt>
              <c:pt idx="129">
                <c:v>1.6343290311739946</c:v>
              </c:pt>
              <c:pt idx="130">
                <c:v>1.7082431184356857</c:v>
              </c:pt>
              <c:pt idx="131">
                <c:v>1.7928763311641345</c:v>
              </c:pt>
              <c:pt idx="132">
                <c:v>1.8927271749816097</c:v>
              </c:pt>
              <c:pt idx="133">
                <c:v>2.0160416527263894</c:v>
              </c:pt>
              <c:pt idx="134">
                <c:v>2.1808153021682743</c:v>
              </c:pt>
              <c:pt idx="135">
                <c:v>2.4421880491253143</c:v>
              </c:pt>
            </c:numLit>
          </c:xVal>
          <c:yVal>
            <c:numLit>
              <c:formatCode>General</c:formatCode>
              <c:ptCount val="136"/>
              <c:pt idx="0">
                <c:v>-2.5872409821183733</c:v>
              </c:pt>
              <c:pt idx="1">
                <c:v>-1.7591906992926214</c:v>
              </c:pt>
              <c:pt idx="2">
                <c:v>-1.702052217265821</c:v>
              </c:pt>
              <c:pt idx="3">
                <c:v>-1.5745017731014652</c:v>
              </c:pt>
              <c:pt idx="4">
                <c:v>-1.5340665916935134</c:v>
              </c:pt>
              <c:pt idx="5">
                <c:v>-1.5210342733394167</c:v>
              </c:pt>
              <c:pt idx="6">
                <c:v>-1.5072860728398456</c:v>
              </c:pt>
              <c:pt idx="7">
                <c:v>-1.4845799709651655</c:v>
              </c:pt>
              <c:pt idx="8">
                <c:v>-1.4291305768133706</c:v>
              </c:pt>
              <c:pt idx="9">
                <c:v>-1.3899525588948627</c:v>
              </c:pt>
              <c:pt idx="10">
                <c:v>-1.3323421453779696</c:v>
              </c:pt>
              <c:pt idx="11">
                <c:v>-1.194390845946063</c:v>
              </c:pt>
              <c:pt idx="12">
                <c:v>-1.1619589216180173</c:v>
              </c:pt>
              <c:pt idx="13">
                <c:v>-1.1021179037811799</c:v>
              </c:pt>
              <c:pt idx="14">
                <c:v>-1.0762495340423357</c:v>
              </c:pt>
              <c:pt idx="15">
                <c:v>-1.0609691485382464</c:v>
              </c:pt>
              <c:pt idx="16">
                <c:v>-1.0238973855425411</c:v>
              </c:pt>
              <c:pt idx="17">
                <c:v>-1.0194628830971808</c:v>
              </c:pt>
              <c:pt idx="18">
                <c:v>-1.0073465765579728</c:v>
              </c:pt>
              <c:pt idx="19">
                <c:v>-0.9776307728393766</c:v>
              </c:pt>
              <c:pt idx="20">
                <c:v>-0.93931607837999231</c:v>
              </c:pt>
              <c:pt idx="21">
                <c:v>-0.91218264101047408</c:v>
              </c:pt>
              <c:pt idx="22">
                <c:v>-0.88910971847441866</c:v>
              </c:pt>
              <c:pt idx="23">
                <c:v>-0.886929214972073</c:v>
              </c:pt>
              <c:pt idx="24">
                <c:v>-0.88590765176350628</c:v>
              </c:pt>
              <c:pt idx="25">
                <c:v>-0.87552121928298676</c:v>
              </c:pt>
              <c:pt idx="26">
                <c:v>-0.86454230679820121</c:v>
              </c:pt>
              <c:pt idx="27">
                <c:v>-0.83823895789500136</c:v>
              </c:pt>
              <c:pt idx="28">
                <c:v>-0.79978711182952555</c:v>
              </c:pt>
              <c:pt idx="29">
                <c:v>-0.79888098901275151</c:v>
              </c:pt>
              <c:pt idx="30">
                <c:v>-0.78244133447861586</c:v>
              </c:pt>
              <c:pt idx="31">
                <c:v>-0.77758167595144889</c:v>
              </c:pt>
              <c:pt idx="32">
                <c:v>-0.74562815597576626</c:v>
              </c:pt>
              <c:pt idx="33">
                <c:v>-0.71226904334331165</c:v>
              </c:pt>
              <c:pt idx="34">
                <c:v>-0.71119953437867556</c:v>
              </c:pt>
              <c:pt idx="35">
                <c:v>-0.6931788934625972</c:v>
              </c:pt>
              <c:pt idx="36">
                <c:v>-0.67617882245077776</c:v>
              </c:pt>
              <c:pt idx="37">
                <c:v>-0.67232077991763839</c:v>
              </c:pt>
              <c:pt idx="38">
                <c:v>-0.66164012280202245</c:v>
              </c:pt>
              <c:pt idx="39">
                <c:v>-0.65169750359224876</c:v>
              </c:pt>
              <c:pt idx="40">
                <c:v>-0.6341010388225985</c:v>
              </c:pt>
              <c:pt idx="41">
                <c:v>-0.61548525733015691</c:v>
              </c:pt>
              <c:pt idx="42">
                <c:v>-0.58502083285837914</c:v>
              </c:pt>
              <c:pt idx="43">
                <c:v>-0.57617712067160376</c:v>
              </c:pt>
              <c:pt idx="44">
                <c:v>-0.57269937350780709</c:v>
              </c:pt>
              <c:pt idx="45">
                <c:v>-0.52649006448395841</c:v>
              </c:pt>
              <c:pt idx="46">
                <c:v>-0.50208409615125571</c:v>
              </c:pt>
              <c:pt idx="47">
                <c:v>-0.48950723705351717</c:v>
              </c:pt>
              <c:pt idx="48">
                <c:v>-0.47397213541421712</c:v>
              </c:pt>
              <c:pt idx="49">
                <c:v>-0.42215891379527914</c:v>
              </c:pt>
              <c:pt idx="50">
                <c:v>-0.41834197777024623</c:v>
              </c:pt>
              <c:pt idx="51">
                <c:v>-0.39676418813359943</c:v>
              </c:pt>
              <c:pt idx="52">
                <c:v>-0.36155755449550014</c:v>
              </c:pt>
              <c:pt idx="53">
                <c:v>-0.35936523757038819</c:v>
              </c:pt>
              <c:pt idx="54">
                <c:v>-0.35370101004969262</c:v>
              </c:pt>
              <c:pt idx="55">
                <c:v>-0.34946359277823186</c:v>
              </c:pt>
              <c:pt idx="56">
                <c:v>-0.34850962549639958</c:v>
              </c:pt>
              <c:pt idx="57">
                <c:v>-0.34795525723688853</c:v>
              </c:pt>
              <c:pt idx="58">
                <c:v>-0.33050286833699044</c:v>
              </c:pt>
              <c:pt idx="59">
                <c:v>-0.32476644442248276</c:v>
              </c:pt>
              <c:pt idx="60">
                <c:v>-0.31231429815166617</c:v>
              </c:pt>
              <c:pt idx="61">
                <c:v>-0.2982936840117999</c:v>
              </c:pt>
              <c:pt idx="62">
                <c:v>-0.2941161869789386</c:v>
              </c:pt>
              <c:pt idx="63">
                <c:v>-0.28180538632269209</c:v>
              </c:pt>
              <c:pt idx="64">
                <c:v>-0.27931556045188977</c:v>
              </c:pt>
              <c:pt idx="65">
                <c:v>-0.27308839864027196</c:v>
              </c:pt>
              <c:pt idx="66">
                <c:v>-0.2571950804301279</c:v>
              </c:pt>
              <c:pt idx="67">
                <c:v>-0.24064325851675808</c:v>
              </c:pt>
              <c:pt idx="68">
                <c:v>-0.18793391499568082</c:v>
              </c:pt>
              <c:pt idx="69">
                <c:v>-0.12991971207748906</c:v>
              </c:pt>
              <c:pt idx="70">
                <c:v>-0.128811105886556</c:v>
              </c:pt>
              <c:pt idx="71">
                <c:v>-7.4763704206093684E-2</c:v>
              </c:pt>
              <c:pt idx="72">
                <c:v>-5.5764772511868475E-2</c:v>
              </c:pt>
              <c:pt idx="73">
                <c:v>-5.5457921232137941E-2</c:v>
              </c:pt>
              <c:pt idx="74">
                <c:v>-3.5385366104280148E-2</c:v>
              </c:pt>
              <c:pt idx="75">
                <c:v>1.1774776765954115E-2</c:v>
              </c:pt>
              <c:pt idx="76">
                <c:v>1.2810900752776806E-2</c:v>
              </c:pt>
              <c:pt idx="77">
                <c:v>2.2980015046966965E-2</c:v>
              </c:pt>
              <c:pt idx="78">
                <c:v>5.1450962890574707E-2</c:v>
              </c:pt>
              <c:pt idx="79">
                <c:v>5.3406802396319772E-2</c:v>
              </c:pt>
              <c:pt idx="80">
                <c:v>6.7346065233812827E-2</c:v>
              </c:pt>
              <c:pt idx="81">
                <c:v>7.8160759433540394E-2</c:v>
              </c:pt>
              <c:pt idx="82">
                <c:v>9.463495992996436E-2</c:v>
              </c:pt>
              <c:pt idx="83">
                <c:v>0.11224713865708799</c:v>
              </c:pt>
              <c:pt idx="84">
                <c:v>0.20127231061001827</c:v>
              </c:pt>
              <c:pt idx="85">
                <c:v>0.21104194293776882</c:v>
              </c:pt>
              <c:pt idx="86">
                <c:v>0.2126062740874835</c:v>
              </c:pt>
              <c:pt idx="87">
                <c:v>0.21494728793695939</c:v>
              </c:pt>
              <c:pt idx="88">
                <c:v>0.3307978216711569</c:v>
              </c:pt>
              <c:pt idx="89">
                <c:v>0.3838956564372184</c:v>
              </c:pt>
              <c:pt idx="90">
                <c:v>0.39866791954390518</c:v>
              </c:pt>
              <c:pt idx="91">
                <c:v>0.41350076399486607</c:v>
              </c:pt>
              <c:pt idx="92">
                <c:v>0.43036225525606026</c:v>
              </c:pt>
              <c:pt idx="93">
                <c:v>0.43347945592304965</c:v>
              </c:pt>
              <c:pt idx="94">
                <c:v>0.51139093437954086</c:v>
              </c:pt>
              <c:pt idx="95">
                <c:v>0.55024494511132538</c:v>
              </c:pt>
              <c:pt idx="96">
                <c:v>0.63034377094400773</c:v>
              </c:pt>
              <c:pt idx="97">
                <c:v>0.66574944072974496</c:v>
              </c:pt>
              <c:pt idx="98">
                <c:v>0.68243822644736496</c:v>
              </c:pt>
              <c:pt idx="99">
                <c:v>0.68513708203955148</c:v>
              </c:pt>
              <c:pt idx="100">
                <c:v>0.69515366434756842</c:v>
              </c:pt>
              <c:pt idx="101">
                <c:v>0.70967360625824794</c:v>
              </c:pt>
              <c:pt idx="102">
                <c:v>0.71614666351072376</c:v>
              </c:pt>
              <c:pt idx="103">
                <c:v>0.76122246398986848</c:v>
              </c:pt>
              <c:pt idx="104">
                <c:v>0.78581855462758299</c:v>
              </c:pt>
              <c:pt idx="105">
                <c:v>0.81577707966460156</c:v>
              </c:pt>
              <c:pt idx="106">
                <c:v>0.82449996982013019</c:v>
              </c:pt>
              <c:pt idx="107">
                <c:v>0.83611036486837231</c:v>
              </c:pt>
              <c:pt idx="108">
                <c:v>0.87701136563374416</c:v>
              </c:pt>
              <c:pt idx="109">
                <c:v>0.92827539436916229</c:v>
              </c:pt>
              <c:pt idx="110">
                <c:v>0.94756175631785711</c:v>
              </c:pt>
              <c:pt idx="111">
                <c:v>0.95141983265125663</c:v>
              </c:pt>
              <c:pt idx="112">
                <c:v>1.0216220114509758</c:v>
              </c:pt>
              <c:pt idx="113">
                <c:v>1.0422734851853643</c:v>
              </c:pt>
              <c:pt idx="114">
                <c:v>1.0501288137044915</c:v>
              </c:pt>
              <c:pt idx="115">
                <c:v>1.0625781495119968</c:v>
              </c:pt>
              <c:pt idx="116">
                <c:v>1.1307227663152779</c:v>
              </c:pt>
              <c:pt idx="117">
                <c:v>1.141572253696602</c:v>
              </c:pt>
              <c:pt idx="118">
                <c:v>1.159502606096076</c:v>
              </c:pt>
              <c:pt idx="119">
                <c:v>1.2756160953988458</c:v>
              </c:pt>
              <c:pt idx="120">
                <c:v>1.322954880992947</c:v>
              </c:pt>
              <c:pt idx="121">
                <c:v>1.3279022519053103</c:v>
              </c:pt>
              <c:pt idx="122">
                <c:v>1.3288953535428638</c:v>
              </c:pt>
              <c:pt idx="123">
                <c:v>1.3571095339005266</c:v>
              </c:pt>
              <c:pt idx="124">
                <c:v>1.4985492974716583</c:v>
              </c:pt>
              <c:pt idx="125">
                <c:v>1.5125309142484074</c:v>
              </c:pt>
              <c:pt idx="126">
                <c:v>1.5507316394581256</c:v>
              </c:pt>
              <c:pt idx="127">
                <c:v>1.6118249145013357</c:v>
              </c:pt>
              <c:pt idx="128">
                <c:v>1.7299765025393969</c:v>
              </c:pt>
              <c:pt idx="129">
                <c:v>1.8291091492141018</c:v>
              </c:pt>
              <c:pt idx="130">
                <c:v>1.91933260993568</c:v>
              </c:pt>
              <c:pt idx="131">
                <c:v>1.9540597926780348</c:v>
              </c:pt>
              <c:pt idx="132">
                <c:v>2.330806213744995</c:v>
              </c:pt>
              <c:pt idx="133">
                <c:v>2.4540549374743814</c:v>
              </c:pt>
              <c:pt idx="134">
                <c:v>2.5800999158183959</c:v>
              </c:pt>
              <c:pt idx="135">
                <c:v>2.6120724923330232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0CD1-4E5D-830D-6B205B24052C}"/>
            </c:ext>
          </c:extLst>
        </c:ser>
        <c:ser>
          <c:idx val="1"/>
          <c:order val="1"/>
          <c:tx>
            <c:v>Theoretical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136"/>
              <c:pt idx="0">
                <c:v>-2.4421880491253143</c:v>
              </c:pt>
              <c:pt idx="1">
                <c:v>-2.1808153021682743</c:v>
              </c:pt>
              <c:pt idx="2">
                <c:v>-2.0160416527263889</c:v>
              </c:pt>
              <c:pt idx="3">
                <c:v>-1.8927271749816086</c:v>
              </c:pt>
              <c:pt idx="4">
                <c:v>-1.7928763311641345</c:v>
              </c:pt>
              <c:pt idx="5">
                <c:v>-1.7082431184356848</c:v>
              </c:pt>
              <c:pt idx="6">
                <c:v>-1.6343290311739951</c:v>
              </c:pt>
              <c:pt idx="7">
                <c:v>-1.5683978131253791</c:v>
              </c:pt>
              <c:pt idx="8">
                <c:v>-1.5086554288199723</c:v>
              </c:pt>
              <c:pt idx="9">
                <c:v>-1.4538590016426736</c:v>
              </c:pt>
              <c:pt idx="10">
                <c:v>-1.4031103288021298</c:v>
              </c:pt>
              <c:pt idx="11">
                <c:v>-1.3557381963313866</c:v>
              </c:pt>
              <c:pt idx="12">
                <c:v>-1.3112271808003206</c:v>
              </c:pt>
              <c:pt idx="13">
                <c:v>-1.269172457559324</c:v>
              </c:pt>
              <c:pt idx="14">
                <c:v>-1.2292499609031462</c:v>
              </c:pt>
              <c:pt idx="15">
                <c:v>-1.1911960182089929</c:v>
              </c:pt>
              <c:pt idx="16">
                <c:v>-1.1547930533436743</c:v>
              </c:pt>
              <c:pt idx="17">
                <c:v>-1.1198593043168414</c:v>
              </c:pt>
              <c:pt idx="18">
                <c:v>-1.0862412702562496</c:v>
              </c:pt>
              <c:pt idx="19">
                <c:v>-1.0538080593349772</c:v>
              </c:pt>
              <c:pt idx="20">
                <c:v>-1.0224470891122484</c:v>
              </c:pt>
              <c:pt idx="21">
                <c:v>-0.99206076735168713</c:v>
              </c:pt>
              <c:pt idx="22">
                <c:v>-0.96256389575654266</c:v>
              </c:pt>
              <c:pt idx="23">
                <c:v>-0.93388161486624266</c:v>
              </c:pt>
              <c:pt idx="24">
                <c:v>-0.90594775965164942</c:v>
              </c:pt>
              <c:pt idx="25">
                <c:v>-0.87870353070900364</c:v>
              </c:pt>
              <c:pt idx="26">
                <c:v>-0.85209641074996312</c:v>
              </c:pt>
              <c:pt idx="27">
                <c:v>-0.82607927374516243</c:v>
              </c:pt>
              <c:pt idx="28">
                <c:v>-0.80060964683518954</c:v>
              </c:pt>
              <c:pt idx="29">
                <c:v>-0.77564909445822994</c:v>
              </c:pt>
              <c:pt idx="30">
                <c:v>-0.75116270105805993</c:v>
              </c:pt>
              <c:pt idx="31">
                <c:v>-0.72711863391436637</c:v>
              </c:pt>
              <c:pt idx="32">
                <c:v>-0.70348777155606745</c:v>
              </c:pt>
              <c:pt idx="33">
                <c:v>-0.68024338621206992</c:v>
              </c:pt>
              <c:pt idx="34">
                <c:v>-0.65736087106186036</c:v>
              </c:pt>
              <c:pt idx="35">
                <c:v>-0.63481750484239274</c:v>
              </c:pt>
              <c:pt idx="36">
                <c:v>-0.61259224777345078</c:v>
              </c:pt>
              <c:pt idx="37">
                <c:v>-0.59066556387310731</c:v>
              </c:pt>
              <c:pt idx="38">
                <c:v>-0.56901926561672789</c:v>
              </c:pt>
              <c:pt idx="39">
                <c:v>-0.54763637759838146</c:v>
              </c:pt>
              <c:pt idx="40">
                <c:v>-0.52650101642132652</c:v>
              </c:pt>
              <c:pt idx="41">
                <c:v>-0.5055982845039646</c:v>
              </c:pt>
              <c:pt idx="42">
                <c:v>-0.48491417586189661</c:v>
              </c:pt>
              <c:pt idx="43">
                <c:v>-0.46443549223297398</c:v>
              </c:pt>
              <c:pt idx="44">
                <c:v>-0.44414976816409463</c:v>
              </c:pt>
              <c:pt idx="45">
                <c:v>-0.42404520388658756</c:v>
              </c:pt>
              <c:pt idx="46">
                <c:v>-0.40411060497970364</c:v>
              </c:pt>
              <c:pt idx="47">
                <c:v>-0.38433532796565362</c:v>
              </c:pt>
              <c:pt idx="48">
                <c:v>-0.36470923110000675</c:v>
              </c:pt>
              <c:pt idx="49">
                <c:v>-0.34522262972237733</c:v>
              </c:pt>
              <c:pt idx="50">
                <c:v>-0.32586625561750387</c:v>
              </c:pt>
              <c:pt idx="51">
                <c:v>-0.30663121990884307</c:v>
              </c:pt>
              <c:pt idx="52">
                <c:v>-0.28750897906785555</c:v>
              </c:pt>
              <c:pt idx="53">
                <c:v>-0.26849130367407431</c:v>
              </c:pt>
              <c:pt idx="54">
                <c:v>-0.24957024960527571</c:v>
              </c:pt>
              <c:pt idx="55">
                <c:v>-0.23073813137485966</c:v>
              </c:pt>
              <c:pt idx="56">
                <c:v>-0.21198749736584974</c:v>
              </c:pt>
              <c:pt idx="57">
                <c:v>-0.19331110673860696</c:v>
              </c:pt>
              <c:pt idx="58">
                <c:v>-0.17470190781306269</c:v>
              </c:pt>
              <c:pt idx="59">
                <c:v>-0.15615301774660617</c:v>
              </c:pt>
              <c:pt idx="60">
                <c:v>-0.13765770334616576</c:v>
              </c:pt>
              <c:pt idx="61">
                <c:v>-0.11920936286789212</c:v>
              </c:pt>
              <c:pt idx="62">
                <c:v>-0.10080150867052502</c:v>
              </c:pt>
              <c:pt idx="63">
                <c:v>-8.2427750599248076E-2</c:v>
              </c:pt>
              <c:pt idx="64">
                <c:v>-6.4081779985855875E-2</c:v>
              </c:pt>
              <c:pt idx="65">
                <c:v>-4.5757354158539494E-2</c:v>
              </c:pt>
              <c:pt idx="66">
                <c:v>-2.7448281360703052E-2</c:v>
              </c:pt>
              <c:pt idx="67">
                <c:v>-9.1484059830602652E-3</c:v>
              </c:pt>
              <c:pt idx="68">
                <c:v>9.1484059830604057E-3</c:v>
              </c:pt>
              <c:pt idx="69">
                <c:v>2.7448281360703194E-2</c:v>
              </c:pt>
              <c:pt idx="70">
                <c:v>4.575735415853964E-2</c:v>
              </c:pt>
              <c:pt idx="71">
                <c:v>6.4081779985855875E-2</c:v>
              </c:pt>
              <c:pt idx="72">
                <c:v>8.2427750599248076E-2</c:v>
              </c:pt>
              <c:pt idx="73">
                <c:v>0.10080150867052502</c:v>
              </c:pt>
              <c:pt idx="74">
                <c:v>0.11920936286789212</c:v>
              </c:pt>
              <c:pt idx="75">
                <c:v>0.13765770334616576</c:v>
              </c:pt>
              <c:pt idx="76">
                <c:v>0.15615301774660617</c:v>
              </c:pt>
              <c:pt idx="77">
                <c:v>0.17470190781306255</c:v>
              </c:pt>
              <c:pt idx="78">
                <c:v>0.19331110673860685</c:v>
              </c:pt>
              <c:pt idx="79">
                <c:v>0.21198749736584957</c:v>
              </c:pt>
              <c:pt idx="80">
                <c:v>0.23073813137485977</c:v>
              </c:pt>
              <c:pt idx="81">
                <c:v>0.24957024960527588</c:v>
              </c:pt>
              <c:pt idx="82">
                <c:v>0.26849130367407442</c:v>
              </c:pt>
              <c:pt idx="83">
                <c:v>0.28750897906785572</c:v>
              </c:pt>
              <c:pt idx="84">
                <c:v>0.30663121990884307</c:v>
              </c:pt>
              <c:pt idx="85">
                <c:v>0.32586625561750387</c:v>
              </c:pt>
              <c:pt idx="86">
                <c:v>0.34522262972237733</c:v>
              </c:pt>
              <c:pt idx="87">
                <c:v>0.36470923110000675</c:v>
              </c:pt>
              <c:pt idx="88">
                <c:v>0.38433532796565362</c:v>
              </c:pt>
              <c:pt idx="89">
                <c:v>0.40411060497970364</c:v>
              </c:pt>
              <c:pt idx="90">
                <c:v>0.42404520388658723</c:v>
              </c:pt>
              <c:pt idx="91">
                <c:v>0.44414976816409452</c:v>
              </c:pt>
              <c:pt idx="92">
                <c:v>0.46443549223297381</c:v>
              </c:pt>
              <c:pt idx="93">
                <c:v>0.48491417586189683</c:v>
              </c:pt>
              <c:pt idx="94">
                <c:v>0.50559828450396482</c:v>
              </c:pt>
              <c:pt idx="95">
                <c:v>0.52650101642132674</c:v>
              </c:pt>
              <c:pt idx="96">
                <c:v>0.54763637759838146</c:v>
              </c:pt>
              <c:pt idx="97">
                <c:v>0.56901926561672789</c:v>
              </c:pt>
              <c:pt idx="98">
                <c:v>0.59066556387310731</c:v>
              </c:pt>
              <c:pt idx="99">
                <c:v>0.61259224777345078</c:v>
              </c:pt>
              <c:pt idx="100">
                <c:v>0.63481750484239274</c:v>
              </c:pt>
              <c:pt idx="101">
                <c:v>0.65736087106186036</c:v>
              </c:pt>
              <c:pt idx="102">
                <c:v>0.68024338621206992</c:v>
              </c:pt>
              <c:pt idx="103">
                <c:v>0.70348777155606745</c:v>
              </c:pt>
              <c:pt idx="104">
                <c:v>0.72711863391436626</c:v>
              </c:pt>
              <c:pt idx="105">
                <c:v>0.75116270105806004</c:v>
              </c:pt>
              <c:pt idx="106">
                <c:v>0.7756490944582306</c:v>
              </c:pt>
              <c:pt idx="107">
                <c:v>0.80060964683518954</c:v>
              </c:pt>
              <c:pt idx="108">
                <c:v>0.82607927374516243</c:v>
              </c:pt>
              <c:pt idx="109">
                <c:v>0.85209641074996312</c:v>
              </c:pt>
              <c:pt idx="110">
                <c:v>0.87870353070900364</c:v>
              </c:pt>
              <c:pt idx="111">
                <c:v>0.90594775965164942</c:v>
              </c:pt>
              <c:pt idx="112">
                <c:v>0.93388161486624266</c:v>
              </c:pt>
              <c:pt idx="113">
                <c:v>0.96256389575654266</c:v>
              </c:pt>
              <c:pt idx="114">
                <c:v>0.99206076735168713</c:v>
              </c:pt>
              <c:pt idx="115">
                <c:v>1.0224470891122484</c:v>
              </c:pt>
              <c:pt idx="116">
                <c:v>1.053808059334977</c:v>
              </c:pt>
              <c:pt idx="117">
                <c:v>1.0862412702562496</c:v>
              </c:pt>
              <c:pt idx="118">
                <c:v>1.1198593043168414</c:v>
              </c:pt>
              <c:pt idx="119">
                <c:v>1.1547930533436743</c:v>
              </c:pt>
              <c:pt idx="120">
                <c:v>1.1911960182089929</c:v>
              </c:pt>
              <c:pt idx="121">
                <c:v>1.2292499609031462</c:v>
              </c:pt>
              <c:pt idx="122">
                <c:v>1.269172457559324</c:v>
              </c:pt>
              <c:pt idx="123">
                <c:v>1.3112271808003206</c:v>
              </c:pt>
              <c:pt idx="124">
                <c:v>1.3557381963313866</c:v>
              </c:pt>
              <c:pt idx="125">
                <c:v>1.4031103288021298</c:v>
              </c:pt>
              <c:pt idx="126">
                <c:v>1.453859001642674</c:v>
              </c:pt>
              <c:pt idx="127">
                <c:v>1.5086554288199729</c:v>
              </c:pt>
              <c:pt idx="128">
                <c:v>1.5683978131253788</c:v>
              </c:pt>
              <c:pt idx="129">
                <c:v>1.6343290311739946</c:v>
              </c:pt>
              <c:pt idx="130">
                <c:v>1.7082431184356857</c:v>
              </c:pt>
              <c:pt idx="131">
                <c:v>1.7928763311641345</c:v>
              </c:pt>
              <c:pt idx="132">
                <c:v>1.8927271749816097</c:v>
              </c:pt>
              <c:pt idx="133">
                <c:v>2.0160416527263894</c:v>
              </c:pt>
              <c:pt idx="134">
                <c:v>2.1808153021682743</c:v>
              </c:pt>
              <c:pt idx="135">
                <c:v>2.4421880491253143</c:v>
              </c:pt>
            </c:numLit>
          </c:xVal>
          <c:yVal>
            <c:numLit>
              <c:formatCode>General</c:formatCode>
              <c:ptCount val="136"/>
              <c:pt idx="0">
                <c:v>-2.4421880491253143</c:v>
              </c:pt>
              <c:pt idx="1">
                <c:v>-2.1808153021682743</c:v>
              </c:pt>
              <c:pt idx="2">
                <c:v>-2.0160416527263889</c:v>
              </c:pt>
              <c:pt idx="3">
                <c:v>-1.8927271749816086</c:v>
              </c:pt>
              <c:pt idx="4">
                <c:v>-1.7928763311641345</c:v>
              </c:pt>
              <c:pt idx="5">
                <c:v>-1.7082431184356848</c:v>
              </c:pt>
              <c:pt idx="6">
                <c:v>-1.6343290311739951</c:v>
              </c:pt>
              <c:pt idx="7">
                <c:v>-1.5683978131253791</c:v>
              </c:pt>
              <c:pt idx="8">
                <c:v>-1.5086554288199723</c:v>
              </c:pt>
              <c:pt idx="9">
                <c:v>-1.4538590016426736</c:v>
              </c:pt>
              <c:pt idx="10">
                <c:v>-1.4031103288021298</c:v>
              </c:pt>
              <c:pt idx="11">
                <c:v>-1.3557381963313866</c:v>
              </c:pt>
              <c:pt idx="12">
                <c:v>-1.3112271808003206</c:v>
              </c:pt>
              <c:pt idx="13">
                <c:v>-1.269172457559324</c:v>
              </c:pt>
              <c:pt idx="14">
                <c:v>-1.2292499609031462</c:v>
              </c:pt>
              <c:pt idx="15">
                <c:v>-1.1911960182089929</c:v>
              </c:pt>
              <c:pt idx="16">
                <c:v>-1.1547930533436743</c:v>
              </c:pt>
              <c:pt idx="17">
                <c:v>-1.1198593043168414</c:v>
              </c:pt>
              <c:pt idx="18">
                <c:v>-1.0862412702562496</c:v>
              </c:pt>
              <c:pt idx="19">
                <c:v>-1.0538080593349772</c:v>
              </c:pt>
              <c:pt idx="20">
                <c:v>-1.0224470891122484</c:v>
              </c:pt>
              <c:pt idx="21">
                <c:v>-0.99206076735168713</c:v>
              </c:pt>
              <c:pt idx="22">
                <c:v>-0.96256389575654266</c:v>
              </c:pt>
              <c:pt idx="23">
                <c:v>-0.93388161486624266</c:v>
              </c:pt>
              <c:pt idx="24">
                <c:v>-0.90594775965164942</c:v>
              </c:pt>
              <c:pt idx="25">
                <c:v>-0.87870353070900364</c:v>
              </c:pt>
              <c:pt idx="26">
                <c:v>-0.85209641074996312</c:v>
              </c:pt>
              <c:pt idx="27">
                <c:v>-0.82607927374516243</c:v>
              </c:pt>
              <c:pt idx="28">
                <c:v>-0.80060964683518954</c:v>
              </c:pt>
              <c:pt idx="29">
                <c:v>-0.77564909445822994</c:v>
              </c:pt>
              <c:pt idx="30">
                <c:v>-0.75116270105805993</c:v>
              </c:pt>
              <c:pt idx="31">
                <c:v>-0.72711863391436637</c:v>
              </c:pt>
              <c:pt idx="32">
                <c:v>-0.70348777155606745</c:v>
              </c:pt>
              <c:pt idx="33">
                <c:v>-0.68024338621206992</c:v>
              </c:pt>
              <c:pt idx="34">
                <c:v>-0.65736087106186036</c:v>
              </c:pt>
              <c:pt idx="35">
                <c:v>-0.63481750484239274</c:v>
              </c:pt>
              <c:pt idx="36">
                <c:v>-0.61259224777345078</c:v>
              </c:pt>
              <c:pt idx="37">
                <c:v>-0.59066556387310731</c:v>
              </c:pt>
              <c:pt idx="38">
                <c:v>-0.56901926561672789</c:v>
              </c:pt>
              <c:pt idx="39">
                <c:v>-0.54763637759838146</c:v>
              </c:pt>
              <c:pt idx="40">
                <c:v>-0.52650101642132652</c:v>
              </c:pt>
              <c:pt idx="41">
                <c:v>-0.5055982845039646</c:v>
              </c:pt>
              <c:pt idx="42">
                <c:v>-0.48491417586189661</c:v>
              </c:pt>
              <c:pt idx="43">
                <c:v>-0.46443549223297398</c:v>
              </c:pt>
              <c:pt idx="44">
                <c:v>-0.44414976816409463</c:v>
              </c:pt>
              <c:pt idx="45">
                <c:v>-0.42404520388658756</c:v>
              </c:pt>
              <c:pt idx="46">
                <c:v>-0.40411060497970364</c:v>
              </c:pt>
              <c:pt idx="47">
                <c:v>-0.38433532796565362</c:v>
              </c:pt>
              <c:pt idx="48">
                <c:v>-0.36470923110000675</c:v>
              </c:pt>
              <c:pt idx="49">
                <c:v>-0.34522262972237733</c:v>
              </c:pt>
              <c:pt idx="50">
                <c:v>-0.32586625561750387</c:v>
              </c:pt>
              <c:pt idx="51">
                <c:v>-0.30663121990884307</c:v>
              </c:pt>
              <c:pt idx="52">
                <c:v>-0.28750897906785555</c:v>
              </c:pt>
              <c:pt idx="53">
                <c:v>-0.26849130367407431</c:v>
              </c:pt>
              <c:pt idx="54">
                <c:v>-0.24957024960527571</c:v>
              </c:pt>
              <c:pt idx="55">
                <c:v>-0.23073813137485966</c:v>
              </c:pt>
              <c:pt idx="56">
                <c:v>-0.21198749736584974</c:v>
              </c:pt>
              <c:pt idx="57">
                <c:v>-0.19331110673860696</c:v>
              </c:pt>
              <c:pt idx="58">
                <c:v>-0.17470190781306269</c:v>
              </c:pt>
              <c:pt idx="59">
                <c:v>-0.15615301774660617</c:v>
              </c:pt>
              <c:pt idx="60">
                <c:v>-0.13765770334616576</c:v>
              </c:pt>
              <c:pt idx="61">
                <c:v>-0.11920936286789212</c:v>
              </c:pt>
              <c:pt idx="62">
                <c:v>-0.10080150867052502</c:v>
              </c:pt>
              <c:pt idx="63">
                <c:v>-8.2427750599248076E-2</c:v>
              </c:pt>
              <c:pt idx="64">
                <c:v>-6.4081779985855875E-2</c:v>
              </c:pt>
              <c:pt idx="65">
                <c:v>-4.5757354158539494E-2</c:v>
              </c:pt>
              <c:pt idx="66">
                <c:v>-2.7448281360703052E-2</c:v>
              </c:pt>
              <c:pt idx="67">
                <c:v>-9.1484059830602652E-3</c:v>
              </c:pt>
              <c:pt idx="68">
                <c:v>9.1484059830604057E-3</c:v>
              </c:pt>
              <c:pt idx="69">
                <c:v>2.7448281360703194E-2</c:v>
              </c:pt>
              <c:pt idx="70">
                <c:v>4.575735415853964E-2</c:v>
              </c:pt>
              <c:pt idx="71">
                <c:v>6.4081779985855875E-2</c:v>
              </c:pt>
              <c:pt idx="72">
                <c:v>8.2427750599248076E-2</c:v>
              </c:pt>
              <c:pt idx="73">
                <c:v>0.10080150867052502</c:v>
              </c:pt>
              <c:pt idx="74">
                <c:v>0.11920936286789212</c:v>
              </c:pt>
              <c:pt idx="75">
                <c:v>0.13765770334616576</c:v>
              </c:pt>
              <c:pt idx="76">
                <c:v>0.15615301774660617</c:v>
              </c:pt>
              <c:pt idx="77">
                <c:v>0.17470190781306255</c:v>
              </c:pt>
              <c:pt idx="78">
                <c:v>0.19331110673860685</c:v>
              </c:pt>
              <c:pt idx="79">
                <c:v>0.21198749736584957</c:v>
              </c:pt>
              <c:pt idx="80">
                <c:v>0.23073813137485977</c:v>
              </c:pt>
              <c:pt idx="81">
                <c:v>0.24957024960527588</c:v>
              </c:pt>
              <c:pt idx="82">
                <c:v>0.26849130367407442</c:v>
              </c:pt>
              <c:pt idx="83">
                <c:v>0.28750897906785572</c:v>
              </c:pt>
              <c:pt idx="84">
                <c:v>0.30663121990884307</c:v>
              </c:pt>
              <c:pt idx="85">
                <c:v>0.32586625561750387</c:v>
              </c:pt>
              <c:pt idx="86">
                <c:v>0.34522262972237733</c:v>
              </c:pt>
              <c:pt idx="87">
                <c:v>0.36470923110000675</c:v>
              </c:pt>
              <c:pt idx="88">
                <c:v>0.38433532796565362</c:v>
              </c:pt>
              <c:pt idx="89">
                <c:v>0.40411060497970364</c:v>
              </c:pt>
              <c:pt idx="90">
                <c:v>0.42404520388658723</c:v>
              </c:pt>
              <c:pt idx="91">
                <c:v>0.44414976816409452</c:v>
              </c:pt>
              <c:pt idx="92">
                <c:v>0.46443549223297381</c:v>
              </c:pt>
              <c:pt idx="93">
                <c:v>0.48491417586189683</c:v>
              </c:pt>
              <c:pt idx="94">
                <c:v>0.50559828450396482</c:v>
              </c:pt>
              <c:pt idx="95">
                <c:v>0.52650101642132674</c:v>
              </c:pt>
              <c:pt idx="96">
                <c:v>0.54763637759838146</c:v>
              </c:pt>
              <c:pt idx="97">
                <c:v>0.56901926561672789</c:v>
              </c:pt>
              <c:pt idx="98">
                <c:v>0.59066556387310731</c:v>
              </c:pt>
              <c:pt idx="99">
                <c:v>0.61259224777345078</c:v>
              </c:pt>
              <c:pt idx="100">
                <c:v>0.63481750484239274</c:v>
              </c:pt>
              <c:pt idx="101">
                <c:v>0.65736087106186036</c:v>
              </c:pt>
              <c:pt idx="102">
                <c:v>0.68024338621206992</c:v>
              </c:pt>
              <c:pt idx="103">
                <c:v>0.70348777155606745</c:v>
              </c:pt>
              <c:pt idx="104">
                <c:v>0.72711863391436626</c:v>
              </c:pt>
              <c:pt idx="105">
                <c:v>0.75116270105806004</c:v>
              </c:pt>
              <c:pt idx="106">
                <c:v>0.7756490944582306</c:v>
              </c:pt>
              <c:pt idx="107">
                <c:v>0.80060964683518954</c:v>
              </c:pt>
              <c:pt idx="108">
                <c:v>0.82607927374516243</c:v>
              </c:pt>
              <c:pt idx="109">
                <c:v>0.85209641074996312</c:v>
              </c:pt>
              <c:pt idx="110">
                <c:v>0.87870353070900364</c:v>
              </c:pt>
              <c:pt idx="111">
                <c:v>0.90594775965164942</c:v>
              </c:pt>
              <c:pt idx="112">
                <c:v>0.93388161486624266</c:v>
              </c:pt>
              <c:pt idx="113">
                <c:v>0.96256389575654266</c:v>
              </c:pt>
              <c:pt idx="114">
                <c:v>0.99206076735168713</c:v>
              </c:pt>
              <c:pt idx="115">
                <c:v>1.0224470891122484</c:v>
              </c:pt>
              <c:pt idx="116">
                <c:v>1.053808059334977</c:v>
              </c:pt>
              <c:pt idx="117">
                <c:v>1.0862412702562496</c:v>
              </c:pt>
              <c:pt idx="118">
                <c:v>1.1198593043168414</c:v>
              </c:pt>
              <c:pt idx="119">
                <c:v>1.1547930533436743</c:v>
              </c:pt>
              <c:pt idx="120">
                <c:v>1.1911960182089929</c:v>
              </c:pt>
              <c:pt idx="121">
                <c:v>1.2292499609031462</c:v>
              </c:pt>
              <c:pt idx="122">
                <c:v>1.269172457559324</c:v>
              </c:pt>
              <c:pt idx="123">
                <c:v>1.3112271808003206</c:v>
              </c:pt>
              <c:pt idx="124">
                <c:v>1.3557381963313866</c:v>
              </c:pt>
              <c:pt idx="125">
                <c:v>1.4031103288021298</c:v>
              </c:pt>
              <c:pt idx="126">
                <c:v>1.453859001642674</c:v>
              </c:pt>
              <c:pt idx="127">
                <c:v>1.5086554288199729</c:v>
              </c:pt>
              <c:pt idx="128">
                <c:v>1.5683978131253788</c:v>
              </c:pt>
              <c:pt idx="129">
                <c:v>1.6343290311739946</c:v>
              </c:pt>
              <c:pt idx="130">
                <c:v>1.7082431184356857</c:v>
              </c:pt>
              <c:pt idx="131">
                <c:v>1.7928763311641345</c:v>
              </c:pt>
              <c:pt idx="132">
                <c:v>1.8927271749816097</c:v>
              </c:pt>
              <c:pt idx="133">
                <c:v>2.0160416527263894</c:v>
              </c:pt>
              <c:pt idx="134">
                <c:v>2.1808153021682743</c:v>
              </c:pt>
              <c:pt idx="135">
                <c:v>2.4421880491253143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0CD1-4E5D-830D-6B205B240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825240"/>
        <c:axId val="786825632"/>
      </c:scatterChart>
      <c:valAx>
        <c:axId val="786825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</a:t>
                </a:r>
                <a:r>
                  <a:rPr lang="en-US" sz="900"/>
                  <a:t>ormality test (A-D*):  P &lt; 0.05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crossAx val="786825632"/>
        <c:crosses val="autoZero"/>
        <c:crossBetween val="midCat"/>
        <c:majorUnit val="1"/>
      </c:valAx>
      <c:valAx>
        <c:axId val="7868256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86825240"/>
        <c:crossesAt val="-3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GP_Margin
</a:t>
            </a:r>
            <a:r>
              <a:rPr lang="en-US" sz="1000"/>
              <a:t>Model 8 for EV_Rev    (2 variables, n=136)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36"/>
              <c:pt idx="0">
                <c:v>0.83004221347896434</c:v>
              </c:pt>
              <c:pt idx="1">
                <c:v>0.75537864054497039</c:v>
              </c:pt>
              <c:pt idx="2">
                <c:v>0.77716878910365639</c:v>
              </c:pt>
              <c:pt idx="3">
                <c:v>0.85231386595492098</c:v>
              </c:pt>
              <c:pt idx="4">
                <c:v>0.55141779914388933</c:v>
              </c:pt>
              <c:pt idx="5">
                <c:v>0.8709037817895926</c:v>
              </c:pt>
              <c:pt idx="6">
                <c:v>0.51478408726353231</c:v>
              </c:pt>
              <c:pt idx="7">
                <c:v>0.66866135379671465</c:v>
              </c:pt>
              <c:pt idx="8">
                <c:v>0.68128167371624215</c:v>
              </c:pt>
              <c:pt idx="9">
                <c:v>0.69230493276187233</c:v>
              </c:pt>
              <c:pt idx="10">
                <c:v>0.86476966442513215</c:v>
              </c:pt>
              <c:pt idx="11">
                <c:v>0.54081939028252479</c:v>
              </c:pt>
              <c:pt idx="12">
                <c:v>0.5408246156655846</c:v>
              </c:pt>
              <c:pt idx="13">
                <c:v>0.6194763558189732</c:v>
              </c:pt>
              <c:pt idx="14">
                <c:v>0.62332135603532324</c:v>
              </c:pt>
              <c:pt idx="15">
                <c:v>0.69293761861751924</c:v>
              </c:pt>
              <c:pt idx="16">
                <c:v>0.89861346901551586</c:v>
              </c:pt>
              <c:pt idx="17">
                <c:v>0.54170228592672098</c:v>
              </c:pt>
              <c:pt idx="18">
                <c:v>0.81234907806795387</c:v>
              </c:pt>
              <c:pt idx="19">
                <c:v>0.85252949591562377</c:v>
              </c:pt>
              <c:pt idx="20">
                <c:v>0.25056812394409728</c:v>
              </c:pt>
              <c:pt idx="21">
                <c:v>0.87182577145691786</c:v>
              </c:pt>
              <c:pt idx="22">
                <c:v>0.72801054611815585</c:v>
              </c:pt>
              <c:pt idx="23">
                <c:v>0.69782487363062351</c:v>
              </c:pt>
              <c:pt idx="24">
                <c:v>0.50090814362927738</c:v>
              </c:pt>
              <c:pt idx="25">
                <c:v>0.55351752109061769</c:v>
              </c:pt>
              <c:pt idx="26">
                <c:v>0.77642204217040689</c:v>
              </c:pt>
              <c:pt idx="27">
                <c:v>0.56069079800967758</c:v>
              </c:pt>
              <c:pt idx="28">
                <c:v>0.72702756269789404</c:v>
              </c:pt>
              <c:pt idx="29">
                <c:v>0.85486981677917073</c:v>
              </c:pt>
              <c:pt idx="30">
                <c:v>0.88264760994686642</c:v>
              </c:pt>
              <c:pt idx="31">
                <c:v>0.71521263015639036</c:v>
              </c:pt>
              <c:pt idx="32">
                <c:v>0.78003135531497281</c:v>
              </c:pt>
              <c:pt idx="33">
                <c:v>0.79022188481056888</c:v>
              </c:pt>
              <c:pt idx="34">
                <c:v>0.89545407388358411</c:v>
              </c:pt>
              <c:pt idx="35">
                <c:v>0.84702230782544607</c:v>
              </c:pt>
              <c:pt idx="36">
                <c:v>0.68025418110004043</c:v>
              </c:pt>
              <c:pt idx="37">
                <c:v>0.85330143641298495</c:v>
              </c:pt>
              <c:pt idx="38">
                <c:v>0.88006613303762016</c:v>
              </c:pt>
              <c:pt idx="39">
                <c:v>0.71700598229941115</c:v>
              </c:pt>
              <c:pt idx="40">
                <c:v>0.68860084305431146</c:v>
              </c:pt>
              <c:pt idx="41">
                <c:v>0.94920005481524361</c:v>
              </c:pt>
              <c:pt idx="42">
                <c:v>0.84533496607909919</c:v>
              </c:pt>
              <c:pt idx="43">
                <c:v>0.59622677011593583</c:v>
              </c:pt>
              <c:pt idx="44">
                <c:v>0.72852385657525642</c:v>
              </c:pt>
              <c:pt idx="45">
                <c:v>0.58609155578489558</c:v>
              </c:pt>
              <c:pt idx="46">
                <c:v>0.66669678352005779</c:v>
              </c:pt>
              <c:pt idx="47">
                <c:v>0.72405952873088053</c:v>
              </c:pt>
              <c:pt idx="48">
                <c:v>0.63627342087059102</c:v>
              </c:pt>
              <c:pt idx="49">
                <c:v>0.63566967234935934</c:v>
              </c:pt>
              <c:pt idx="50">
                <c:v>0.59195940671389624</c:v>
              </c:pt>
              <c:pt idx="51">
                <c:v>0.69223629840944378</c:v>
              </c:pt>
              <c:pt idx="52">
                <c:v>0.70484323193662135</c:v>
              </c:pt>
              <c:pt idx="53">
                <c:v>0.65626694351170867</c:v>
              </c:pt>
              <c:pt idx="54">
                <c:v>0.59036668010725346</c:v>
              </c:pt>
              <c:pt idx="55">
                <c:v>0.75474664005567371</c:v>
              </c:pt>
              <c:pt idx="56">
                <c:v>0.74903642068615961</c:v>
              </c:pt>
              <c:pt idx="57">
                <c:v>0.54085333932219193</c:v>
              </c:pt>
              <c:pt idx="58">
                <c:v>0.8503453377377399</c:v>
              </c:pt>
              <c:pt idx="59">
                <c:v>0.55116954899297743</c:v>
              </c:pt>
              <c:pt idx="60">
                <c:v>0.71251830040758768</c:v>
              </c:pt>
              <c:pt idx="61">
                <c:v>0.80223336455862504</c:v>
              </c:pt>
              <c:pt idx="62">
                <c:v>0.79773963771628198</c:v>
              </c:pt>
              <c:pt idx="63">
                <c:v>0.68894832236776027</c:v>
              </c:pt>
              <c:pt idx="64">
                <c:v>0.70595174026734853</c:v>
              </c:pt>
              <c:pt idx="65">
                <c:v>0.83702213279678073</c:v>
              </c:pt>
              <c:pt idx="66">
                <c:v>0.84096872684757851</c:v>
              </c:pt>
              <c:pt idx="67">
                <c:v>0.70751016911802767</c:v>
              </c:pt>
              <c:pt idx="68">
                <c:v>0.74643259270702</c:v>
              </c:pt>
              <c:pt idx="69">
                <c:v>0.78162312134613177</c:v>
              </c:pt>
              <c:pt idx="70">
                <c:v>0.32237014296227734</c:v>
              </c:pt>
              <c:pt idx="71">
                <c:v>0.57631465170524854</c:v>
              </c:pt>
              <c:pt idx="72">
                <c:v>0.72058509256244452</c:v>
              </c:pt>
              <c:pt idx="73">
                <c:v>0.75606256595479848</c:v>
              </c:pt>
              <c:pt idx="74">
                <c:v>0.65247372236317502</c:v>
              </c:pt>
              <c:pt idx="75">
                <c:v>0.803981239901987</c:v>
              </c:pt>
              <c:pt idx="76">
                <c:v>0.73267809586697963</c:v>
              </c:pt>
              <c:pt idx="77">
                <c:v>0.70741808526214944</c:v>
              </c:pt>
              <c:pt idx="78">
                <c:v>0.87099917488234413</c:v>
              </c:pt>
              <c:pt idx="79">
                <c:v>0.83011981789181555</c:v>
              </c:pt>
              <c:pt idx="80">
                <c:v>0.58941031848887282</c:v>
              </c:pt>
              <c:pt idx="81">
                <c:v>0.8117360266383209</c:v>
              </c:pt>
              <c:pt idx="82">
                <c:v>0.83089453283393444</c:v>
              </c:pt>
              <c:pt idx="83">
                <c:v>0.56401542074891919</c:v>
              </c:pt>
              <c:pt idx="84">
                <c:v>0.66590708286343891</c:v>
              </c:pt>
              <c:pt idx="85">
                <c:v>0.70405158039363003</c:v>
              </c:pt>
              <c:pt idx="86">
                <c:v>0.71395387976494418</c:v>
              </c:pt>
              <c:pt idx="87">
                <c:v>0.66204989520726754</c:v>
              </c:pt>
              <c:pt idx="88">
                <c:v>0.56622606522251473</c:v>
              </c:pt>
              <c:pt idx="89">
                <c:v>0.79669143488302041</c:v>
              </c:pt>
              <c:pt idx="90">
                <c:v>0.83627025868933325</c:v>
              </c:pt>
              <c:pt idx="91">
                <c:v>0.60480442215913743</c:v>
              </c:pt>
              <c:pt idx="92">
                <c:v>0.65566369754343934</c:v>
              </c:pt>
              <c:pt idx="93">
                <c:v>0.55167283034571557</c:v>
              </c:pt>
              <c:pt idx="94">
                <c:v>0.83030820149922224</c:v>
              </c:pt>
              <c:pt idx="95">
                <c:v>0.71608316536046746</c:v>
              </c:pt>
              <c:pt idx="96">
                <c:v>0.59635545611995044</c:v>
              </c:pt>
              <c:pt idx="97">
                <c:v>0.73217241692812174</c:v>
              </c:pt>
              <c:pt idx="98">
                <c:v>0.49505345881129004</c:v>
              </c:pt>
              <c:pt idx="99">
                <c:v>0.51473002068741491</c:v>
              </c:pt>
              <c:pt idx="100">
                <c:v>0.76791838483736197</c:v>
              </c:pt>
              <c:pt idx="101">
                <c:v>0.70365447448971064</c:v>
              </c:pt>
              <c:pt idx="102">
                <c:v>0.60719161055548021</c:v>
              </c:pt>
              <c:pt idx="103">
                <c:v>0.85236806652495634</c:v>
              </c:pt>
              <c:pt idx="104">
                <c:v>0.762424464362504</c:v>
              </c:pt>
              <c:pt idx="105">
                <c:v>0.74036718925317502</c:v>
              </c:pt>
              <c:pt idx="106">
                <c:v>0.51518485568527572</c:v>
              </c:pt>
              <c:pt idx="107">
                <c:v>0.74233956395664935</c:v>
              </c:pt>
              <c:pt idx="108">
                <c:v>0.75349984737580866</c:v>
              </c:pt>
              <c:pt idx="109">
                <c:v>0.56464883488461426</c:v>
              </c:pt>
              <c:pt idx="110">
                <c:v>0.54570361240958798</c:v>
              </c:pt>
              <c:pt idx="111">
                <c:v>0.80511087341464949</c:v>
              </c:pt>
              <c:pt idx="112">
                <c:v>0.79280240098719257</c:v>
              </c:pt>
              <c:pt idx="113">
                <c:v>0.666298567071818</c:v>
              </c:pt>
              <c:pt idx="114">
                <c:v>0.4120739852790079</c:v>
              </c:pt>
              <c:pt idx="115">
                <c:v>0.78785995442303713</c:v>
              </c:pt>
              <c:pt idx="116">
                <c:v>0.76438323562474364</c:v>
              </c:pt>
              <c:pt idx="117">
                <c:v>0.87117950854779347</c:v>
              </c:pt>
              <c:pt idx="118">
                <c:v>0.76684702958527584</c:v>
              </c:pt>
              <c:pt idx="119">
                <c:v>0.86369568575644429</c:v>
              </c:pt>
              <c:pt idx="120">
                <c:v>0.3100982094023409</c:v>
              </c:pt>
              <c:pt idx="121">
                <c:v>0.52622289206330197</c:v>
              </c:pt>
              <c:pt idx="122">
                <c:v>0.5315153933100274</c:v>
              </c:pt>
              <c:pt idx="123">
                <c:v>0.82861537193777279</c:v>
              </c:pt>
              <c:pt idx="124">
                <c:v>0.62616458462270208</c:v>
              </c:pt>
              <c:pt idx="125">
                <c:v>0.66982218315619402</c:v>
              </c:pt>
              <c:pt idx="126">
                <c:v>0.90019708259201003</c:v>
              </c:pt>
              <c:pt idx="127">
                <c:v>0.69785207155645024</c:v>
              </c:pt>
              <c:pt idx="128">
                <c:v>0.8603991968820125</c:v>
              </c:pt>
              <c:pt idx="129">
                <c:v>0.81491501857683057</c:v>
              </c:pt>
              <c:pt idx="130">
                <c:v>0.70649098895806062</c:v>
              </c:pt>
              <c:pt idx="131">
                <c:v>0.71389566349394595</c:v>
              </c:pt>
              <c:pt idx="132">
                <c:v>0.74437778330125193</c:v>
              </c:pt>
              <c:pt idx="133">
                <c:v>0.70098153174246813</c:v>
              </c:pt>
              <c:pt idx="134">
                <c:v>0.69071462825322683</c:v>
              </c:pt>
              <c:pt idx="135">
                <c:v>0.52415945118683227</c:v>
              </c:pt>
            </c:numLit>
          </c:xVal>
          <c:yVal>
            <c:numLit>
              <c:formatCode>General</c:formatCode>
              <c:ptCount val="136"/>
              <c:pt idx="0">
                <c:v>-0.77521340768651736</c:v>
              </c:pt>
              <c:pt idx="1">
                <c:v>-1.9652809646358547</c:v>
              </c:pt>
              <c:pt idx="2">
                <c:v>-3.9728121899264184</c:v>
              </c:pt>
              <c:pt idx="3">
                <c:v>-3.7668147267250736</c:v>
              </c:pt>
              <c:pt idx="4">
                <c:v>-0.82317887303738724</c:v>
              </c:pt>
              <c:pt idx="5">
                <c:v>4.5597659670707076</c:v>
              </c:pt>
              <c:pt idx="6">
                <c:v>-2.0623108828056074</c:v>
              </c:pt>
              <c:pt idx="7">
                <c:v>6.0569314311566202E-2</c:v>
              </c:pt>
              <c:pt idx="8">
                <c:v>-4.0433986390892844</c:v>
              </c:pt>
              <c:pt idx="9">
                <c:v>0.5305012124072741</c:v>
              </c:pt>
              <c:pt idx="10">
                <c:v>2.8006783192637235</c:v>
              </c:pt>
              <c:pt idx="11">
                <c:v>-1.3233624681476366</c:v>
              </c:pt>
              <c:pt idx="12">
                <c:v>-1.8773550614516981</c:v>
              </c:pt>
              <c:pt idx="13">
                <c:v>4.2483492574792772</c:v>
              </c:pt>
              <c:pt idx="14">
                <c:v>1.8058423018326133</c:v>
              </c:pt>
              <c:pt idx="15">
                <c:v>-1.5094858854154554</c:v>
              </c:pt>
              <c:pt idx="16">
                <c:v>6.1433960713748661</c:v>
              </c:pt>
              <c:pt idx="17">
                <c:v>-0.85599947649605346</c:v>
              </c:pt>
              <c:pt idx="18">
                <c:v>5.1503909603371252</c:v>
              </c:pt>
              <c:pt idx="19">
                <c:v>-3.1481021405385388</c:v>
              </c:pt>
              <c:pt idx="20">
                <c:v>-2.475791711755849</c:v>
              </c:pt>
              <c:pt idx="21">
                <c:v>3.0561458576147782</c:v>
              </c:pt>
              <c:pt idx="22">
                <c:v>2.3115727710063982</c:v>
              </c:pt>
              <c:pt idx="23">
                <c:v>-1.8270384151824643</c:v>
              </c:pt>
              <c:pt idx="24">
                <c:v>0.20601133616688649</c:v>
              </c:pt>
              <c:pt idx="25">
                <c:v>3.1035234460376593E-2</c:v>
              </c:pt>
              <c:pt idx="26">
                <c:v>2.446691353958002</c:v>
              </c:pt>
              <c:pt idx="27">
                <c:v>2.17316645441029</c:v>
              </c:pt>
              <c:pt idx="28">
                <c:v>-2.1056415159934674</c:v>
              </c:pt>
              <c:pt idx="29">
                <c:v>-1.6713246291283781</c:v>
              </c:pt>
              <c:pt idx="30">
                <c:v>-0.34243440920323653</c:v>
              </c:pt>
              <c:pt idx="31">
                <c:v>-2.343460867439815</c:v>
              </c:pt>
              <c:pt idx="32">
                <c:v>-0.9471928535540437</c:v>
              </c:pt>
              <c:pt idx="33">
                <c:v>-3.5117057151185715</c:v>
              </c:pt>
              <c:pt idx="34">
                <c:v>0.5665448789682479</c:v>
              </c:pt>
              <c:pt idx="35">
                <c:v>-0.91858029701698296</c:v>
              </c:pt>
              <c:pt idx="36">
                <c:v>-2.2093788365749205</c:v>
              </c:pt>
              <c:pt idx="37">
                <c:v>-3.0626200634232932</c:v>
              </c:pt>
              <c:pt idx="38">
                <c:v>-2.3377136300371797</c:v>
              </c:pt>
              <c:pt idx="39">
                <c:v>0.14076637435210682</c:v>
              </c:pt>
              <c:pt idx="40">
                <c:v>6.4682474986175071</c:v>
              </c:pt>
              <c:pt idx="41">
                <c:v>3.9497843332316451</c:v>
              </c:pt>
              <c:pt idx="42">
                <c:v>-0.49534468728204573</c:v>
              </c:pt>
              <c:pt idx="43">
                <c:v>-1.2902131542683253</c:v>
              </c:pt>
              <c:pt idx="44">
                <c:v>2.7678651234518892</c:v>
              </c:pt>
              <c:pt idx="45">
                <c:v>1.8322433951696704</c:v>
              </c:pt>
              <c:pt idx="46">
                <c:v>0.13561129253321624</c:v>
              </c:pt>
              <c:pt idx="47">
                <c:v>-0.67789901939237662</c:v>
              </c:pt>
              <c:pt idx="48">
                <c:v>-1.6222582939642525</c:v>
              </c:pt>
              <c:pt idx="49">
                <c:v>-1.7439104577274112</c:v>
              </c:pt>
              <c:pt idx="50">
                <c:v>-0.14698136736991163</c:v>
              </c:pt>
              <c:pt idx="51">
                <c:v>2.5076940449487477</c:v>
              </c:pt>
              <c:pt idx="52">
                <c:v>-6.8192911068775004</c:v>
              </c:pt>
              <c:pt idx="53">
                <c:v>-1.1026401283680896</c:v>
              </c:pt>
              <c:pt idx="54">
                <c:v>2.7471605303033124</c:v>
              </c:pt>
              <c:pt idx="55">
                <c:v>-2.8367125161517572</c:v>
              </c:pt>
              <c:pt idx="56">
                <c:v>0.55625141013162516</c:v>
              </c:pt>
              <c:pt idx="57">
                <c:v>-2.7964374131760854</c:v>
              </c:pt>
              <c:pt idx="58">
                <c:v>-4.6367669551853581</c:v>
              </c:pt>
              <c:pt idx="59">
                <c:v>3.9866362212484265</c:v>
              </c:pt>
              <c:pt idx="60">
                <c:v>-2.2787075904468628</c:v>
              </c:pt>
              <c:pt idx="61">
                <c:v>1.7547415458995328</c:v>
              </c:pt>
              <c:pt idx="62">
                <c:v>-1.5186523181018412</c:v>
              </c:pt>
              <c:pt idx="63">
                <c:v>-2.6551023265875999</c:v>
              </c:pt>
              <c:pt idx="64">
                <c:v>-1.7177043117885953</c:v>
              </c:pt>
              <c:pt idx="65">
                <c:v>1.7987288237817687</c:v>
              </c:pt>
              <c:pt idx="66">
                <c:v>-2.5767792335968482</c:v>
              </c:pt>
              <c:pt idx="67">
                <c:v>3.4869633393672883</c:v>
              </c:pt>
              <c:pt idx="68">
                <c:v>-0.87111919083880185</c:v>
              </c:pt>
              <c:pt idx="69">
                <c:v>-2.3076451346447691</c:v>
              </c:pt>
              <c:pt idx="70">
                <c:v>-1.7822306706127002</c:v>
              </c:pt>
              <c:pt idx="71">
                <c:v>1.0507844522921688</c:v>
              </c:pt>
              <c:pt idx="72">
                <c:v>4.8210537174357855</c:v>
              </c:pt>
              <c:pt idx="73">
                <c:v>-0.33951241299526469</c:v>
              </c:pt>
              <c:pt idx="74">
                <c:v>1.1425385649116562</c:v>
              </c:pt>
              <c:pt idx="75">
                <c:v>-4.0090488536350808</c:v>
              </c:pt>
              <c:pt idx="76">
                <c:v>-0.71978965280390739</c:v>
              </c:pt>
              <c:pt idx="77">
                <c:v>-1.2492666861250381</c:v>
              </c:pt>
              <c:pt idx="78">
                <c:v>-3.9129648391554506</c:v>
              </c:pt>
              <c:pt idx="79">
                <c:v>-4.486164848524691</c:v>
              </c:pt>
              <c:pt idx="80">
                <c:v>-0.74276535433010116</c:v>
              </c:pt>
              <c:pt idx="81">
                <c:v>-2.404275061613165</c:v>
              </c:pt>
              <c:pt idx="82">
                <c:v>2.0712123525515613</c:v>
              </c:pt>
              <c:pt idx="83">
                <c:v>-0.95297122805189671</c:v>
              </c:pt>
              <c:pt idx="84">
                <c:v>-0.91711912715760491</c:v>
              </c:pt>
              <c:pt idx="85">
                <c:v>6.8004691222809264</c:v>
              </c:pt>
              <c:pt idx="86">
                <c:v>-2.6987259338588805</c:v>
              </c:pt>
              <c:pt idx="87">
                <c:v>-0.78622419816258393</c:v>
              </c:pt>
              <c:pt idx="88">
                <c:v>-2.6870377442785225</c:v>
              </c:pt>
              <c:pt idx="89">
                <c:v>-0.93226343003834788</c:v>
              </c:pt>
              <c:pt idx="90">
                <c:v>5.0588591818601349</c:v>
              </c:pt>
              <c:pt idx="91">
                <c:v>1.8705141675593389</c:v>
              </c:pt>
              <c:pt idx="92">
                <c:v>-0.73620282399922576</c:v>
              </c:pt>
              <c:pt idx="93">
                <c:v>-9.3266577816399909E-2</c:v>
              </c:pt>
              <c:pt idx="94">
                <c:v>-1.8745361153149926</c:v>
              </c:pt>
              <c:pt idx="95">
                <c:v>0.17750662845333665</c:v>
              </c:pt>
              <c:pt idx="96">
                <c:v>1.134322438569475</c:v>
              </c:pt>
              <c:pt idx="97">
                <c:v>2.6927286423755312</c:v>
              </c:pt>
              <c:pt idx="98">
                <c:v>3.0088861344169802</c:v>
              </c:pt>
              <c:pt idx="99">
                <c:v>-1.7720618787150659</c:v>
              </c:pt>
              <c:pt idx="100">
                <c:v>2.203768421620544</c:v>
              </c:pt>
              <c:pt idx="101">
                <c:v>-0.14617258758578533</c:v>
              </c:pt>
              <c:pt idx="102">
                <c:v>0.29585412402906375</c:v>
              </c:pt>
              <c:pt idx="103">
                <c:v>-1.0457667137954818</c:v>
              </c:pt>
              <c:pt idx="104">
                <c:v>1.4503018801633543</c:v>
              </c:pt>
              <c:pt idx="105">
                <c:v>1.0898799540074036</c:v>
              </c:pt>
              <c:pt idx="106">
                <c:v>-2.0495020928993664</c:v>
              </c:pt>
              <c:pt idx="107">
                <c:v>2.4975251639624609</c:v>
              </c:pt>
              <c:pt idx="108">
                <c:v>3.5000033161990869</c:v>
              </c:pt>
              <c:pt idx="109">
                <c:v>3.5769860788186572</c:v>
              </c:pt>
              <c:pt idx="110">
                <c:v>4.0873233499308155</c:v>
              </c:pt>
              <c:pt idx="111">
                <c:v>3.3621906715549841</c:v>
              </c:pt>
              <c:pt idx="112">
                <c:v>3.3766186520040264E-2</c:v>
              </c:pt>
              <c:pt idx="113">
                <c:v>0.24943302348346474</c:v>
              </c:pt>
              <c:pt idx="114">
                <c:v>-4.1499752103812462</c:v>
              </c:pt>
              <c:pt idx="115">
                <c:v>-2.1080298189420033</c:v>
              </c:pt>
              <c:pt idx="116">
                <c:v>-1.3876902226769667</c:v>
              </c:pt>
              <c:pt idx="117">
                <c:v>1.0118486271687575</c:v>
              </c:pt>
              <c:pt idx="118">
                <c:v>0.56037457823664116</c:v>
              </c:pt>
              <c:pt idx="119">
                <c:v>1.347892861567475</c:v>
              </c:pt>
              <c:pt idx="120">
                <c:v>2.9802897209692212</c:v>
              </c:pt>
              <c:pt idx="121">
                <c:v>-3.6635517098575767</c:v>
              </c:pt>
              <c:pt idx="122">
                <c:v>3.5026208725890795</c:v>
              </c:pt>
              <c:pt idx="123">
                <c:v>-2.9048947786192771</c:v>
              </c:pt>
              <c:pt idx="124">
                <c:v>1.6614214528847597</c:v>
              </c:pt>
              <c:pt idx="125">
                <c:v>-1.5419620323046841</c:v>
              </c:pt>
              <c:pt idx="126">
                <c:v>-1.1127005742526919</c:v>
              </c:pt>
              <c:pt idx="127">
                <c:v>6.8847404786010635</c:v>
              </c:pt>
              <c:pt idx="128">
                <c:v>-0.63427274230548303</c:v>
              </c:pt>
              <c:pt idx="129">
                <c:v>-0.92109470547224959</c:v>
              </c:pt>
              <c:pt idx="130">
                <c:v>1.8875754548770649</c:v>
              </c:pt>
              <c:pt idx="131">
                <c:v>-0.19705758633754833</c:v>
              </c:pt>
              <c:pt idx="132">
                <c:v>0.87189661074770353</c:v>
              </c:pt>
              <c:pt idx="133">
                <c:v>2.0063834853107574</c:v>
              </c:pt>
              <c:pt idx="134">
                <c:v>-2.3350210563838401</c:v>
              </c:pt>
              <c:pt idx="135">
                <c:v>2.1501751955074715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A35E-47DE-B774-1B896A04D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826416"/>
        <c:axId val="786826808"/>
      </c:scatterChart>
      <c:valAx>
        <c:axId val="786826416"/>
        <c:scaling>
          <c:orientation val="minMax"/>
          <c:min val="0.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GP_Margin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826808"/>
        <c:crossesAt val="-8"/>
        <c:crossBetween val="midCat"/>
      </c:valAx>
      <c:valAx>
        <c:axId val="78682680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826416"/>
        <c:crossesAt val="0.2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Rev_Growth
</a:t>
            </a:r>
            <a:r>
              <a:rPr lang="en-US" sz="1000"/>
              <a:t>Model 8 for EV_Rev    (2 variables, n=136)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36"/>
              <c:pt idx="0">
                <c:v>0.3669350534706135</c:v>
              </c:pt>
              <c:pt idx="1">
                <c:v>0.17939844250499792</c:v>
              </c:pt>
              <c:pt idx="2">
                <c:v>8.4287875513293642E-3</c:v>
              </c:pt>
              <c:pt idx="3">
                <c:v>4.5909889906875501E-2</c:v>
              </c:pt>
              <c:pt idx="4">
                <c:v>6.3792419977218628E-2</c:v>
              </c:pt>
              <c:pt idx="5">
                <c:v>0.20340544504430613</c:v>
              </c:pt>
              <c:pt idx="6">
                <c:v>0.13566846010258682</c:v>
              </c:pt>
              <c:pt idx="7">
                <c:v>9.2588012202160064E-2</c:v>
              </c:pt>
              <c:pt idx="8">
                <c:v>0.11687126928708191</c:v>
              </c:pt>
              <c:pt idx="9">
                <c:v>0.11455611954642619</c:v>
              </c:pt>
              <c:pt idx="10">
                <c:v>0.3814239960581427</c:v>
              </c:pt>
              <c:pt idx="11">
                <c:v>8.9157738796050046E-2</c:v>
              </c:pt>
              <c:pt idx="12">
                <c:v>6.0804126625211952E-2</c:v>
              </c:pt>
              <c:pt idx="13">
                <c:v>0.24470915467408383</c:v>
              </c:pt>
              <c:pt idx="14">
                <c:v>6.44086484290749E-2</c:v>
              </c:pt>
              <c:pt idx="15">
                <c:v>0.17218253183859034</c:v>
              </c:pt>
              <c:pt idx="16">
                <c:v>9.8193444027594667E-2</c:v>
              </c:pt>
              <c:pt idx="17">
                <c:v>9.9755926933540628E-2</c:v>
              </c:pt>
              <c:pt idx="18">
                <c:v>0.32427403147904221</c:v>
              </c:pt>
              <c:pt idx="19">
                <c:v>0.19284075768190023</c:v>
              </c:pt>
              <c:pt idx="20">
                <c:v>1.4443445708518534</c:v>
              </c:pt>
              <c:pt idx="21">
                <c:v>0.25282277859597468</c:v>
              </c:pt>
              <c:pt idx="22">
                <c:v>0.32675608348697449</c:v>
              </c:pt>
              <c:pt idx="23">
                <c:v>0.4558973541973701</c:v>
              </c:pt>
              <c:pt idx="24">
                <c:v>6.989213197969546E-2</c:v>
              </c:pt>
              <c:pt idx="25">
                <c:v>4.5615783060939163E-2</c:v>
              </c:pt>
              <c:pt idx="26">
                <c:v>0.21665138383569471</c:v>
              </c:pt>
              <c:pt idx="27">
                <c:v>8.4931082781860345E-2</c:v>
              </c:pt>
              <c:pt idx="28">
                <c:v>0.20546846268667451</c:v>
              </c:pt>
              <c:pt idx="29">
                <c:v>3.3148505303760789E-2</c:v>
              </c:pt>
              <c:pt idx="30">
                <c:v>6.3581033618146598E-2</c:v>
              </c:pt>
              <c:pt idx="31">
                <c:v>0.24161319405935378</c:v>
              </c:pt>
              <c:pt idx="32">
                <c:v>0.39882973076400785</c:v>
              </c:pt>
              <c:pt idx="33">
                <c:v>4.8298222232614041E-2</c:v>
              </c:pt>
              <c:pt idx="34">
                <c:v>3.3457797796119682E-2</c:v>
              </c:pt>
              <c:pt idx="35">
                <c:v>2.8465388663426294E-2</c:v>
              </c:pt>
              <c:pt idx="36">
                <c:v>0.18481063775957018</c:v>
              </c:pt>
              <c:pt idx="37">
                <c:v>7.2713000882189682E-2</c:v>
              </c:pt>
              <c:pt idx="38">
                <c:v>0.16425784080600758</c:v>
              </c:pt>
              <c:pt idx="39">
                <c:v>2.540134236457936E-2</c:v>
              </c:pt>
              <c:pt idx="40">
                <c:v>0.21314041853990284</c:v>
              </c:pt>
              <c:pt idx="41">
                <c:v>0.1779265510608794</c:v>
              </c:pt>
              <c:pt idx="42">
                <c:v>0.1851860649785193</c:v>
              </c:pt>
              <c:pt idx="43">
                <c:v>0.21000344730326859</c:v>
              </c:pt>
              <c:pt idx="44">
                <c:v>0.11651685176986892</c:v>
              </c:pt>
              <c:pt idx="45">
                <c:v>0.36518189524897715</c:v>
              </c:pt>
              <c:pt idx="46">
                <c:v>0.33777285869172391</c:v>
              </c:pt>
              <c:pt idx="47">
                <c:v>0.11512505167424569</c:v>
              </c:pt>
              <c:pt idx="48">
                <c:v>0.27187065021134593</c:v>
              </c:pt>
              <c:pt idx="49">
                <c:v>7.7772521897988778E-2</c:v>
              </c:pt>
              <c:pt idx="50">
                <c:v>0.15533940728225715</c:v>
              </c:pt>
              <c:pt idx="51">
                <c:v>0.32774285993421692</c:v>
              </c:pt>
              <c:pt idx="52">
                <c:v>1.2798168039962041</c:v>
              </c:pt>
              <c:pt idx="53">
                <c:v>7.4866249518044548E-2</c:v>
              </c:pt>
              <c:pt idx="54">
                <c:v>0.18003272596659103</c:v>
              </c:pt>
              <c:pt idx="55">
                <c:v>0.17472622601444865</c:v>
              </c:pt>
              <c:pt idx="56">
                <c:v>0.17074887275201789</c:v>
              </c:pt>
              <c:pt idx="57">
                <c:v>0.17845259402515357</c:v>
              </c:pt>
              <c:pt idx="58">
                <c:v>0.20755124106546718</c:v>
              </c:pt>
              <c:pt idx="59">
                <c:v>0.13407566857822273</c:v>
              </c:pt>
              <c:pt idx="60">
                <c:v>0.21536079842022415</c:v>
              </c:pt>
              <c:pt idx="61">
                <c:v>0.26431414661111607</c:v>
              </c:pt>
              <c:pt idx="62">
                <c:v>7.4856765799364622E-2</c:v>
              </c:pt>
              <c:pt idx="63">
                <c:v>0.33553348864665233</c:v>
              </c:pt>
              <c:pt idx="64">
                <c:v>0.25131331930295331</c:v>
              </c:pt>
              <c:pt idx="65">
                <c:v>0.10840677397719656</c:v>
              </c:pt>
              <c:pt idx="66">
                <c:v>8.0987787740784078E-2</c:v>
              </c:pt>
              <c:pt idx="67">
                <c:v>0.18090878735600224</c:v>
              </c:pt>
              <c:pt idx="68">
                <c:v>0.10723573897272698</c:v>
              </c:pt>
              <c:pt idx="69">
                <c:v>8.1155047470734543E-2</c:v>
              </c:pt>
              <c:pt idx="70">
                <c:v>0.10785176133707775</c:v>
              </c:pt>
              <c:pt idx="71">
                <c:v>4.5144101474923204E-3</c:v>
              </c:pt>
              <c:pt idx="72">
                <c:v>0.41248745064788483</c:v>
              </c:pt>
              <c:pt idx="73">
                <c:v>0.1806401563981197</c:v>
              </c:pt>
              <c:pt idx="74">
                <c:v>0.11360512866980788</c:v>
              </c:pt>
              <c:pt idx="75">
                <c:v>1.3954699502491508E-2</c:v>
              </c:pt>
              <c:pt idx="76">
                <c:v>0.23761000627341433</c:v>
              </c:pt>
              <c:pt idx="77">
                <c:v>0.31887370772507673</c:v>
              </c:pt>
              <c:pt idx="78">
                <c:v>0.39676325190343875</c:v>
              </c:pt>
              <c:pt idx="79">
                <c:v>0.12643285236175972</c:v>
              </c:pt>
              <c:pt idx="80">
                <c:v>-3.2419882822799839E-2</c:v>
              </c:pt>
              <c:pt idx="81">
                <c:v>1.7802077457975241E-2</c:v>
              </c:pt>
              <c:pt idx="82">
                <c:v>0.27870379794405276</c:v>
              </c:pt>
              <c:pt idx="83">
                <c:v>4.7487300909792252E-2</c:v>
              </c:pt>
              <c:pt idx="84">
                <c:v>0.18236074557512727</c:v>
              </c:pt>
              <c:pt idx="85">
                <c:v>0.30814478940144041</c:v>
              </c:pt>
              <c:pt idx="86">
                <c:v>0.1109023118563639</c:v>
              </c:pt>
              <c:pt idx="87">
                <c:v>2.8701272821758383E-2</c:v>
              </c:pt>
              <c:pt idx="88">
                <c:v>-3.982098141349466E-2</c:v>
              </c:pt>
              <c:pt idx="89">
                <c:v>1.3397856210463077E-2</c:v>
              </c:pt>
              <c:pt idx="90">
                <c:v>0.24844386259407103</c:v>
              </c:pt>
              <c:pt idx="91">
                <c:v>0.19889173489578238</c:v>
              </c:pt>
              <c:pt idx="92">
                <c:v>8.9842079791757845E-2</c:v>
              </c:pt>
              <c:pt idx="93">
                <c:v>0.44355718873420802</c:v>
              </c:pt>
              <c:pt idx="94">
                <c:v>-1.4085207919166232E-2</c:v>
              </c:pt>
              <c:pt idx="95">
                <c:v>0.29012158698208257</c:v>
              </c:pt>
              <c:pt idx="96">
                <c:v>0.12118158993992911</c:v>
              </c:pt>
              <c:pt idx="97">
                <c:v>7.5705500520764524E-2</c:v>
              </c:pt>
              <c:pt idx="98">
                <c:v>0.2349013248079701</c:v>
              </c:pt>
              <c:pt idx="99">
                <c:v>3.4475093708797866E-2</c:v>
              </c:pt>
              <c:pt idx="100">
                <c:v>0.18951518188509064</c:v>
              </c:pt>
              <c:pt idx="101">
                <c:v>0.17806318035514068</c:v>
              </c:pt>
              <c:pt idx="102">
                <c:v>0.21456790793125591</c:v>
              </c:pt>
              <c:pt idx="103">
                <c:v>0.14021314793477901</c:v>
              </c:pt>
              <c:pt idx="104">
                <c:v>0.24618641590165691</c:v>
              </c:pt>
              <c:pt idx="105">
                <c:v>0.2188899261151187</c:v>
              </c:pt>
              <c:pt idx="106">
                <c:v>9.5959012522825571E-2</c:v>
              </c:pt>
              <c:pt idx="107">
                <c:v>0.21729844335835513</c:v>
              </c:pt>
              <c:pt idx="108">
                <c:v>0.30594599654365151</c:v>
              </c:pt>
              <c:pt idx="109">
                <c:v>0.41861445945455178</c:v>
              </c:pt>
              <c:pt idx="110">
                <c:v>0.35823144628240677</c:v>
              </c:pt>
              <c:pt idx="111">
                <c:v>0.76024916182035529</c:v>
              </c:pt>
              <c:pt idx="112">
                <c:v>0.28899937720859659</c:v>
              </c:pt>
              <c:pt idx="113">
                <c:v>8.8234917900679388E-2</c:v>
              </c:pt>
              <c:pt idx="114">
                <c:v>1.003082767454107</c:v>
              </c:pt>
              <c:pt idx="115">
                <c:v>-1.180070437124503E-2</c:v>
              </c:pt>
              <c:pt idx="116">
                <c:v>7.1619985310756862E-2</c:v>
              </c:pt>
              <c:pt idx="117">
                <c:v>6.0124762155143952E-2</c:v>
              </c:pt>
              <c:pt idx="118">
                <c:v>0.31555089667677128</c:v>
              </c:pt>
              <c:pt idx="119">
                <c:v>0.56704682863946054</c:v>
              </c:pt>
              <c:pt idx="120">
                <c:v>0.2840470593780009</c:v>
              </c:pt>
              <c:pt idx="121">
                <c:v>0.70360160621062073</c:v>
              </c:pt>
              <c:pt idx="122">
                <c:v>0.35545257465776769</c:v>
              </c:pt>
              <c:pt idx="123">
                <c:v>0.30537113040322628</c:v>
              </c:pt>
              <c:pt idx="124">
                <c:v>0.20237266299744738</c:v>
              </c:pt>
              <c:pt idx="125">
                <c:v>0.34531610141587099</c:v>
              </c:pt>
              <c:pt idx="126">
                <c:v>0.1762724303997889</c:v>
              </c:pt>
              <c:pt idx="127">
                <c:v>0.19034512100899992</c:v>
              </c:pt>
              <c:pt idx="128">
                <c:v>7.2605999763788898E-2</c:v>
              </c:pt>
              <c:pt idx="129">
                <c:v>0.31412919220305247</c:v>
              </c:pt>
              <c:pt idx="130">
                <c:v>0.28482204336323713</c:v>
              </c:pt>
              <c:pt idx="131">
                <c:v>0.13434688178715493</c:v>
              </c:pt>
              <c:pt idx="132">
                <c:v>0.25507824501493381</c:v>
              </c:pt>
              <c:pt idx="133">
                <c:v>0.31519733798005456</c:v>
              </c:pt>
              <c:pt idx="134">
                <c:v>0.11091975107342789</c:v>
              </c:pt>
              <c:pt idx="135">
                <c:v>0.52388552100329933</c:v>
              </c:pt>
            </c:numLit>
          </c:xVal>
          <c:yVal>
            <c:numLit>
              <c:formatCode>General</c:formatCode>
              <c:ptCount val="136"/>
              <c:pt idx="0">
                <c:v>-0.77521340768651736</c:v>
              </c:pt>
              <c:pt idx="1">
                <c:v>-1.9652809646358547</c:v>
              </c:pt>
              <c:pt idx="2">
                <c:v>-3.9728121899264184</c:v>
              </c:pt>
              <c:pt idx="3">
                <c:v>-3.7668147267250736</c:v>
              </c:pt>
              <c:pt idx="4">
                <c:v>-0.82317887303738724</c:v>
              </c:pt>
              <c:pt idx="5">
                <c:v>4.5597659670707076</c:v>
              </c:pt>
              <c:pt idx="6">
                <c:v>-2.0623108828056074</c:v>
              </c:pt>
              <c:pt idx="7">
                <c:v>6.0569314311566202E-2</c:v>
              </c:pt>
              <c:pt idx="8">
                <c:v>-4.0433986390892844</c:v>
              </c:pt>
              <c:pt idx="9">
                <c:v>0.5305012124072741</c:v>
              </c:pt>
              <c:pt idx="10">
                <c:v>2.8006783192637235</c:v>
              </c:pt>
              <c:pt idx="11">
                <c:v>-1.3233624681476366</c:v>
              </c:pt>
              <c:pt idx="12">
                <c:v>-1.8773550614516981</c:v>
              </c:pt>
              <c:pt idx="13">
                <c:v>4.2483492574792772</c:v>
              </c:pt>
              <c:pt idx="14">
                <c:v>1.8058423018326133</c:v>
              </c:pt>
              <c:pt idx="15">
                <c:v>-1.5094858854154554</c:v>
              </c:pt>
              <c:pt idx="16">
                <c:v>6.1433960713748661</c:v>
              </c:pt>
              <c:pt idx="17">
                <c:v>-0.85599947649605346</c:v>
              </c:pt>
              <c:pt idx="18">
                <c:v>5.1503909603371252</c:v>
              </c:pt>
              <c:pt idx="19">
                <c:v>-3.1481021405385388</c:v>
              </c:pt>
              <c:pt idx="20">
                <c:v>-2.475791711755849</c:v>
              </c:pt>
              <c:pt idx="21">
                <c:v>3.0561458576147782</c:v>
              </c:pt>
              <c:pt idx="22">
                <c:v>2.3115727710063982</c:v>
              </c:pt>
              <c:pt idx="23">
                <c:v>-1.8270384151824643</c:v>
              </c:pt>
              <c:pt idx="24">
                <c:v>0.20601133616688649</c:v>
              </c:pt>
              <c:pt idx="25">
                <c:v>3.1035234460376593E-2</c:v>
              </c:pt>
              <c:pt idx="26">
                <c:v>2.446691353958002</c:v>
              </c:pt>
              <c:pt idx="27">
                <c:v>2.17316645441029</c:v>
              </c:pt>
              <c:pt idx="28">
                <c:v>-2.1056415159934674</c:v>
              </c:pt>
              <c:pt idx="29">
                <c:v>-1.6713246291283781</c:v>
              </c:pt>
              <c:pt idx="30">
                <c:v>-0.34243440920323653</c:v>
              </c:pt>
              <c:pt idx="31">
                <c:v>-2.343460867439815</c:v>
              </c:pt>
              <c:pt idx="32">
                <c:v>-0.9471928535540437</c:v>
              </c:pt>
              <c:pt idx="33">
                <c:v>-3.5117057151185715</c:v>
              </c:pt>
              <c:pt idx="34">
                <c:v>0.5665448789682479</c:v>
              </c:pt>
              <c:pt idx="35">
                <c:v>-0.91858029701698296</c:v>
              </c:pt>
              <c:pt idx="36">
                <c:v>-2.2093788365749205</c:v>
              </c:pt>
              <c:pt idx="37">
                <c:v>-3.0626200634232932</c:v>
              </c:pt>
              <c:pt idx="38">
                <c:v>-2.3377136300371797</c:v>
              </c:pt>
              <c:pt idx="39">
                <c:v>0.14076637435210682</c:v>
              </c:pt>
              <c:pt idx="40">
                <c:v>6.4682474986175071</c:v>
              </c:pt>
              <c:pt idx="41">
                <c:v>3.9497843332316451</c:v>
              </c:pt>
              <c:pt idx="42">
                <c:v>-0.49534468728204573</c:v>
              </c:pt>
              <c:pt idx="43">
                <c:v>-1.2902131542683253</c:v>
              </c:pt>
              <c:pt idx="44">
                <c:v>2.7678651234518892</c:v>
              </c:pt>
              <c:pt idx="45">
                <c:v>1.8322433951696704</c:v>
              </c:pt>
              <c:pt idx="46">
                <c:v>0.13561129253321624</c:v>
              </c:pt>
              <c:pt idx="47">
                <c:v>-0.67789901939237662</c:v>
              </c:pt>
              <c:pt idx="48">
                <c:v>-1.6222582939642525</c:v>
              </c:pt>
              <c:pt idx="49">
                <c:v>-1.7439104577274112</c:v>
              </c:pt>
              <c:pt idx="50">
                <c:v>-0.14698136736991163</c:v>
              </c:pt>
              <c:pt idx="51">
                <c:v>2.5076940449487477</c:v>
              </c:pt>
              <c:pt idx="52">
                <c:v>-6.8192911068775004</c:v>
              </c:pt>
              <c:pt idx="53">
                <c:v>-1.1026401283680896</c:v>
              </c:pt>
              <c:pt idx="54">
                <c:v>2.7471605303033124</c:v>
              </c:pt>
              <c:pt idx="55">
                <c:v>-2.8367125161517572</c:v>
              </c:pt>
              <c:pt idx="56">
                <c:v>0.55625141013162516</c:v>
              </c:pt>
              <c:pt idx="57">
                <c:v>-2.7964374131760854</c:v>
              </c:pt>
              <c:pt idx="58">
                <c:v>-4.6367669551853581</c:v>
              </c:pt>
              <c:pt idx="59">
                <c:v>3.9866362212484265</c:v>
              </c:pt>
              <c:pt idx="60">
                <c:v>-2.2787075904468628</c:v>
              </c:pt>
              <c:pt idx="61">
                <c:v>1.7547415458995328</c:v>
              </c:pt>
              <c:pt idx="62">
                <c:v>-1.5186523181018412</c:v>
              </c:pt>
              <c:pt idx="63">
                <c:v>-2.6551023265875999</c:v>
              </c:pt>
              <c:pt idx="64">
                <c:v>-1.7177043117885953</c:v>
              </c:pt>
              <c:pt idx="65">
                <c:v>1.7987288237817687</c:v>
              </c:pt>
              <c:pt idx="66">
                <c:v>-2.5767792335968482</c:v>
              </c:pt>
              <c:pt idx="67">
                <c:v>3.4869633393672883</c:v>
              </c:pt>
              <c:pt idx="68">
                <c:v>-0.87111919083880185</c:v>
              </c:pt>
              <c:pt idx="69">
                <c:v>-2.3076451346447691</c:v>
              </c:pt>
              <c:pt idx="70">
                <c:v>-1.7822306706127002</c:v>
              </c:pt>
              <c:pt idx="71">
                <c:v>1.0507844522921688</c:v>
              </c:pt>
              <c:pt idx="72">
                <c:v>4.8210537174357855</c:v>
              </c:pt>
              <c:pt idx="73">
                <c:v>-0.33951241299526469</c:v>
              </c:pt>
              <c:pt idx="74">
                <c:v>1.1425385649116562</c:v>
              </c:pt>
              <c:pt idx="75">
                <c:v>-4.0090488536350808</c:v>
              </c:pt>
              <c:pt idx="76">
                <c:v>-0.71978965280390739</c:v>
              </c:pt>
              <c:pt idx="77">
                <c:v>-1.2492666861250381</c:v>
              </c:pt>
              <c:pt idx="78">
                <c:v>-3.9129648391554506</c:v>
              </c:pt>
              <c:pt idx="79">
                <c:v>-4.486164848524691</c:v>
              </c:pt>
              <c:pt idx="80">
                <c:v>-0.74276535433010116</c:v>
              </c:pt>
              <c:pt idx="81">
                <c:v>-2.404275061613165</c:v>
              </c:pt>
              <c:pt idx="82">
                <c:v>2.0712123525515613</c:v>
              </c:pt>
              <c:pt idx="83">
                <c:v>-0.95297122805189671</c:v>
              </c:pt>
              <c:pt idx="84">
                <c:v>-0.91711912715760491</c:v>
              </c:pt>
              <c:pt idx="85">
                <c:v>6.8004691222809264</c:v>
              </c:pt>
              <c:pt idx="86">
                <c:v>-2.6987259338588805</c:v>
              </c:pt>
              <c:pt idx="87">
                <c:v>-0.78622419816258393</c:v>
              </c:pt>
              <c:pt idx="88">
                <c:v>-2.6870377442785225</c:v>
              </c:pt>
              <c:pt idx="89">
                <c:v>-0.93226343003834788</c:v>
              </c:pt>
              <c:pt idx="90">
                <c:v>5.0588591818601349</c:v>
              </c:pt>
              <c:pt idx="91">
                <c:v>1.8705141675593389</c:v>
              </c:pt>
              <c:pt idx="92">
                <c:v>-0.73620282399922576</c:v>
              </c:pt>
              <c:pt idx="93">
                <c:v>-9.3266577816399909E-2</c:v>
              </c:pt>
              <c:pt idx="94">
                <c:v>-1.8745361153149926</c:v>
              </c:pt>
              <c:pt idx="95">
                <c:v>0.17750662845333665</c:v>
              </c:pt>
              <c:pt idx="96">
                <c:v>1.134322438569475</c:v>
              </c:pt>
              <c:pt idx="97">
                <c:v>2.6927286423755312</c:v>
              </c:pt>
              <c:pt idx="98">
                <c:v>3.0088861344169802</c:v>
              </c:pt>
              <c:pt idx="99">
                <c:v>-1.7720618787150659</c:v>
              </c:pt>
              <c:pt idx="100">
                <c:v>2.203768421620544</c:v>
              </c:pt>
              <c:pt idx="101">
                <c:v>-0.14617258758578533</c:v>
              </c:pt>
              <c:pt idx="102">
                <c:v>0.29585412402906375</c:v>
              </c:pt>
              <c:pt idx="103">
                <c:v>-1.0457667137954818</c:v>
              </c:pt>
              <c:pt idx="104">
                <c:v>1.4503018801633543</c:v>
              </c:pt>
              <c:pt idx="105">
                <c:v>1.0898799540074036</c:v>
              </c:pt>
              <c:pt idx="106">
                <c:v>-2.0495020928993664</c:v>
              </c:pt>
              <c:pt idx="107">
                <c:v>2.4975251639624609</c:v>
              </c:pt>
              <c:pt idx="108">
                <c:v>3.5000033161990869</c:v>
              </c:pt>
              <c:pt idx="109">
                <c:v>3.5769860788186572</c:v>
              </c:pt>
              <c:pt idx="110">
                <c:v>4.0873233499308155</c:v>
              </c:pt>
              <c:pt idx="111">
                <c:v>3.3621906715549841</c:v>
              </c:pt>
              <c:pt idx="112">
                <c:v>3.3766186520040264E-2</c:v>
              </c:pt>
              <c:pt idx="113">
                <c:v>0.24943302348346474</c:v>
              </c:pt>
              <c:pt idx="114">
                <c:v>-4.1499752103812462</c:v>
              </c:pt>
              <c:pt idx="115">
                <c:v>-2.1080298189420033</c:v>
              </c:pt>
              <c:pt idx="116">
                <c:v>-1.3876902226769667</c:v>
              </c:pt>
              <c:pt idx="117">
                <c:v>1.0118486271687575</c:v>
              </c:pt>
              <c:pt idx="118">
                <c:v>0.56037457823664116</c:v>
              </c:pt>
              <c:pt idx="119">
                <c:v>1.347892861567475</c:v>
              </c:pt>
              <c:pt idx="120">
                <c:v>2.9802897209692212</c:v>
              </c:pt>
              <c:pt idx="121">
                <c:v>-3.6635517098575767</c:v>
              </c:pt>
              <c:pt idx="122">
                <c:v>3.5026208725890795</c:v>
              </c:pt>
              <c:pt idx="123">
                <c:v>-2.9048947786192771</c:v>
              </c:pt>
              <c:pt idx="124">
                <c:v>1.6614214528847597</c:v>
              </c:pt>
              <c:pt idx="125">
                <c:v>-1.5419620323046841</c:v>
              </c:pt>
              <c:pt idx="126">
                <c:v>-1.1127005742526919</c:v>
              </c:pt>
              <c:pt idx="127">
                <c:v>6.8847404786010635</c:v>
              </c:pt>
              <c:pt idx="128">
                <c:v>-0.63427274230548303</c:v>
              </c:pt>
              <c:pt idx="129">
                <c:v>-0.92109470547224959</c:v>
              </c:pt>
              <c:pt idx="130">
                <c:v>1.8875754548770649</c:v>
              </c:pt>
              <c:pt idx="131">
                <c:v>-0.19705758633754833</c:v>
              </c:pt>
              <c:pt idx="132">
                <c:v>0.87189661074770353</c:v>
              </c:pt>
              <c:pt idx="133">
                <c:v>2.0063834853107574</c:v>
              </c:pt>
              <c:pt idx="134">
                <c:v>-2.3350210563838401</c:v>
              </c:pt>
              <c:pt idx="135">
                <c:v>2.1501751955074715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738B-47BC-930A-3E9A68A33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827592"/>
        <c:axId val="786827984"/>
      </c:scatterChart>
      <c:valAx>
        <c:axId val="786827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Rev_Growth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827984"/>
        <c:crossesAt val="-8"/>
        <c:crossBetween val="midCat"/>
      </c:valAx>
      <c:valAx>
        <c:axId val="78682798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827592"/>
        <c:crossesAt val="-0.2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'Model 9'!$AA$2</c:f>
          <c:strCache>
            <c:ptCount val="1"/>
            <c:pt idx="0">
              <c:v>Forecasts and 95.0% confidence limits for means and forecasts
Model 9 for EV    (6 variables, n=136)</c:v>
            </c:pt>
          </c:strCache>
        </c:strRef>
      </c:tx>
      <c:overlay val="0"/>
      <c:txPr>
        <a:bodyPr/>
        <a:lstStyle/>
        <a:p>
          <a:pPr>
            <a:defRPr sz="1000"/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Forecast</c:v>
          </c:tx>
          <c:spPr>
            <a:ln w="25400">
              <a:noFill/>
            </a:ln>
          </c:spPr>
          <c:marker>
            <c:symbol val="circle"/>
            <c:size val="7"/>
            <c:spPr>
              <a:solidFill>
                <a:srgbClr val="FF9999"/>
              </a:solidFill>
              <a:ln w="12700">
                <a:solidFill>
                  <a:srgbClr val="FF0000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'Model 9'!$CG$51</c:f>
              </c:numRef>
            </c:plus>
            <c:minus>
              <c:numRef>
                <c:f>'Model 9'!$CG$51</c:f>
              </c:numRef>
            </c:minus>
          </c:errBars>
          <c:val>
            <c:numRef>
              <c:f>'Model 9'!$B$51</c:f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 xmlns:c16="http://schemas.microsoft.com/office/drawing/2014/chart">
                      <c:ext uri="{02D57815-91ED-43cb-92C2-25804820EDAC}">
                        <c15:formulaRef>
                          <c15:sqref>'Model 9'!$A$51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2054-4F82-8A93-3CB0D7459582}"/>
            </c:ext>
          </c:extLst>
        </c:ser>
        <c:ser>
          <c:idx val="1"/>
          <c:order val="1"/>
          <c:tx>
            <c:strRef>
              <c:f>'Model 9'!$H$50</c:f>
              <c:strCache>
                <c:ptCount val="1"/>
                <c:pt idx="0">
                  <c:v>Upper95%M</c:v>
                </c:pt>
              </c:strCache>
            </c:strRef>
          </c:tx>
          <c:spPr>
            <a:ln w="25400">
              <a:noFill/>
            </a:ln>
          </c:spPr>
          <c:marker>
            <c:symbol val="dash"/>
            <c:size val="7"/>
            <c:spPr>
              <a:noFill/>
              <a:ln w="12700">
                <a:solidFill>
                  <a:srgbClr val="000000"/>
                </a:solidFill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ED7D31"/>
                    </a:solidFill>
                  </a14:hiddenFill>
                </a:ext>
              </a:extLst>
            </c:spPr>
          </c:marker>
          <c:val>
            <c:numRef>
              <c:f>'Model 9'!$H$51</c:f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 xmlns:c16="http://schemas.microsoft.com/office/drawing/2014/chart">
                      <c:ext uri="{02D57815-91ED-43cb-92C2-25804820EDAC}">
                        <c15:formulaRef>
                          <c15:sqref>'Model 9'!$A$51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2054-4F82-8A93-3CB0D7459582}"/>
            </c:ext>
          </c:extLst>
        </c:ser>
        <c:ser>
          <c:idx val="2"/>
          <c:order val="2"/>
          <c:tx>
            <c:strRef>
              <c:f>'Model 9'!$G$50</c:f>
              <c:strCache>
                <c:ptCount val="1"/>
                <c:pt idx="0">
                  <c:v>Lower95%M</c:v>
                </c:pt>
              </c:strCache>
            </c:strRef>
          </c:tx>
          <c:spPr>
            <a:ln w="25400">
              <a:noFill/>
            </a:ln>
          </c:spPr>
          <c:marker>
            <c:symbol val="dash"/>
            <c:size val="7"/>
            <c:spPr>
              <a:noFill/>
              <a:ln w="12700">
                <a:solidFill>
                  <a:srgbClr val="000000"/>
                </a:solidFill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A5A5A5"/>
                    </a:solidFill>
                  </a14:hiddenFill>
                </a:ext>
              </a:extLst>
            </c:spPr>
          </c:marker>
          <c:val>
            <c:numRef>
              <c:f>'Model 9'!$G$51</c:f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 xmlns:c16="http://schemas.microsoft.com/office/drawing/2014/chart">
                      <c:ext uri="{02D57815-91ED-43cb-92C2-25804820EDAC}">
                        <c15:formulaRef>
                          <c15:sqref>'Model 9'!$A$51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2054-4F82-8A93-3CB0D7459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6828376"/>
        <c:axId val="786829160"/>
      </c:lineChart>
      <c:catAx>
        <c:axId val="786828376"/>
        <c:scaling>
          <c:orientation val="minMax"/>
        </c:scaling>
        <c:delete val="0"/>
        <c:axPos val="b"/>
        <c:numFmt formatCode="#,##0.000" sourceLinked="1"/>
        <c:majorTickMark val="out"/>
        <c:minorTickMark val="none"/>
        <c:tickLblPos val="nextTo"/>
        <c:crossAx val="786829160"/>
        <c:crossesAt val="0"/>
        <c:auto val="1"/>
        <c:lblAlgn val="ctr"/>
        <c:lblOffset val="100"/>
        <c:noMultiLvlLbl val="0"/>
      </c:catAx>
      <c:valAx>
        <c:axId val="78682916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crossAx val="786828376"/>
        <c:crosses val="autoZero"/>
        <c:crossBetween val="between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3F3"/>
    </a:solidFill>
    <a:ln w="6350">
      <a:solidFill>
        <a:srgbClr val="808080"/>
      </a:solidFill>
      <a:prstDash val="solid"/>
    </a:ln>
  </c:spPr>
  <c:txPr>
    <a:bodyPr/>
    <a:lstStyle/>
    <a:p>
      <a:pPr>
        <a:defRPr sz="1000"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'Model 9'!$AA$3</c:f>
          <c:strCache>
            <c:ptCount val="1"/>
            <c:pt idx="0">
              <c:v>Actual and Predicted -vs- Observation #
Model 9 for EV    (6 variables, n=136)</c:v>
            </c:pt>
          </c:strCache>
        </c:strRef>
      </c:tx>
      <c:overlay val="0"/>
      <c:txPr>
        <a:bodyPr/>
        <a:lstStyle/>
        <a:p>
          <a:pPr>
            <a:defRPr sz="1000"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9525" cap="rnd" cmpd="sng" algn="ctr">
              <a:solidFill>
                <a:srgbClr val="0000FF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3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  <c:pt idx="31">
                <c:v>32</c:v>
              </c:pt>
              <c:pt idx="32">
                <c:v>33</c:v>
              </c:pt>
              <c:pt idx="33">
                <c:v>34</c:v>
              </c:pt>
              <c:pt idx="34">
                <c:v>35</c:v>
              </c:pt>
              <c:pt idx="35">
                <c:v>36</c:v>
              </c:pt>
              <c:pt idx="36">
                <c:v>37</c:v>
              </c:pt>
              <c:pt idx="37">
                <c:v>38</c:v>
              </c:pt>
              <c:pt idx="38">
                <c:v>39</c:v>
              </c:pt>
              <c:pt idx="39">
                <c:v>40</c:v>
              </c:pt>
              <c:pt idx="40">
                <c:v>41</c:v>
              </c:pt>
              <c:pt idx="41">
                <c:v>42</c:v>
              </c:pt>
              <c:pt idx="42">
                <c:v>43</c:v>
              </c:pt>
              <c:pt idx="43">
                <c:v>44</c:v>
              </c:pt>
              <c:pt idx="44">
                <c:v>45</c:v>
              </c:pt>
              <c:pt idx="45">
                <c:v>46</c:v>
              </c:pt>
              <c:pt idx="46">
                <c:v>47</c:v>
              </c:pt>
              <c:pt idx="47">
                <c:v>48</c:v>
              </c:pt>
              <c:pt idx="48">
                <c:v>49</c:v>
              </c:pt>
              <c:pt idx="49">
                <c:v>50</c:v>
              </c:pt>
              <c:pt idx="50">
                <c:v>51</c:v>
              </c:pt>
              <c:pt idx="51">
                <c:v>52</c:v>
              </c:pt>
              <c:pt idx="52">
                <c:v>53</c:v>
              </c:pt>
              <c:pt idx="53">
                <c:v>54</c:v>
              </c:pt>
              <c:pt idx="54">
                <c:v>55</c:v>
              </c:pt>
              <c:pt idx="55">
                <c:v>56</c:v>
              </c:pt>
              <c:pt idx="56">
                <c:v>57</c:v>
              </c:pt>
              <c:pt idx="57">
                <c:v>58</c:v>
              </c:pt>
              <c:pt idx="58">
                <c:v>59</c:v>
              </c:pt>
              <c:pt idx="59">
                <c:v>60</c:v>
              </c:pt>
              <c:pt idx="60">
                <c:v>61</c:v>
              </c:pt>
              <c:pt idx="61">
                <c:v>62</c:v>
              </c:pt>
              <c:pt idx="62">
                <c:v>63</c:v>
              </c:pt>
              <c:pt idx="63">
                <c:v>64</c:v>
              </c:pt>
              <c:pt idx="64">
                <c:v>65</c:v>
              </c:pt>
              <c:pt idx="65">
                <c:v>66</c:v>
              </c:pt>
              <c:pt idx="66">
                <c:v>67</c:v>
              </c:pt>
              <c:pt idx="67">
                <c:v>68</c:v>
              </c:pt>
              <c:pt idx="68">
                <c:v>69</c:v>
              </c:pt>
              <c:pt idx="69">
                <c:v>70</c:v>
              </c:pt>
              <c:pt idx="70">
                <c:v>71</c:v>
              </c:pt>
              <c:pt idx="71">
                <c:v>72</c:v>
              </c:pt>
              <c:pt idx="72">
                <c:v>73</c:v>
              </c:pt>
              <c:pt idx="73">
                <c:v>74</c:v>
              </c:pt>
              <c:pt idx="74">
                <c:v>75</c:v>
              </c:pt>
              <c:pt idx="75">
                <c:v>76</c:v>
              </c:pt>
              <c:pt idx="76">
                <c:v>77</c:v>
              </c:pt>
              <c:pt idx="77">
                <c:v>78</c:v>
              </c:pt>
              <c:pt idx="78">
                <c:v>79</c:v>
              </c:pt>
              <c:pt idx="79">
                <c:v>80</c:v>
              </c:pt>
              <c:pt idx="80">
                <c:v>81</c:v>
              </c:pt>
              <c:pt idx="81">
                <c:v>82</c:v>
              </c:pt>
              <c:pt idx="82">
                <c:v>83</c:v>
              </c:pt>
              <c:pt idx="83">
                <c:v>84</c:v>
              </c:pt>
              <c:pt idx="84">
                <c:v>85</c:v>
              </c:pt>
              <c:pt idx="85">
                <c:v>86</c:v>
              </c:pt>
              <c:pt idx="86">
                <c:v>87</c:v>
              </c:pt>
              <c:pt idx="87">
                <c:v>88</c:v>
              </c:pt>
              <c:pt idx="88">
                <c:v>89</c:v>
              </c:pt>
              <c:pt idx="89">
                <c:v>90</c:v>
              </c:pt>
              <c:pt idx="90">
                <c:v>91</c:v>
              </c:pt>
              <c:pt idx="91">
                <c:v>92</c:v>
              </c:pt>
              <c:pt idx="92">
                <c:v>93</c:v>
              </c:pt>
              <c:pt idx="93">
                <c:v>94</c:v>
              </c:pt>
              <c:pt idx="94">
                <c:v>95</c:v>
              </c:pt>
              <c:pt idx="95">
                <c:v>96</c:v>
              </c:pt>
              <c:pt idx="96">
                <c:v>97</c:v>
              </c:pt>
              <c:pt idx="97">
                <c:v>98</c:v>
              </c:pt>
              <c:pt idx="98">
                <c:v>99</c:v>
              </c:pt>
              <c:pt idx="99">
                <c:v>100</c:v>
              </c:pt>
              <c:pt idx="100">
                <c:v>101</c:v>
              </c:pt>
              <c:pt idx="101">
                <c:v>102</c:v>
              </c:pt>
              <c:pt idx="102">
                <c:v>103</c:v>
              </c:pt>
              <c:pt idx="103">
                <c:v>104</c:v>
              </c:pt>
              <c:pt idx="104">
                <c:v>105</c:v>
              </c:pt>
              <c:pt idx="105">
                <c:v>106</c:v>
              </c:pt>
              <c:pt idx="106">
                <c:v>107</c:v>
              </c:pt>
              <c:pt idx="107">
                <c:v>108</c:v>
              </c:pt>
              <c:pt idx="108">
                <c:v>109</c:v>
              </c:pt>
              <c:pt idx="109">
                <c:v>110</c:v>
              </c:pt>
              <c:pt idx="110">
                <c:v>111</c:v>
              </c:pt>
              <c:pt idx="111">
                <c:v>112</c:v>
              </c:pt>
              <c:pt idx="112">
                <c:v>113</c:v>
              </c:pt>
              <c:pt idx="113">
                <c:v>114</c:v>
              </c:pt>
              <c:pt idx="114">
                <c:v>115</c:v>
              </c:pt>
              <c:pt idx="115">
                <c:v>116</c:v>
              </c:pt>
              <c:pt idx="116">
                <c:v>117</c:v>
              </c:pt>
              <c:pt idx="117">
                <c:v>118</c:v>
              </c:pt>
              <c:pt idx="118">
                <c:v>119</c:v>
              </c:pt>
              <c:pt idx="119">
                <c:v>120</c:v>
              </c:pt>
              <c:pt idx="120">
                <c:v>121</c:v>
              </c:pt>
              <c:pt idx="121">
                <c:v>122</c:v>
              </c:pt>
              <c:pt idx="122">
                <c:v>123</c:v>
              </c:pt>
              <c:pt idx="123">
                <c:v>124</c:v>
              </c:pt>
              <c:pt idx="124">
                <c:v>125</c:v>
              </c:pt>
              <c:pt idx="125">
                <c:v>126</c:v>
              </c:pt>
              <c:pt idx="126">
                <c:v>127</c:v>
              </c:pt>
              <c:pt idx="127">
                <c:v>128</c:v>
              </c:pt>
              <c:pt idx="128">
                <c:v>129</c:v>
              </c:pt>
              <c:pt idx="129">
                <c:v>130</c:v>
              </c:pt>
              <c:pt idx="130">
                <c:v>131</c:v>
              </c:pt>
              <c:pt idx="131">
                <c:v>132</c:v>
              </c:pt>
              <c:pt idx="132">
                <c:v>133</c:v>
              </c:pt>
              <c:pt idx="133">
                <c:v>134</c:v>
              </c:pt>
              <c:pt idx="134">
                <c:v>135</c:v>
              </c:pt>
              <c:pt idx="135">
                <c:v>136</c:v>
              </c:pt>
            </c:numLit>
          </c:xVal>
          <c:yVal>
            <c:numLit>
              <c:formatCode>General</c:formatCode>
              <c:ptCount val="136"/>
              <c:pt idx="0">
                <c:v>3162.8121999999998</c:v>
              </c:pt>
              <c:pt idx="1">
                <c:v>1478.7066</c:v>
              </c:pt>
              <c:pt idx="2">
                <c:v>290.68</c:v>
              </c:pt>
              <c:pt idx="3">
                <c:v>205.81890000000001</c:v>
              </c:pt>
              <c:pt idx="4">
                <c:v>3540.5491000000002</c:v>
              </c:pt>
              <c:pt idx="5">
                <c:v>117401.54</c:v>
              </c:pt>
              <c:pt idx="6">
                <c:v>328.06920000000002</c:v>
              </c:pt>
              <c:pt idx="7">
                <c:v>2086.6887999999999</c:v>
              </c:pt>
              <c:pt idx="8">
                <c:v>117.0865</c:v>
              </c:pt>
              <c:pt idx="9">
                <c:v>2344.0949000000001</c:v>
              </c:pt>
              <c:pt idx="10">
                <c:v>2363.1176</c:v>
              </c:pt>
              <c:pt idx="11">
                <c:v>259.96980000000002</c:v>
              </c:pt>
              <c:pt idx="12">
                <c:v>265.0127</c:v>
              </c:pt>
              <c:pt idx="13">
                <c:v>2014.3187</c:v>
              </c:pt>
              <c:pt idx="14">
                <c:v>1409.3098</c:v>
              </c:pt>
              <c:pt idx="15">
                <c:v>1016.1319</c:v>
              </c:pt>
              <c:pt idx="16">
                <c:v>6894.6152000000002</c:v>
              </c:pt>
              <c:pt idx="17">
                <c:v>4868.8302000000003</c:v>
              </c:pt>
              <c:pt idx="18">
                <c:v>15390.5118</c:v>
              </c:pt>
              <c:pt idx="19">
                <c:v>304.52499999999998</c:v>
              </c:pt>
              <c:pt idx="20">
                <c:v>748.60599999999999</c:v>
              </c:pt>
              <c:pt idx="21">
                <c:v>28484.287400000001</c:v>
              </c:pt>
              <c:pt idx="22">
                <c:v>2527.3155999999999</c:v>
              </c:pt>
              <c:pt idx="23">
                <c:v>5116.1342000000004</c:v>
              </c:pt>
              <c:pt idx="24">
                <c:v>1106.0070000000001</c:v>
              </c:pt>
              <c:pt idx="25">
                <c:v>3579.8489</c:v>
              </c:pt>
              <c:pt idx="26">
                <c:v>2165.1192999999998</c:v>
              </c:pt>
              <c:pt idx="27">
                <c:v>2781.2797</c:v>
              </c:pt>
              <c:pt idx="28">
                <c:v>2584.7898</c:v>
              </c:pt>
              <c:pt idx="29">
                <c:v>17761.393199999999</c:v>
              </c:pt>
              <c:pt idx="30">
                <c:v>12773.614</c:v>
              </c:pt>
              <c:pt idx="31">
                <c:v>1234.2756999999999</c:v>
              </c:pt>
              <c:pt idx="32">
                <c:v>1444.5420999999999</c:v>
              </c:pt>
              <c:pt idx="33">
                <c:v>268.75810000000001</c:v>
              </c:pt>
              <c:pt idx="34">
                <c:v>12991.4501</c:v>
              </c:pt>
              <c:pt idx="35">
                <c:v>14433.059600000001</c:v>
              </c:pt>
              <c:pt idx="36">
                <c:v>1642.0148999999999</c:v>
              </c:pt>
              <c:pt idx="37">
                <c:v>2249.4695999999999</c:v>
              </c:pt>
              <c:pt idx="38">
                <c:v>14085.412700000001</c:v>
              </c:pt>
              <c:pt idx="39">
                <c:v>2710.8598999999999</c:v>
              </c:pt>
              <c:pt idx="40">
                <c:v>3256.0626999999999</c:v>
              </c:pt>
              <c:pt idx="41">
                <c:v>877.18060000000003</c:v>
              </c:pt>
              <c:pt idx="42">
                <c:v>2121.9027000000001</c:v>
              </c:pt>
              <c:pt idx="43">
                <c:v>151.4391</c:v>
              </c:pt>
              <c:pt idx="44">
                <c:v>2399.3838999999998</c:v>
              </c:pt>
              <c:pt idx="45">
                <c:v>1157.5277000000001</c:v>
              </c:pt>
              <c:pt idx="46">
                <c:v>9553.6566000000003</c:v>
              </c:pt>
              <c:pt idx="47">
                <c:v>25857.610499999999</c:v>
              </c:pt>
              <c:pt idx="48">
                <c:v>2277.1129999999998</c:v>
              </c:pt>
              <c:pt idx="49">
                <c:v>198.11580000000001</c:v>
              </c:pt>
              <c:pt idx="50">
                <c:v>2538.9832999999999</c:v>
              </c:pt>
              <c:pt idx="51">
                <c:v>1455.3159000000001</c:v>
              </c:pt>
              <c:pt idx="52">
                <c:v>498.00700000000001</c:v>
              </c:pt>
              <c:pt idx="53">
                <c:v>3196.73</c:v>
              </c:pt>
              <c:pt idx="54">
                <c:v>2066.1927000000001</c:v>
              </c:pt>
              <c:pt idx="55">
                <c:v>949.03020000000004</c:v>
              </c:pt>
              <c:pt idx="56">
                <c:v>12362.801600000001</c:v>
              </c:pt>
              <c:pt idx="57">
                <c:v>751.91750000000002</c:v>
              </c:pt>
              <c:pt idx="58">
                <c:v>194.5496</c:v>
              </c:pt>
              <c:pt idx="59">
                <c:v>6390.3563999999997</c:v>
              </c:pt>
              <c:pt idx="60">
                <c:v>1375.7365</c:v>
              </c:pt>
              <c:pt idx="61">
                <c:v>4738.1673000000001</c:v>
              </c:pt>
              <c:pt idx="62">
                <c:v>1544.9141</c:v>
              </c:pt>
              <c:pt idx="63">
                <c:v>2404.9515999999999</c:v>
              </c:pt>
              <c:pt idx="64">
                <c:v>1011.2338999999999</c:v>
              </c:pt>
              <c:pt idx="65">
                <c:v>52287.719499999999</c:v>
              </c:pt>
              <c:pt idx="66">
                <c:v>4272.2191999999995</c:v>
              </c:pt>
              <c:pt idx="67">
                <c:v>1563.4879000000001</c:v>
              </c:pt>
              <c:pt idx="68">
                <c:v>1214.4014</c:v>
              </c:pt>
              <c:pt idx="69">
                <c:v>4064.2968000000001</c:v>
              </c:pt>
              <c:pt idx="70">
                <c:v>374.9058</c:v>
              </c:pt>
              <c:pt idx="71">
                <c:v>2833.0971</c:v>
              </c:pt>
              <c:pt idx="72">
                <c:v>3220.2809999999999</c:v>
              </c:pt>
              <c:pt idx="73">
                <c:v>4083.6496999999999</c:v>
              </c:pt>
              <c:pt idx="74">
                <c:v>759109.37990000006</c:v>
              </c:pt>
              <c:pt idx="75">
                <c:v>719.44939999999997</c:v>
              </c:pt>
              <c:pt idx="76">
                <c:v>1905.4384</c:v>
              </c:pt>
              <c:pt idx="77">
                <c:v>1454.999</c:v>
              </c:pt>
              <c:pt idx="78">
                <c:v>305.15159999999997</c:v>
              </c:pt>
              <c:pt idx="79">
                <c:v>343.18979999999999</c:v>
              </c:pt>
              <c:pt idx="80">
                <c:v>471.51530000000002</c:v>
              </c:pt>
              <c:pt idx="81">
                <c:v>759.31349999999998</c:v>
              </c:pt>
              <c:pt idx="82">
                <c:v>4436.8191999999999</c:v>
              </c:pt>
              <c:pt idx="83">
                <c:v>6727.3046000000004</c:v>
              </c:pt>
              <c:pt idx="84">
                <c:v>6236.2366000000002</c:v>
              </c:pt>
              <c:pt idx="85">
                <c:v>5590.6315999999997</c:v>
              </c:pt>
              <c:pt idx="86">
                <c:v>599.29819999999995</c:v>
              </c:pt>
              <c:pt idx="87">
                <c:v>11155.011</c:v>
              </c:pt>
              <c:pt idx="88">
                <c:v>124.41030000000001</c:v>
              </c:pt>
              <c:pt idx="89">
                <c:v>178833.2904</c:v>
              </c:pt>
              <c:pt idx="90">
                <c:v>7407.2659999999996</c:v>
              </c:pt>
              <c:pt idx="91">
                <c:v>3202.2395999999999</c:v>
              </c:pt>
              <c:pt idx="92">
                <c:v>3887.6603</c:v>
              </c:pt>
              <c:pt idx="93">
                <c:v>4485.9957999999997</c:v>
              </c:pt>
              <c:pt idx="94">
                <c:v>1403.5246</c:v>
              </c:pt>
              <c:pt idx="95">
                <c:v>5177.2318999999998</c:v>
              </c:pt>
              <c:pt idx="96">
                <c:v>1209.0925</c:v>
              </c:pt>
              <c:pt idx="97">
                <c:v>10635.886500000001</c:v>
              </c:pt>
              <c:pt idx="98">
                <c:v>2059.2656000000002</c:v>
              </c:pt>
              <c:pt idx="99">
                <c:v>684.58810000000005</c:v>
              </c:pt>
              <c:pt idx="100">
                <c:v>2532.3746999999998</c:v>
              </c:pt>
              <c:pt idx="101">
                <c:v>1443.3649</c:v>
              </c:pt>
              <c:pt idx="102">
                <c:v>5264.8521000000001</c:v>
              </c:pt>
              <c:pt idx="103">
                <c:v>19172.8344</c:v>
              </c:pt>
              <c:pt idx="104">
                <c:v>5688.8769000000002</c:v>
              </c:pt>
              <c:pt idx="105">
                <c:v>103894.19990000001</c:v>
              </c:pt>
              <c:pt idx="106">
                <c:v>1118.7239</c:v>
              </c:pt>
              <c:pt idx="107">
                <c:v>1346.6967</c:v>
              </c:pt>
              <c:pt idx="108">
                <c:v>30069.100900000001</c:v>
              </c:pt>
              <c:pt idx="109">
                <c:v>11763.517900000001</c:v>
              </c:pt>
              <c:pt idx="110">
                <c:v>388.22890000000001</c:v>
              </c:pt>
              <c:pt idx="111">
                <c:v>2499.6136000000001</c:v>
              </c:pt>
              <c:pt idx="112">
                <c:v>12778.339900000001</c:v>
              </c:pt>
              <c:pt idx="113">
                <c:v>1335.0657000000001</c:v>
              </c:pt>
              <c:pt idx="114">
                <c:v>18277.499500000002</c:v>
              </c:pt>
              <c:pt idx="115">
                <c:v>14628.111500000001</c:v>
              </c:pt>
              <c:pt idx="116">
                <c:v>13254.6572</c:v>
              </c:pt>
              <c:pt idx="117">
                <c:v>7440.2691999999997</c:v>
              </c:pt>
              <c:pt idx="118">
                <c:v>1708.3059000000001</c:v>
              </c:pt>
              <c:pt idx="119">
                <c:v>2961.8824</c:v>
              </c:pt>
              <c:pt idx="120">
                <c:v>1498.6233999999999</c:v>
              </c:pt>
              <c:pt idx="121">
                <c:v>11310.248799999999</c:v>
              </c:pt>
              <c:pt idx="122">
                <c:v>6079.7704000000003</c:v>
              </c:pt>
              <c:pt idx="123">
                <c:v>11136.6034</c:v>
              </c:pt>
              <c:pt idx="124">
                <c:v>8730.4277999999995</c:v>
              </c:pt>
              <c:pt idx="125">
                <c:v>789.97940000000006</c:v>
              </c:pt>
              <c:pt idx="126">
                <c:v>1637.1987999999999</c:v>
              </c:pt>
              <c:pt idx="127">
                <c:v>11492.5267</c:v>
              </c:pt>
              <c:pt idx="128">
                <c:v>49272.508399999999</c:v>
              </c:pt>
              <c:pt idx="129">
                <c:v>4154.2816999999995</c:v>
              </c:pt>
              <c:pt idx="130">
                <c:v>25456.8783</c:v>
              </c:pt>
              <c:pt idx="131">
                <c:v>1360.3652</c:v>
              </c:pt>
              <c:pt idx="132">
                <c:v>1797.1029000000001</c:v>
              </c:pt>
              <c:pt idx="133">
                <c:v>5616.1094999999996</c:v>
              </c:pt>
              <c:pt idx="134">
                <c:v>2858.7084</c:v>
              </c:pt>
              <c:pt idx="135">
                <c:v>2202.7654000000002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457-46DC-B088-93491D6B9242}"/>
            </c:ext>
          </c:extLst>
        </c:ser>
        <c:ser>
          <c:idx val="1"/>
          <c:order val="1"/>
          <c:tx>
            <c:v>Predicted</c:v>
          </c:tx>
          <c:spPr>
            <a:ln w="9525">
              <a:solidFill>
                <a:srgbClr val="FF0000"/>
              </a:solidFill>
              <a:prstDash val="sysDash"/>
            </a:ln>
          </c:spPr>
          <c:marker>
            <c:symbol val="circle"/>
            <c:size val="6"/>
            <c:spPr>
              <a:noFill/>
              <a:ln w="9525">
                <a:solidFill>
                  <a:srgbClr val="FF0000"/>
                </a:solidFill>
                <a:prstDash val="solid"/>
              </a:ln>
            </c:spPr>
          </c:marker>
          <c:xVal>
            <c:numLit>
              <c:formatCode>General</c:formatCode>
              <c:ptCount val="13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  <c:pt idx="31">
                <c:v>32</c:v>
              </c:pt>
              <c:pt idx="32">
                <c:v>33</c:v>
              </c:pt>
              <c:pt idx="33">
                <c:v>34</c:v>
              </c:pt>
              <c:pt idx="34">
                <c:v>35</c:v>
              </c:pt>
              <c:pt idx="35">
                <c:v>36</c:v>
              </c:pt>
              <c:pt idx="36">
                <c:v>37</c:v>
              </c:pt>
              <c:pt idx="37">
                <c:v>38</c:v>
              </c:pt>
              <c:pt idx="38">
                <c:v>39</c:v>
              </c:pt>
              <c:pt idx="39">
                <c:v>40</c:v>
              </c:pt>
              <c:pt idx="40">
                <c:v>41</c:v>
              </c:pt>
              <c:pt idx="41">
                <c:v>42</c:v>
              </c:pt>
              <c:pt idx="42">
                <c:v>43</c:v>
              </c:pt>
              <c:pt idx="43">
                <c:v>44</c:v>
              </c:pt>
              <c:pt idx="44">
                <c:v>45</c:v>
              </c:pt>
              <c:pt idx="45">
                <c:v>46</c:v>
              </c:pt>
              <c:pt idx="46">
                <c:v>47</c:v>
              </c:pt>
              <c:pt idx="47">
                <c:v>48</c:v>
              </c:pt>
              <c:pt idx="48">
                <c:v>49</c:v>
              </c:pt>
              <c:pt idx="49">
                <c:v>50</c:v>
              </c:pt>
              <c:pt idx="50">
                <c:v>51</c:v>
              </c:pt>
              <c:pt idx="51">
                <c:v>52</c:v>
              </c:pt>
              <c:pt idx="52">
                <c:v>53</c:v>
              </c:pt>
              <c:pt idx="53">
                <c:v>54</c:v>
              </c:pt>
              <c:pt idx="54">
                <c:v>55</c:v>
              </c:pt>
              <c:pt idx="55">
                <c:v>56</c:v>
              </c:pt>
              <c:pt idx="56">
                <c:v>57</c:v>
              </c:pt>
              <c:pt idx="57">
                <c:v>58</c:v>
              </c:pt>
              <c:pt idx="58">
                <c:v>59</c:v>
              </c:pt>
              <c:pt idx="59">
                <c:v>60</c:v>
              </c:pt>
              <c:pt idx="60">
                <c:v>61</c:v>
              </c:pt>
              <c:pt idx="61">
                <c:v>62</c:v>
              </c:pt>
              <c:pt idx="62">
                <c:v>63</c:v>
              </c:pt>
              <c:pt idx="63">
                <c:v>64</c:v>
              </c:pt>
              <c:pt idx="64">
                <c:v>65</c:v>
              </c:pt>
              <c:pt idx="65">
                <c:v>66</c:v>
              </c:pt>
              <c:pt idx="66">
                <c:v>67</c:v>
              </c:pt>
              <c:pt idx="67">
                <c:v>68</c:v>
              </c:pt>
              <c:pt idx="68">
                <c:v>69</c:v>
              </c:pt>
              <c:pt idx="69">
                <c:v>70</c:v>
              </c:pt>
              <c:pt idx="70">
                <c:v>71</c:v>
              </c:pt>
              <c:pt idx="71">
                <c:v>72</c:v>
              </c:pt>
              <c:pt idx="72">
                <c:v>73</c:v>
              </c:pt>
              <c:pt idx="73">
                <c:v>74</c:v>
              </c:pt>
              <c:pt idx="74">
                <c:v>75</c:v>
              </c:pt>
              <c:pt idx="75">
                <c:v>76</c:v>
              </c:pt>
              <c:pt idx="76">
                <c:v>77</c:v>
              </c:pt>
              <c:pt idx="77">
                <c:v>78</c:v>
              </c:pt>
              <c:pt idx="78">
                <c:v>79</c:v>
              </c:pt>
              <c:pt idx="79">
                <c:v>80</c:v>
              </c:pt>
              <c:pt idx="80">
                <c:v>81</c:v>
              </c:pt>
              <c:pt idx="81">
                <c:v>82</c:v>
              </c:pt>
              <c:pt idx="82">
                <c:v>83</c:v>
              </c:pt>
              <c:pt idx="83">
                <c:v>84</c:v>
              </c:pt>
              <c:pt idx="84">
                <c:v>85</c:v>
              </c:pt>
              <c:pt idx="85">
                <c:v>86</c:v>
              </c:pt>
              <c:pt idx="86">
                <c:v>87</c:v>
              </c:pt>
              <c:pt idx="87">
                <c:v>88</c:v>
              </c:pt>
              <c:pt idx="88">
                <c:v>89</c:v>
              </c:pt>
              <c:pt idx="89">
                <c:v>90</c:v>
              </c:pt>
              <c:pt idx="90">
                <c:v>91</c:v>
              </c:pt>
              <c:pt idx="91">
                <c:v>92</c:v>
              </c:pt>
              <c:pt idx="92">
                <c:v>93</c:v>
              </c:pt>
              <c:pt idx="93">
                <c:v>94</c:v>
              </c:pt>
              <c:pt idx="94">
                <c:v>95</c:v>
              </c:pt>
              <c:pt idx="95">
                <c:v>96</c:v>
              </c:pt>
              <c:pt idx="96">
                <c:v>97</c:v>
              </c:pt>
              <c:pt idx="97">
                <c:v>98</c:v>
              </c:pt>
              <c:pt idx="98">
                <c:v>99</c:v>
              </c:pt>
              <c:pt idx="99">
                <c:v>100</c:v>
              </c:pt>
              <c:pt idx="100">
                <c:v>101</c:v>
              </c:pt>
              <c:pt idx="101">
                <c:v>102</c:v>
              </c:pt>
              <c:pt idx="102">
                <c:v>103</c:v>
              </c:pt>
              <c:pt idx="103">
                <c:v>104</c:v>
              </c:pt>
              <c:pt idx="104">
                <c:v>105</c:v>
              </c:pt>
              <c:pt idx="105">
                <c:v>106</c:v>
              </c:pt>
              <c:pt idx="106">
                <c:v>107</c:v>
              </c:pt>
              <c:pt idx="107">
                <c:v>108</c:v>
              </c:pt>
              <c:pt idx="108">
                <c:v>109</c:v>
              </c:pt>
              <c:pt idx="109">
                <c:v>110</c:v>
              </c:pt>
              <c:pt idx="110">
                <c:v>111</c:v>
              </c:pt>
              <c:pt idx="111">
                <c:v>112</c:v>
              </c:pt>
              <c:pt idx="112">
                <c:v>113</c:v>
              </c:pt>
              <c:pt idx="113">
                <c:v>114</c:v>
              </c:pt>
              <c:pt idx="114">
                <c:v>115</c:v>
              </c:pt>
              <c:pt idx="115">
                <c:v>116</c:v>
              </c:pt>
              <c:pt idx="116">
                <c:v>117</c:v>
              </c:pt>
              <c:pt idx="117">
                <c:v>118</c:v>
              </c:pt>
              <c:pt idx="118">
                <c:v>119</c:v>
              </c:pt>
              <c:pt idx="119">
                <c:v>120</c:v>
              </c:pt>
              <c:pt idx="120">
                <c:v>121</c:v>
              </c:pt>
              <c:pt idx="121">
                <c:v>122</c:v>
              </c:pt>
              <c:pt idx="122">
                <c:v>123</c:v>
              </c:pt>
              <c:pt idx="123">
                <c:v>124</c:v>
              </c:pt>
              <c:pt idx="124">
                <c:v>125</c:v>
              </c:pt>
              <c:pt idx="125">
                <c:v>126</c:v>
              </c:pt>
              <c:pt idx="126">
                <c:v>127</c:v>
              </c:pt>
              <c:pt idx="127">
                <c:v>128</c:v>
              </c:pt>
              <c:pt idx="128">
                <c:v>129</c:v>
              </c:pt>
              <c:pt idx="129">
                <c:v>130</c:v>
              </c:pt>
              <c:pt idx="130">
                <c:v>131</c:v>
              </c:pt>
              <c:pt idx="131">
                <c:v>132</c:v>
              </c:pt>
              <c:pt idx="132">
                <c:v>133</c:v>
              </c:pt>
              <c:pt idx="133">
                <c:v>134</c:v>
              </c:pt>
              <c:pt idx="134">
                <c:v>135</c:v>
              </c:pt>
              <c:pt idx="135">
                <c:v>136</c:v>
              </c:pt>
            </c:numLit>
          </c:xVal>
          <c:yVal>
            <c:numLit>
              <c:formatCode>General</c:formatCode>
              <c:ptCount val="136"/>
              <c:pt idx="0">
                <c:v>-9262.8510075252943</c:v>
              </c:pt>
              <c:pt idx="1">
                <c:v>14850.469073682498</c:v>
              </c:pt>
              <c:pt idx="2">
                <c:v>15072.657304862149</c:v>
              </c:pt>
              <c:pt idx="3">
                <c:v>37654.591097139302</c:v>
              </c:pt>
              <c:pt idx="4">
                <c:v>24233.780627622662</c:v>
              </c:pt>
              <c:pt idx="5">
                <c:v>30942.872802353872</c:v>
              </c:pt>
              <c:pt idx="6">
                <c:v>13840.634615444358</c:v>
              </c:pt>
              <c:pt idx="7">
                <c:v>16547.512951708552</c:v>
              </c:pt>
              <c:pt idx="8">
                <c:v>12053.061014279678</c:v>
              </c:pt>
              <c:pt idx="9">
                <c:v>3849.678865898406</c:v>
              </c:pt>
              <c:pt idx="10">
                <c:v>-12467.138865802737</c:v>
              </c:pt>
              <c:pt idx="11">
                <c:v>8198.649770912818</c:v>
              </c:pt>
              <c:pt idx="12">
                <c:v>19471.192027226367</c:v>
              </c:pt>
              <c:pt idx="13">
                <c:v>15830.519818848063</c:v>
              </c:pt>
              <c:pt idx="14">
                <c:v>-1276.4925154129178</c:v>
              </c:pt>
              <c:pt idx="15">
                <c:v>7968.5228049268098</c:v>
              </c:pt>
              <c:pt idx="16">
                <c:v>36727.106306183377</c:v>
              </c:pt>
              <c:pt idx="17">
                <c:v>39889.206186653275</c:v>
              </c:pt>
              <c:pt idx="18">
                <c:v>16409.34166140038</c:v>
              </c:pt>
              <c:pt idx="19">
                <c:v>19791.377371700684</c:v>
              </c:pt>
              <c:pt idx="20">
                <c:v>-7600.4954436418429</c:v>
              </c:pt>
              <c:pt idx="21">
                <c:v>14616.047855448311</c:v>
              </c:pt>
              <c:pt idx="22">
                <c:v>9761.6768499359732</c:v>
              </c:pt>
              <c:pt idx="23">
                <c:v>38560.464681777899</c:v>
              </c:pt>
              <c:pt idx="24">
                <c:v>15126.453314317123</c:v>
              </c:pt>
              <c:pt idx="25">
                <c:v>28691.219170814184</c:v>
              </c:pt>
              <c:pt idx="26">
                <c:v>9391.5421147734214</c:v>
              </c:pt>
              <c:pt idx="27">
                <c:v>24827.525081930769</c:v>
              </c:pt>
              <c:pt idx="28">
                <c:v>8614.2400926348255</c:v>
              </c:pt>
              <c:pt idx="29">
                <c:v>33739.299466208991</c:v>
              </c:pt>
              <c:pt idx="30">
                <c:v>30868.380064466419</c:v>
              </c:pt>
              <c:pt idx="31">
                <c:v>26574.038712090529</c:v>
              </c:pt>
              <c:pt idx="32">
                <c:v>6592.4573403280792</c:v>
              </c:pt>
              <c:pt idx="33">
                <c:v>11948.363267415849</c:v>
              </c:pt>
              <c:pt idx="34">
                <c:v>42276.188021987291</c:v>
              </c:pt>
              <c:pt idx="35">
                <c:v>36954.713918522189</c:v>
              </c:pt>
              <c:pt idx="36">
                <c:v>22993.284134476329</c:v>
              </c:pt>
              <c:pt idx="37">
                <c:v>21020.205775329632</c:v>
              </c:pt>
              <c:pt idx="38">
                <c:v>-7569.8937446485306</c:v>
              </c:pt>
              <c:pt idx="39">
                <c:v>20722.744180723304</c:v>
              </c:pt>
              <c:pt idx="40">
                <c:v>-4427.0936956868118</c:v>
              </c:pt>
              <c:pt idx="41">
                <c:v>6334.1774899294178</c:v>
              </c:pt>
              <c:pt idx="42">
                <c:v>17311.620895931715</c:v>
              </c:pt>
              <c:pt idx="43">
                <c:v>-6171.0812450781323</c:v>
              </c:pt>
              <c:pt idx="44">
                <c:v>27761.887113367193</c:v>
              </c:pt>
              <c:pt idx="45">
                <c:v>-40030.758467289532</c:v>
              </c:pt>
              <c:pt idx="46">
                <c:v>28184.352547567541</c:v>
              </c:pt>
              <c:pt idx="47">
                <c:v>24360.584899159883</c:v>
              </c:pt>
              <c:pt idx="48">
                <c:v>18138.692918790686</c:v>
              </c:pt>
              <c:pt idx="49">
                <c:v>17454.947829153985</c:v>
              </c:pt>
              <c:pt idx="50">
                <c:v>20224.30072332879</c:v>
              </c:pt>
              <c:pt idx="51">
                <c:v>-14707.476011505432</c:v>
              </c:pt>
              <c:pt idx="52">
                <c:v>32664.342634475244</c:v>
              </c:pt>
              <c:pt idx="53">
                <c:v>17319.312387272672</c:v>
              </c:pt>
              <c:pt idx="54">
                <c:v>13968.175689881615</c:v>
              </c:pt>
              <c:pt idx="55">
                <c:v>-14979.178821474097</c:v>
              </c:pt>
              <c:pt idx="56">
                <c:v>27525.305448318111</c:v>
              </c:pt>
              <c:pt idx="57">
                <c:v>7754.8551107516669</c:v>
              </c:pt>
              <c:pt idx="58">
                <c:v>-18650.40478866257</c:v>
              </c:pt>
              <c:pt idx="59">
                <c:v>16107.045264539987</c:v>
              </c:pt>
              <c:pt idx="60">
                <c:v>-20581.034928970461</c:v>
              </c:pt>
              <c:pt idx="61">
                <c:v>4833.3894941668605</c:v>
              </c:pt>
              <c:pt idx="62">
                <c:v>14896.724017141101</c:v>
              </c:pt>
              <c:pt idx="63">
                <c:v>-956.18015573215416</c:v>
              </c:pt>
              <c:pt idx="64">
                <c:v>-4059.2114026648069</c:v>
              </c:pt>
              <c:pt idx="65">
                <c:v>33983.694375349311</c:v>
              </c:pt>
              <c:pt idx="66">
                <c:v>30382.033562880715</c:v>
              </c:pt>
              <c:pt idx="67">
                <c:v>26030.755238541802</c:v>
              </c:pt>
              <c:pt idx="68">
                <c:v>15037.39468459333</c:v>
              </c:pt>
              <c:pt idx="69">
                <c:v>46435.932322788423</c:v>
              </c:pt>
              <c:pt idx="70">
                <c:v>23701.741317335109</c:v>
              </c:pt>
              <c:pt idx="71">
                <c:v>22932.321592619592</c:v>
              </c:pt>
              <c:pt idx="72">
                <c:v>-36283.839552773017</c:v>
              </c:pt>
              <c:pt idx="73">
                <c:v>10830.660279945636</c:v>
              </c:pt>
              <c:pt idx="74">
                <c:v>47928.118456234442</c:v>
              </c:pt>
              <c:pt idx="75">
                <c:v>9744.8365247696911</c:v>
              </c:pt>
              <c:pt idx="76">
                <c:v>20596.955824215955</c:v>
              </c:pt>
              <c:pt idx="77">
                <c:v>-2383.1797931996425</c:v>
              </c:pt>
              <c:pt idx="78">
                <c:v>-371.62762286130419</c:v>
              </c:pt>
              <c:pt idx="79">
                <c:v>1777.045910154482</c:v>
              </c:pt>
              <c:pt idx="80">
                <c:v>1263.8820823029037</c:v>
              </c:pt>
              <c:pt idx="81">
                <c:v>24578.933074794535</c:v>
              </c:pt>
              <c:pt idx="82">
                <c:v>19218.559734028866</c:v>
              </c:pt>
              <c:pt idx="83">
                <c:v>26680.061370449544</c:v>
              </c:pt>
              <c:pt idx="84">
                <c:v>17243.298322040588</c:v>
              </c:pt>
              <c:pt idx="85">
                <c:v>-19505.017973711881</c:v>
              </c:pt>
              <c:pt idx="86">
                <c:v>8783.3289964628984</c:v>
              </c:pt>
              <c:pt idx="87">
                <c:v>42536.783549721687</c:v>
              </c:pt>
              <c:pt idx="88">
                <c:v>-10721.570533742257</c:v>
              </c:pt>
              <c:pt idx="89">
                <c:v>45238.869659305063</c:v>
              </c:pt>
              <c:pt idx="90">
                <c:v>22953.109703169685</c:v>
              </c:pt>
              <c:pt idx="91">
                <c:v>17761.994446935896</c:v>
              </c:pt>
              <c:pt idx="92">
                <c:v>17310.871317236008</c:v>
              </c:pt>
              <c:pt idx="93">
                <c:v>1906.8472066000813</c:v>
              </c:pt>
              <c:pt idx="94">
                <c:v>39311.823289921085</c:v>
              </c:pt>
              <c:pt idx="95">
                <c:v>13268.105767450723</c:v>
              </c:pt>
              <c:pt idx="96">
                <c:v>-1189.4947138625084</c:v>
              </c:pt>
              <c:pt idx="97">
                <c:v>22386.934680122795</c:v>
              </c:pt>
              <c:pt idx="98">
                <c:v>5206.7779399572919</c:v>
              </c:pt>
              <c:pt idx="99">
                <c:v>11788.304224715414</c:v>
              </c:pt>
              <c:pt idx="100">
                <c:v>28315.742693906774</c:v>
              </c:pt>
              <c:pt idx="101">
                <c:v>-214.37247523143924</c:v>
              </c:pt>
              <c:pt idx="102">
                <c:v>25396.1188339285</c:v>
              </c:pt>
              <c:pt idx="103">
                <c:v>26130.182700747348</c:v>
              </c:pt>
              <c:pt idx="104">
                <c:v>9658.7123682050424</c:v>
              </c:pt>
              <c:pt idx="105">
                <c:v>23416.552897139285</c:v>
              </c:pt>
              <c:pt idx="106">
                <c:v>9709.8089129125929</c:v>
              </c:pt>
              <c:pt idx="107">
                <c:v>-181.21071354670312</c:v>
              </c:pt>
              <c:pt idx="108">
                <c:v>13963.506302622844</c:v>
              </c:pt>
              <c:pt idx="109">
                <c:v>789.27215302843433</c:v>
              </c:pt>
              <c:pt idx="110">
                <c:v>9915.4097168739117</c:v>
              </c:pt>
              <c:pt idx="111">
                <c:v>-11857.247842284925</c:v>
              </c:pt>
              <c:pt idx="112">
                <c:v>720.98527758291129</c:v>
              </c:pt>
              <c:pt idx="113">
                <c:v>16026.566981441107</c:v>
              </c:pt>
              <c:pt idx="114">
                <c:v>40206.753624523044</c:v>
              </c:pt>
              <c:pt idx="115">
                <c:v>41095.149494667945</c:v>
              </c:pt>
              <c:pt idx="116">
                <c:v>26492.806022832792</c:v>
              </c:pt>
              <c:pt idx="117">
                <c:v>9094.4037610088908</c:v>
              </c:pt>
              <c:pt idx="118">
                <c:v>-9510.4608257073505</c:v>
              </c:pt>
              <c:pt idx="119">
                <c:v>6692.9706534859561</c:v>
              </c:pt>
              <c:pt idx="120">
                <c:v>8639.4146323472141</c:v>
              </c:pt>
              <c:pt idx="121">
                <c:v>16043.432249989872</c:v>
              </c:pt>
              <c:pt idx="122">
                <c:v>-7506.9249164948178</c:v>
              </c:pt>
              <c:pt idx="123">
                <c:v>70882.469531808631</c:v>
              </c:pt>
              <c:pt idx="124">
                <c:v>18082.589561710745</c:v>
              </c:pt>
              <c:pt idx="125">
                <c:v>13616.757209027564</c:v>
              </c:pt>
              <c:pt idx="126">
                <c:v>3445.3329652045122</c:v>
              </c:pt>
              <c:pt idx="127">
                <c:v>22413.100489642035</c:v>
              </c:pt>
              <c:pt idx="128">
                <c:v>31500.443690690197</c:v>
              </c:pt>
              <c:pt idx="129">
                <c:v>5814.5409153722339</c:v>
              </c:pt>
              <c:pt idx="130">
                <c:v>11972.884200770526</c:v>
              </c:pt>
              <c:pt idx="131">
                <c:v>-9995.0175555037004</c:v>
              </c:pt>
              <c:pt idx="132">
                <c:v>-16337.301117827172</c:v>
              </c:pt>
              <c:pt idx="133">
                <c:v>-1993.4001269040036</c:v>
              </c:pt>
              <c:pt idx="134">
                <c:v>20261.893195134842</c:v>
              </c:pt>
              <c:pt idx="135">
                <c:v>3780.8171586977387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457-46DC-B088-93491D6B9242}"/>
            </c:ext>
          </c:extLst>
        </c:ser>
        <c:ser>
          <c:idx val="2"/>
          <c:order val="2"/>
          <c:tx>
            <c:v>Forecast</c:v>
          </c:tx>
          <c:spPr>
            <a:ln w="25400">
              <a:noFill/>
            </a:ln>
          </c:spPr>
          <c:marker>
            <c:symbol val="circle"/>
            <c:size val="7"/>
            <c:spPr>
              <a:solidFill>
                <a:srgbClr val="FF9999"/>
              </a:solidFill>
              <a:ln w="12700">
                <a:solidFill>
                  <a:srgbClr val="FF0000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'Model 9'!$CG$51</c:f>
              </c:numRef>
            </c:plus>
            <c:minus>
              <c:numRef>
                <c:f>'Model 9'!$CG$51</c:f>
              </c:numRef>
            </c:minus>
          </c:errBars>
          <c:xVal>
            <c:numRef>
              <c:f>'Model 9'!$A$51:$A$51</c:f>
            </c:numRef>
          </c:xVal>
          <c:yVal>
            <c:numRef>
              <c:f>'Model 9'!$B$51:$B$51</c:f>
            </c:numRef>
          </c:yVal>
          <c:smooth val="0"/>
          <c:extLst>
            <c:ext xmlns:c16="http://schemas.microsoft.com/office/drawing/2014/chart" uri="{C3380CC4-5D6E-409C-BE32-E72D297353CC}">
              <c16:uniqueId val="{00000002-E457-46DC-B088-93491D6B9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923520"/>
        <c:axId val="733923912"/>
      </c:scatterChart>
      <c:valAx>
        <c:axId val="733923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33923912"/>
        <c:crossesAt val="-100000"/>
        <c:crossBetween val="midCat"/>
      </c:valAx>
      <c:valAx>
        <c:axId val="73392391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33923520"/>
        <c:crossesAt val="0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3F3"/>
    </a:solidFill>
    <a:ln w="6350">
      <a:solidFill>
        <a:srgbClr val="808080"/>
      </a:solidFill>
      <a:prstDash val="solid"/>
    </a:ln>
  </c:spPr>
  <c:txPr>
    <a:bodyPr/>
    <a:lstStyle/>
    <a:p>
      <a:pPr>
        <a:defRPr sz="1000">
          <a:latin typeface="+mn-lt"/>
          <a:ea typeface="+mn-lt"/>
          <a:cs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Observation #
</a:t>
            </a:r>
            <a:r>
              <a:rPr lang="en-US" sz="1000"/>
              <a:t>Model 9 for EV    (6 variables, n=136)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Actual</c:v>
          </c:tx>
          <c:spPr>
            <a:solidFill>
              <a:srgbClr val="0000FF"/>
            </a:solidFill>
            <a:ln w="3175">
              <a:solidFill>
                <a:srgbClr val="0000FF"/>
              </a:solidFill>
              <a:prstDash val="solid"/>
            </a:ln>
            <a:effectLst/>
          </c:spPr>
          <c:invertIfNegative val="0"/>
          <c:trendline>
            <c:spPr>
              <a:ln w="12700">
                <a:solidFill>
                  <a:srgbClr val="FF0000"/>
                </a:solidFill>
                <a:prstDash val="sysDash"/>
              </a:ln>
            </c:spPr>
            <c:trendlineType val="linear"/>
            <c:dispRSqr val="0"/>
            <c:dispEq val="0"/>
          </c:trendline>
          <c:cat>
            <c:numLit>
              <c:formatCode>General</c:formatCode>
              <c:ptCount val="13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  <c:pt idx="31">
                <c:v>32</c:v>
              </c:pt>
              <c:pt idx="32">
                <c:v>33</c:v>
              </c:pt>
              <c:pt idx="33">
                <c:v>34</c:v>
              </c:pt>
              <c:pt idx="34">
                <c:v>35</c:v>
              </c:pt>
              <c:pt idx="35">
                <c:v>36</c:v>
              </c:pt>
              <c:pt idx="36">
                <c:v>37</c:v>
              </c:pt>
              <c:pt idx="37">
                <c:v>38</c:v>
              </c:pt>
              <c:pt idx="38">
                <c:v>39</c:v>
              </c:pt>
              <c:pt idx="39">
                <c:v>40</c:v>
              </c:pt>
              <c:pt idx="40">
                <c:v>41</c:v>
              </c:pt>
              <c:pt idx="41">
                <c:v>42</c:v>
              </c:pt>
              <c:pt idx="42">
                <c:v>43</c:v>
              </c:pt>
              <c:pt idx="43">
                <c:v>44</c:v>
              </c:pt>
              <c:pt idx="44">
                <c:v>45</c:v>
              </c:pt>
              <c:pt idx="45">
                <c:v>46</c:v>
              </c:pt>
              <c:pt idx="46">
                <c:v>47</c:v>
              </c:pt>
              <c:pt idx="47">
                <c:v>48</c:v>
              </c:pt>
              <c:pt idx="48">
                <c:v>49</c:v>
              </c:pt>
              <c:pt idx="49">
                <c:v>50</c:v>
              </c:pt>
              <c:pt idx="50">
                <c:v>51</c:v>
              </c:pt>
              <c:pt idx="51">
                <c:v>52</c:v>
              </c:pt>
              <c:pt idx="52">
                <c:v>53</c:v>
              </c:pt>
              <c:pt idx="53">
                <c:v>54</c:v>
              </c:pt>
              <c:pt idx="54">
                <c:v>55</c:v>
              </c:pt>
              <c:pt idx="55">
                <c:v>56</c:v>
              </c:pt>
              <c:pt idx="56">
                <c:v>57</c:v>
              </c:pt>
              <c:pt idx="57">
                <c:v>58</c:v>
              </c:pt>
              <c:pt idx="58">
                <c:v>59</c:v>
              </c:pt>
              <c:pt idx="59">
                <c:v>60</c:v>
              </c:pt>
              <c:pt idx="60">
                <c:v>61</c:v>
              </c:pt>
              <c:pt idx="61">
                <c:v>62</c:v>
              </c:pt>
              <c:pt idx="62">
                <c:v>63</c:v>
              </c:pt>
              <c:pt idx="63">
                <c:v>64</c:v>
              </c:pt>
              <c:pt idx="64">
                <c:v>65</c:v>
              </c:pt>
              <c:pt idx="65">
                <c:v>66</c:v>
              </c:pt>
              <c:pt idx="66">
                <c:v>67</c:v>
              </c:pt>
              <c:pt idx="67">
                <c:v>68</c:v>
              </c:pt>
              <c:pt idx="68">
                <c:v>69</c:v>
              </c:pt>
              <c:pt idx="69">
                <c:v>70</c:v>
              </c:pt>
              <c:pt idx="70">
                <c:v>71</c:v>
              </c:pt>
              <c:pt idx="71">
                <c:v>72</c:v>
              </c:pt>
              <c:pt idx="72">
                <c:v>73</c:v>
              </c:pt>
              <c:pt idx="73">
                <c:v>74</c:v>
              </c:pt>
              <c:pt idx="74">
                <c:v>75</c:v>
              </c:pt>
              <c:pt idx="75">
                <c:v>76</c:v>
              </c:pt>
              <c:pt idx="76">
                <c:v>77</c:v>
              </c:pt>
              <c:pt idx="77">
                <c:v>78</c:v>
              </c:pt>
              <c:pt idx="78">
                <c:v>79</c:v>
              </c:pt>
              <c:pt idx="79">
                <c:v>80</c:v>
              </c:pt>
              <c:pt idx="80">
                <c:v>81</c:v>
              </c:pt>
              <c:pt idx="81">
                <c:v>82</c:v>
              </c:pt>
              <c:pt idx="82">
                <c:v>83</c:v>
              </c:pt>
              <c:pt idx="83">
                <c:v>84</c:v>
              </c:pt>
              <c:pt idx="84">
                <c:v>85</c:v>
              </c:pt>
              <c:pt idx="85">
                <c:v>86</c:v>
              </c:pt>
              <c:pt idx="86">
                <c:v>87</c:v>
              </c:pt>
              <c:pt idx="87">
                <c:v>88</c:v>
              </c:pt>
              <c:pt idx="88">
                <c:v>89</c:v>
              </c:pt>
              <c:pt idx="89">
                <c:v>90</c:v>
              </c:pt>
              <c:pt idx="90">
                <c:v>91</c:v>
              </c:pt>
              <c:pt idx="91">
                <c:v>92</c:v>
              </c:pt>
              <c:pt idx="92">
                <c:v>93</c:v>
              </c:pt>
              <c:pt idx="93">
                <c:v>94</c:v>
              </c:pt>
              <c:pt idx="94">
                <c:v>95</c:v>
              </c:pt>
              <c:pt idx="95">
                <c:v>96</c:v>
              </c:pt>
              <c:pt idx="96">
                <c:v>97</c:v>
              </c:pt>
              <c:pt idx="97">
                <c:v>98</c:v>
              </c:pt>
              <c:pt idx="98">
                <c:v>99</c:v>
              </c:pt>
              <c:pt idx="99">
                <c:v>100</c:v>
              </c:pt>
              <c:pt idx="100">
                <c:v>101</c:v>
              </c:pt>
              <c:pt idx="101">
                <c:v>102</c:v>
              </c:pt>
              <c:pt idx="102">
                <c:v>103</c:v>
              </c:pt>
              <c:pt idx="103">
                <c:v>104</c:v>
              </c:pt>
              <c:pt idx="104">
                <c:v>105</c:v>
              </c:pt>
              <c:pt idx="105">
                <c:v>106</c:v>
              </c:pt>
              <c:pt idx="106">
                <c:v>107</c:v>
              </c:pt>
              <c:pt idx="107">
                <c:v>108</c:v>
              </c:pt>
              <c:pt idx="108">
                <c:v>109</c:v>
              </c:pt>
              <c:pt idx="109">
                <c:v>110</c:v>
              </c:pt>
              <c:pt idx="110">
                <c:v>111</c:v>
              </c:pt>
              <c:pt idx="111">
                <c:v>112</c:v>
              </c:pt>
              <c:pt idx="112">
                <c:v>113</c:v>
              </c:pt>
              <c:pt idx="113">
                <c:v>114</c:v>
              </c:pt>
              <c:pt idx="114">
                <c:v>115</c:v>
              </c:pt>
              <c:pt idx="115">
                <c:v>116</c:v>
              </c:pt>
              <c:pt idx="116">
                <c:v>117</c:v>
              </c:pt>
              <c:pt idx="117">
                <c:v>118</c:v>
              </c:pt>
              <c:pt idx="118">
                <c:v>119</c:v>
              </c:pt>
              <c:pt idx="119">
                <c:v>120</c:v>
              </c:pt>
              <c:pt idx="120">
                <c:v>121</c:v>
              </c:pt>
              <c:pt idx="121">
                <c:v>122</c:v>
              </c:pt>
              <c:pt idx="122">
                <c:v>123</c:v>
              </c:pt>
              <c:pt idx="123">
                <c:v>124</c:v>
              </c:pt>
              <c:pt idx="124">
                <c:v>125</c:v>
              </c:pt>
              <c:pt idx="125">
                <c:v>126</c:v>
              </c:pt>
              <c:pt idx="126">
                <c:v>127</c:v>
              </c:pt>
              <c:pt idx="127">
                <c:v>128</c:v>
              </c:pt>
              <c:pt idx="128">
                <c:v>129</c:v>
              </c:pt>
              <c:pt idx="129">
                <c:v>130</c:v>
              </c:pt>
              <c:pt idx="130">
                <c:v>131</c:v>
              </c:pt>
              <c:pt idx="131">
                <c:v>132</c:v>
              </c:pt>
              <c:pt idx="132">
                <c:v>133</c:v>
              </c:pt>
              <c:pt idx="133">
                <c:v>134</c:v>
              </c:pt>
              <c:pt idx="134">
                <c:v>135</c:v>
              </c:pt>
              <c:pt idx="135">
                <c:v>136</c:v>
              </c:pt>
            </c:numLit>
          </c:cat>
          <c:val>
            <c:numLit>
              <c:formatCode>General</c:formatCode>
              <c:ptCount val="136"/>
              <c:pt idx="0">
                <c:v>12425.663207525295</c:v>
              </c:pt>
              <c:pt idx="1">
                <c:v>-13371.762473682498</c:v>
              </c:pt>
              <c:pt idx="2">
                <c:v>-14781.977304862148</c:v>
              </c:pt>
              <c:pt idx="3">
                <c:v>-37448.772197139304</c:v>
              </c:pt>
              <c:pt idx="4">
                <c:v>-20693.231527622662</c:v>
              </c:pt>
              <c:pt idx="5">
                <c:v>86458.667197646122</c:v>
              </c:pt>
              <c:pt idx="6">
                <c:v>-13512.565415444358</c:v>
              </c:pt>
              <c:pt idx="7">
                <c:v>-14460.824151708552</c:v>
              </c:pt>
              <c:pt idx="8">
                <c:v>-11935.974514279678</c:v>
              </c:pt>
              <c:pt idx="9">
                <c:v>-1505.5839658984059</c:v>
              </c:pt>
              <c:pt idx="10">
                <c:v>14830.256465802737</c:v>
              </c:pt>
              <c:pt idx="11">
                <c:v>-7938.6799709128181</c:v>
              </c:pt>
              <c:pt idx="12">
                <c:v>-19206.179327226368</c:v>
              </c:pt>
              <c:pt idx="13">
                <c:v>-13816.201118848063</c:v>
              </c:pt>
              <c:pt idx="14">
                <c:v>2685.8023154129178</c:v>
              </c:pt>
              <c:pt idx="15">
                <c:v>-6952.3909049268095</c:v>
              </c:pt>
              <c:pt idx="16">
                <c:v>-29832.491106183377</c:v>
              </c:pt>
              <c:pt idx="17">
                <c:v>-35020.375986653278</c:v>
              </c:pt>
              <c:pt idx="18">
                <c:v>-1018.8298614003797</c:v>
              </c:pt>
              <c:pt idx="19">
                <c:v>-19486.852371700683</c:v>
              </c:pt>
              <c:pt idx="20">
                <c:v>8349.1014436418427</c:v>
              </c:pt>
              <c:pt idx="21">
                <c:v>13868.23954455169</c:v>
              </c:pt>
              <c:pt idx="22">
                <c:v>-7234.3612499359733</c:v>
              </c:pt>
              <c:pt idx="23">
                <c:v>-33444.330481777899</c:v>
              </c:pt>
              <c:pt idx="24">
                <c:v>-14020.446314317123</c:v>
              </c:pt>
              <c:pt idx="25">
                <c:v>-25111.370270814183</c:v>
              </c:pt>
              <c:pt idx="26">
                <c:v>-7226.4228147734211</c:v>
              </c:pt>
              <c:pt idx="27">
                <c:v>-22046.24538193077</c:v>
              </c:pt>
              <c:pt idx="28">
                <c:v>-6029.450292634825</c:v>
              </c:pt>
              <c:pt idx="29">
                <c:v>-15977.906266208993</c:v>
              </c:pt>
              <c:pt idx="30">
                <c:v>-18094.766064466421</c:v>
              </c:pt>
              <c:pt idx="31">
                <c:v>-25339.763012090531</c:v>
              </c:pt>
              <c:pt idx="32">
                <c:v>-5147.9152403280796</c:v>
              </c:pt>
              <c:pt idx="33">
                <c:v>-11679.605167415848</c:v>
              </c:pt>
              <c:pt idx="34">
                <c:v>-29284.737921987289</c:v>
              </c:pt>
              <c:pt idx="35">
                <c:v>-22521.654318522189</c:v>
              </c:pt>
              <c:pt idx="36">
                <c:v>-21351.269234476331</c:v>
              </c:pt>
              <c:pt idx="37">
                <c:v>-18770.736175329632</c:v>
              </c:pt>
              <c:pt idx="38">
                <c:v>21655.30644464853</c:v>
              </c:pt>
              <c:pt idx="39">
                <c:v>-18011.884280723305</c:v>
              </c:pt>
              <c:pt idx="40">
                <c:v>7683.1563956868122</c:v>
              </c:pt>
              <c:pt idx="41">
                <c:v>-5456.9968899294181</c:v>
              </c:pt>
              <c:pt idx="42">
                <c:v>-15189.718195931715</c:v>
              </c:pt>
              <c:pt idx="43">
                <c:v>6322.5203450781319</c:v>
              </c:pt>
              <c:pt idx="44">
                <c:v>-25362.503213367192</c:v>
              </c:pt>
              <c:pt idx="45">
                <c:v>41188.286167289531</c:v>
              </c:pt>
              <c:pt idx="46">
                <c:v>-18630.695947567539</c:v>
              </c:pt>
              <c:pt idx="47">
                <c:v>1497.0256008401157</c:v>
              </c:pt>
              <c:pt idx="48">
                <c:v>-15861.579918790687</c:v>
              </c:pt>
              <c:pt idx="49">
                <c:v>-17256.832029153986</c:v>
              </c:pt>
              <c:pt idx="50">
                <c:v>-17685.31742332879</c:v>
              </c:pt>
              <c:pt idx="51">
                <c:v>16162.791911505432</c:v>
              </c:pt>
              <c:pt idx="52">
                <c:v>-32166.335634475243</c:v>
              </c:pt>
              <c:pt idx="53">
                <c:v>-14122.582387272672</c:v>
              </c:pt>
              <c:pt idx="54">
                <c:v>-11901.982989881615</c:v>
              </c:pt>
              <c:pt idx="55">
                <c:v>15928.209021474097</c:v>
              </c:pt>
              <c:pt idx="56">
                <c:v>-15162.503848318111</c:v>
              </c:pt>
              <c:pt idx="57">
                <c:v>-7002.9376107516673</c:v>
              </c:pt>
              <c:pt idx="58">
                <c:v>18844.954388662569</c:v>
              </c:pt>
              <c:pt idx="59">
                <c:v>-9716.6888645399886</c:v>
              </c:pt>
              <c:pt idx="60">
                <c:v>21956.77142897046</c:v>
              </c:pt>
              <c:pt idx="61">
                <c:v>-95.22219416686039</c:v>
              </c:pt>
              <c:pt idx="62">
                <c:v>-13351.809917141101</c:v>
              </c:pt>
              <c:pt idx="63">
                <c:v>3361.131755732154</c:v>
              </c:pt>
              <c:pt idx="64">
                <c:v>5070.4453026648071</c:v>
              </c:pt>
              <c:pt idx="65">
                <c:v>18304.025124650689</c:v>
              </c:pt>
              <c:pt idx="66">
                <c:v>-26109.814362880716</c:v>
              </c:pt>
              <c:pt idx="67">
                <c:v>-24467.267338541802</c:v>
              </c:pt>
              <c:pt idx="68">
                <c:v>-13822.993284593329</c:v>
              </c:pt>
              <c:pt idx="69">
                <c:v>-42371.63552278842</c:v>
              </c:pt>
              <c:pt idx="70">
                <c:v>-23326.835517335108</c:v>
              </c:pt>
              <c:pt idx="71">
                <c:v>-20099.224492619593</c:v>
              </c:pt>
              <c:pt idx="72">
                <c:v>39504.12055277302</c:v>
              </c:pt>
              <c:pt idx="73">
                <c:v>-6747.010579945636</c:v>
              </c:pt>
              <c:pt idx="74">
                <c:v>711181.2614437656</c:v>
              </c:pt>
              <c:pt idx="75">
                <c:v>-9025.3871247696916</c:v>
              </c:pt>
              <c:pt idx="76">
                <c:v>-18691.517424215956</c:v>
              </c:pt>
              <c:pt idx="77">
                <c:v>3838.1787931996423</c:v>
              </c:pt>
              <c:pt idx="78">
                <c:v>676.77922286130411</c:v>
              </c:pt>
              <c:pt idx="79">
                <c:v>-1433.8561101544819</c:v>
              </c:pt>
              <c:pt idx="80">
                <c:v>-792.36678230290363</c:v>
              </c:pt>
              <c:pt idx="81">
                <c:v>-23819.619574794535</c:v>
              </c:pt>
              <c:pt idx="82">
                <c:v>-14781.740534028866</c:v>
              </c:pt>
              <c:pt idx="83">
                <c:v>-19952.756770449545</c:v>
              </c:pt>
              <c:pt idx="84">
                <c:v>-11007.061722040587</c:v>
              </c:pt>
              <c:pt idx="85">
                <c:v>25095.649573711882</c:v>
              </c:pt>
              <c:pt idx="86">
                <c:v>-8184.0307964628983</c:v>
              </c:pt>
              <c:pt idx="87">
                <c:v>-31381.772549721689</c:v>
              </c:pt>
              <c:pt idx="88">
                <c:v>10845.980833742256</c:v>
              </c:pt>
              <c:pt idx="89">
                <c:v>133594.42074069494</c:v>
              </c:pt>
              <c:pt idx="90">
                <c:v>-15545.843703169685</c:v>
              </c:pt>
              <c:pt idx="91">
                <c:v>-14559.754846935895</c:v>
              </c:pt>
              <c:pt idx="92">
                <c:v>-13423.211017236008</c:v>
              </c:pt>
              <c:pt idx="93">
                <c:v>2579.1485933999184</c:v>
              </c:pt>
              <c:pt idx="94">
                <c:v>-37908.298689921088</c:v>
              </c:pt>
              <c:pt idx="95">
                <c:v>-8090.8738674507231</c:v>
              </c:pt>
              <c:pt idx="96">
                <c:v>2398.5872138625082</c:v>
              </c:pt>
              <c:pt idx="97">
                <c:v>-11751.048180122794</c:v>
              </c:pt>
              <c:pt idx="98">
                <c:v>-3147.5123399572917</c:v>
              </c:pt>
              <c:pt idx="99">
                <c:v>-11103.716124715413</c:v>
              </c:pt>
              <c:pt idx="100">
                <c:v>-25783.367993906773</c:v>
              </c:pt>
              <c:pt idx="101">
                <c:v>1657.7373752314393</c:v>
              </c:pt>
              <c:pt idx="102">
                <c:v>-20131.2667339285</c:v>
              </c:pt>
              <c:pt idx="103">
                <c:v>-6957.3483007473478</c:v>
              </c:pt>
              <c:pt idx="104">
                <c:v>-3969.8354682050422</c:v>
              </c:pt>
              <c:pt idx="105">
                <c:v>80477.647002860729</c:v>
              </c:pt>
              <c:pt idx="106">
                <c:v>-8591.0850129125938</c:v>
              </c:pt>
              <c:pt idx="107">
                <c:v>1527.9074135467031</c:v>
              </c:pt>
              <c:pt idx="108">
                <c:v>16105.594597377158</c:v>
              </c:pt>
              <c:pt idx="109">
                <c:v>10974.245746971566</c:v>
              </c:pt>
              <c:pt idx="110">
                <c:v>-9527.1808168739117</c:v>
              </c:pt>
              <c:pt idx="111">
                <c:v>14356.861442284926</c:v>
              </c:pt>
              <c:pt idx="112">
                <c:v>12057.35462241709</c:v>
              </c:pt>
              <c:pt idx="113">
                <c:v>-14691.501281441106</c:v>
              </c:pt>
              <c:pt idx="114">
                <c:v>-21929.254124523042</c:v>
              </c:pt>
              <c:pt idx="115">
                <c:v>-26467.037994667946</c:v>
              </c:pt>
              <c:pt idx="116">
                <c:v>-13238.148822832793</c:v>
              </c:pt>
              <c:pt idx="117">
                <c:v>-1654.1345610088911</c:v>
              </c:pt>
              <c:pt idx="118">
                <c:v>11218.76672570735</c:v>
              </c:pt>
              <c:pt idx="119">
                <c:v>-3731.0882534859561</c:v>
              </c:pt>
              <c:pt idx="120">
                <c:v>-7140.7912323472137</c:v>
              </c:pt>
              <c:pt idx="121">
                <c:v>-4733.1834499898723</c:v>
              </c:pt>
              <c:pt idx="122">
                <c:v>13586.695316494817</c:v>
              </c:pt>
              <c:pt idx="123">
                <c:v>-59745.866131808631</c:v>
              </c:pt>
              <c:pt idx="124">
                <c:v>-9352.1617617107458</c:v>
              </c:pt>
              <c:pt idx="125">
                <c:v>-12826.777809027564</c:v>
              </c:pt>
              <c:pt idx="126">
                <c:v>-1808.1341652045123</c:v>
              </c:pt>
              <c:pt idx="127">
                <c:v>-10920.573789642034</c:v>
              </c:pt>
              <c:pt idx="128">
                <c:v>17772.064709309801</c:v>
              </c:pt>
              <c:pt idx="129">
                <c:v>-1660.2592153722344</c:v>
              </c:pt>
              <c:pt idx="130">
                <c:v>13483.994099229474</c:v>
              </c:pt>
              <c:pt idx="131">
                <c:v>11355.382755503701</c:v>
              </c:pt>
              <c:pt idx="132">
                <c:v>18134.404017827172</c:v>
              </c:pt>
              <c:pt idx="133">
                <c:v>7609.5096269040032</c:v>
              </c:pt>
              <c:pt idx="134">
                <c:v>-17403.184795134843</c:v>
              </c:pt>
              <c:pt idx="135">
                <c:v>-1578.0517586977385</c:v>
              </c:pt>
            </c:numLit>
          </c:val>
          <c:extLst>
            <c:ext xmlns:c16="http://schemas.microsoft.com/office/drawing/2014/chart" uri="{C3380CC4-5D6E-409C-BE32-E72D297353CC}">
              <c16:uniqueId val="{00000000-DA67-4C57-BA1A-0558F52A86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axId val="733924696"/>
        <c:axId val="733925088"/>
      </c:barChart>
      <c:catAx>
        <c:axId val="733924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/>
                </a:pPr>
                <a:r>
                  <a:rPr lang="en-US" sz="900"/>
                  <a:t>Lag 1 autocorrelation = -0.01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txPr>
          <a:bodyPr rot="-5400000" vert="horz"/>
          <a:lstStyle/>
          <a:p>
            <a:pPr>
              <a:defRPr sz="900"/>
            </a:pPr>
            <a:endParaRPr lang="en-US"/>
          </a:p>
        </c:txPr>
        <c:crossAx val="733925088"/>
        <c:crossesAt val="0"/>
        <c:auto val="1"/>
        <c:lblAlgn val="ctr"/>
        <c:lblOffset val="100"/>
        <c:noMultiLvlLbl val="0"/>
      </c:catAx>
      <c:valAx>
        <c:axId val="73392508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33924696"/>
        <c:crosses val="autoZero"/>
        <c:crossBetween val="between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Predicted
</a:t>
            </a:r>
            <a:r>
              <a:rPr lang="en-US" sz="1000"/>
              <a:t>Model 9 for EV    (6 variables, n=136)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36"/>
              <c:pt idx="0">
                <c:v>-9262.8510075252943</c:v>
              </c:pt>
              <c:pt idx="1">
                <c:v>14850.469073682498</c:v>
              </c:pt>
              <c:pt idx="2">
                <c:v>15072.657304862149</c:v>
              </c:pt>
              <c:pt idx="3">
                <c:v>37654.591097139302</c:v>
              </c:pt>
              <c:pt idx="4">
                <c:v>24233.780627622662</c:v>
              </c:pt>
              <c:pt idx="5">
                <c:v>30942.872802353872</c:v>
              </c:pt>
              <c:pt idx="6">
                <c:v>13840.634615444358</c:v>
              </c:pt>
              <c:pt idx="7">
                <c:v>16547.512951708552</c:v>
              </c:pt>
              <c:pt idx="8">
                <c:v>12053.061014279678</c:v>
              </c:pt>
              <c:pt idx="9">
                <c:v>3849.678865898406</c:v>
              </c:pt>
              <c:pt idx="10">
                <c:v>-12467.138865802737</c:v>
              </c:pt>
              <c:pt idx="11">
                <c:v>8198.649770912818</c:v>
              </c:pt>
              <c:pt idx="12">
                <c:v>19471.192027226367</c:v>
              </c:pt>
              <c:pt idx="13">
                <c:v>15830.519818848063</c:v>
              </c:pt>
              <c:pt idx="14">
                <c:v>-1276.4925154129178</c:v>
              </c:pt>
              <c:pt idx="15">
                <c:v>7968.5228049268098</c:v>
              </c:pt>
              <c:pt idx="16">
                <c:v>36727.106306183377</c:v>
              </c:pt>
              <c:pt idx="17">
                <c:v>39889.206186653275</c:v>
              </c:pt>
              <c:pt idx="18">
                <c:v>16409.34166140038</c:v>
              </c:pt>
              <c:pt idx="19">
                <c:v>19791.377371700684</c:v>
              </c:pt>
              <c:pt idx="20">
                <c:v>-7600.4954436418429</c:v>
              </c:pt>
              <c:pt idx="21">
                <c:v>14616.047855448311</c:v>
              </c:pt>
              <c:pt idx="22">
                <c:v>9761.6768499359732</c:v>
              </c:pt>
              <c:pt idx="23">
                <c:v>38560.464681777899</c:v>
              </c:pt>
              <c:pt idx="24">
                <c:v>15126.453314317123</c:v>
              </c:pt>
              <c:pt idx="25">
                <c:v>28691.219170814184</c:v>
              </c:pt>
              <c:pt idx="26">
                <c:v>9391.5421147734214</c:v>
              </c:pt>
              <c:pt idx="27">
                <c:v>24827.525081930769</c:v>
              </c:pt>
              <c:pt idx="28">
                <c:v>8614.2400926348255</c:v>
              </c:pt>
              <c:pt idx="29">
                <c:v>33739.299466208991</c:v>
              </c:pt>
              <c:pt idx="30">
                <c:v>30868.380064466419</c:v>
              </c:pt>
              <c:pt idx="31">
                <c:v>26574.038712090529</c:v>
              </c:pt>
              <c:pt idx="32">
                <c:v>6592.4573403280792</c:v>
              </c:pt>
              <c:pt idx="33">
                <c:v>11948.363267415849</c:v>
              </c:pt>
              <c:pt idx="34">
                <c:v>42276.188021987291</c:v>
              </c:pt>
              <c:pt idx="35">
                <c:v>36954.713918522189</c:v>
              </c:pt>
              <c:pt idx="36">
                <c:v>22993.284134476329</c:v>
              </c:pt>
              <c:pt idx="37">
                <c:v>21020.205775329632</c:v>
              </c:pt>
              <c:pt idx="38">
                <c:v>-7569.8937446485306</c:v>
              </c:pt>
              <c:pt idx="39">
                <c:v>20722.744180723304</c:v>
              </c:pt>
              <c:pt idx="40">
                <c:v>-4427.0936956868118</c:v>
              </c:pt>
              <c:pt idx="41">
                <c:v>6334.1774899294178</c:v>
              </c:pt>
              <c:pt idx="42">
                <c:v>17311.620895931715</c:v>
              </c:pt>
              <c:pt idx="43">
                <c:v>-6171.0812450781323</c:v>
              </c:pt>
              <c:pt idx="44">
                <c:v>27761.887113367193</c:v>
              </c:pt>
              <c:pt idx="45">
                <c:v>-40030.758467289532</c:v>
              </c:pt>
              <c:pt idx="46">
                <c:v>28184.352547567541</c:v>
              </c:pt>
              <c:pt idx="47">
                <c:v>24360.584899159883</c:v>
              </c:pt>
              <c:pt idx="48">
                <c:v>18138.692918790686</c:v>
              </c:pt>
              <c:pt idx="49">
                <c:v>17454.947829153985</c:v>
              </c:pt>
              <c:pt idx="50">
                <c:v>20224.30072332879</c:v>
              </c:pt>
              <c:pt idx="51">
                <c:v>-14707.476011505432</c:v>
              </c:pt>
              <c:pt idx="52">
                <c:v>32664.342634475244</c:v>
              </c:pt>
              <c:pt idx="53">
                <c:v>17319.312387272672</c:v>
              </c:pt>
              <c:pt idx="54">
                <c:v>13968.175689881615</c:v>
              </c:pt>
              <c:pt idx="55">
                <c:v>-14979.178821474097</c:v>
              </c:pt>
              <c:pt idx="56">
                <c:v>27525.305448318111</c:v>
              </c:pt>
              <c:pt idx="57">
                <c:v>7754.8551107516669</c:v>
              </c:pt>
              <c:pt idx="58">
                <c:v>-18650.40478866257</c:v>
              </c:pt>
              <c:pt idx="59">
                <c:v>16107.045264539987</c:v>
              </c:pt>
              <c:pt idx="60">
                <c:v>-20581.034928970461</c:v>
              </c:pt>
              <c:pt idx="61">
                <c:v>4833.3894941668605</c:v>
              </c:pt>
              <c:pt idx="62">
                <c:v>14896.724017141101</c:v>
              </c:pt>
              <c:pt idx="63">
                <c:v>-956.18015573215416</c:v>
              </c:pt>
              <c:pt idx="64">
                <c:v>-4059.2114026648069</c:v>
              </c:pt>
              <c:pt idx="65">
                <c:v>33983.694375349311</c:v>
              </c:pt>
              <c:pt idx="66">
                <c:v>30382.033562880715</c:v>
              </c:pt>
              <c:pt idx="67">
                <c:v>26030.755238541802</c:v>
              </c:pt>
              <c:pt idx="68">
                <c:v>15037.39468459333</c:v>
              </c:pt>
              <c:pt idx="69">
                <c:v>46435.932322788423</c:v>
              </c:pt>
              <c:pt idx="70">
                <c:v>23701.741317335109</c:v>
              </c:pt>
              <c:pt idx="71">
                <c:v>22932.321592619592</c:v>
              </c:pt>
              <c:pt idx="72">
                <c:v>-36283.839552773017</c:v>
              </c:pt>
              <c:pt idx="73">
                <c:v>10830.660279945636</c:v>
              </c:pt>
              <c:pt idx="74">
                <c:v>47928.118456234442</c:v>
              </c:pt>
              <c:pt idx="75">
                <c:v>9744.8365247696911</c:v>
              </c:pt>
              <c:pt idx="76">
                <c:v>20596.955824215955</c:v>
              </c:pt>
              <c:pt idx="77">
                <c:v>-2383.1797931996425</c:v>
              </c:pt>
              <c:pt idx="78">
                <c:v>-371.62762286130419</c:v>
              </c:pt>
              <c:pt idx="79">
                <c:v>1777.045910154482</c:v>
              </c:pt>
              <c:pt idx="80">
                <c:v>1263.8820823029037</c:v>
              </c:pt>
              <c:pt idx="81">
                <c:v>24578.933074794535</c:v>
              </c:pt>
              <c:pt idx="82">
                <c:v>19218.559734028866</c:v>
              </c:pt>
              <c:pt idx="83">
                <c:v>26680.061370449544</c:v>
              </c:pt>
              <c:pt idx="84">
                <c:v>17243.298322040588</c:v>
              </c:pt>
              <c:pt idx="85">
                <c:v>-19505.017973711881</c:v>
              </c:pt>
              <c:pt idx="86">
                <c:v>8783.3289964628984</c:v>
              </c:pt>
              <c:pt idx="87">
                <c:v>42536.783549721687</c:v>
              </c:pt>
              <c:pt idx="88">
                <c:v>-10721.570533742257</c:v>
              </c:pt>
              <c:pt idx="89">
                <c:v>45238.869659305063</c:v>
              </c:pt>
              <c:pt idx="90">
                <c:v>22953.109703169685</c:v>
              </c:pt>
              <c:pt idx="91">
                <c:v>17761.994446935896</c:v>
              </c:pt>
              <c:pt idx="92">
                <c:v>17310.871317236008</c:v>
              </c:pt>
              <c:pt idx="93">
                <c:v>1906.8472066000813</c:v>
              </c:pt>
              <c:pt idx="94">
                <c:v>39311.823289921085</c:v>
              </c:pt>
              <c:pt idx="95">
                <c:v>13268.105767450723</c:v>
              </c:pt>
              <c:pt idx="96">
                <c:v>-1189.4947138625084</c:v>
              </c:pt>
              <c:pt idx="97">
                <c:v>22386.934680122795</c:v>
              </c:pt>
              <c:pt idx="98">
                <c:v>5206.7779399572919</c:v>
              </c:pt>
              <c:pt idx="99">
                <c:v>11788.304224715414</c:v>
              </c:pt>
              <c:pt idx="100">
                <c:v>28315.742693906774</c:v>
              </c:pt>
              <c:pt idx="101">
                <c:v>-214.37247523143924</c:v>
              </c:pt>
              <c:pt idx="102">
                <c:v>25396.1188339285</c:v>
              </c:pt>
              <c:pt idx="103">
                <c:v>26130.182700747348</c:v>
              </c:pt>
              <c:pt idx="104">
                <c:v>9658.7123682050424</c:v>
              </c:pt>
              <c:pt idx="105">
                <c:v>23416.552897139285</c:v>
              </c:pt>
              <c:pt idx="106">
                <c:v>9709.8089129125929</c:v>
              </c:pt>
              <c:pt idx="107">
                <c:v>-181.21071354670312</c:v>
              </c:pt>
              <c:pt idx="108">
                <c:v>13963.506302622844</c:v>
              </c:pt>
              <c:pt idx="109">
                <c:v>789.27215302843433</c:v>
              </c:pt>
              <c:pt idx="110">
                <c:v>9915.4097168739117</c:v>
              </c:pt>
              <c:pt idx="111">
                <c:v>-11857.247842284925</c:v>
              </c:pt>
              <c:pt idx="112">
                <c:v>720.98527758291129</c:v>
              </c:pt>
              <c:pt idx="113">
                <c:v>16026.566981441107</c:v>
              </c:pt>
              <c:pt idx="114">
                <c:v>40206.753624523044</c:v>
              </c:pt>
              <c:pt idx="115">
                <c:v>41095.149494667945</c:v>
              </c:pt>
              <c:pt idx="116">
                <c:v>26492.806022832792</c:v>
              </c:pt>
              <c:pt idx="117">
                <c:v>9094.4037610088908</c:v>
              </c:pt>
              <c:pt idx="118">
                <c:v>-9510.4608257073505</c:v>
              </c:pt>
              <c:pt idx="119">
                <c:v>6692.9706534859561</c:v>
              </c:pt>
              <c:pt idx="120">
                <c:v>8639.4146323472141</c:v>
              </c:pt>
              <c:pt idx="121">
                <c:v>16043.432249989872</c:v>
              </c:pt>
              <c:pt idx="122">
                <c:v>-7506.9249164948178</c:v>
              </c:pt>
              <c:pt idx="123">
                <c:v>70882.469531808631</c:v>
              </c:pt>
              <c:pt idx="124">
                <c:v>18082.589561710745</c:v>
              </c:pt>
              <c:pt idx="125">
                <c:v>13616.757209027564</c:v>
              </c:pt>
              <c:pt idx="126">
                <c:v>3445.3329652045122</c:v>
              </c:pt>
              <c:pt idx="127">
                <c:v>22413.100489642035</c:v>
              </c:pt>
              <c:pt idx="128">
                <c:v>31500.443690690197</c:v>
              </c:pt>
              <c:pt idx="129">
                <c:v>5814.5409153722339</c:v>
              </c:pt>
              <c:pt idx="130">
                <c:v>11972.884200770526</c:v>
              </c:pt>
              <c:pt idx="131">
                <c:v>-9995.0175555037004</c:v>
              </c:pt>
              <c:pt idx="132">
                <c:v>-16337.301117827172</c:v>
              </c:pt>
              <c:pt idx="133">
                <c:v>-1993.4001269040036</c:v>
              </c:pt>
              <c:pt idx="134">
                <c:v>20261.893195134842</c:v>
              </c:pt>
              <c:pt idx="135">
                <c:v>3780.8171586977387</c:v>
              </c:pt>
            </c:numLit>
          </c:xVal>
          <c:yVal>
            <c:numLit>
              <c:formatCode>General</c:formatCode>
              <c:ptCount val="136"/>
              <c:pt idx="0">
                <c:v>12425.663207525295</c:v>
              </c:pt>
              <c:pt idx="1">
                <c:v>-13371.762473682498</c:v>
              </c:pt>
              <c:pt idx="2">
                <c:v>-14781.977304862148</c:v>
              </c:pt>
              <c:pt idx="3">
                <c:v>-37448.772197139304</c:v>
              </c:pt>
              <c:pt idx="4">
                <c:v>-20693.231527622662</c:v>
              </c:pt>
              <c:pt idx="5">
                <c:v>86458.667197646122</c:v>
              </c:pt>
              <c:pt idx="6">
                <c:v>-13512.565415444358</c:v>
              </c:pt>
              <c:pt idx="7">
                <c:v>-14460.824151708552</c:v>
              </c:pt>
              <c:pt idx="8">
                <c:v>-11935.974514279678</c:v>
              </c:pt>
              <c:pt idx="9">
                <c:v>-1505.5839658984059</c:v>
              </c:pt>
              <c:pt idx="10">
                <c:v>14830.256465802737</c:v>
              </c:pt>
              <c:pt idx="11">
                <c:v>-7938.6799709128181</c:v>
              </c:pt>
              <c:pt idx="12">
                <c:v>-19206.179327226368</c:v>
              </c:pt>
              <c:pt idx="13">
                <c:v>-13816.201118848063</c:v>
              </c:pt>
              <c:pt idx="14">
                <c:v>2685.8023154129178</c:v>
              </c:pt>
              <c:pt idx="15">
                <c:v>-6952.3909049268095</c:v>
              </c:pt>
              <c:pt idx="16">
                <c:v>-29832.491106183377</c:v>
              </c:pt>
              <c:pt idx="17">
                <c:v>-35020.375986653278</c:v>
              </c:pt>
              <c:pt idx="18">
                <c:v>-1018.8298614003797</c:v>
              </c:pt>
              <c:pt idx="19">
                <c:v>-19486.852371700683</c:v>
              </c:pt>
              <c:pt idx="20">
                <c:v>8349.1014436418427</c:v>
              </c:pt>
              <c:pt idx="21">
                <c:v>13868.23954455169</c:v>
              </c:pt>
              <c:pt idx="22">
                <c:v>-7234.3612499359733</c:v>
              </c:pt>
              <c:pt idx="23">
                <c:v>-33444.330481777899</c:v>
              </c:pt>
              <c:pt idx="24">
                <c:v>-14020.446314317123</c:v>
              </c:pt>
              <c:pt idx="25">
                <c:v>-25111.370270814183</c:v>
              </c:pt>
              <c:pt idx="26">
                <c:v>-7226.4228147734211</c:v>
              </c:pt>
              <c:pt idx="27">
                <c:v>-22046.24538193077</c:v>
              </c:pt>
              <c:pt idx="28">
                <c:v>-6029.450292634825</c:v>
              </c:pt>
              <c:pt idx="29">
                <c:v>-15977.906266208993</c:v>
              </c:pt>
              <c:pt idx="30">
                <c:v>-18094.766064466421</c:v>
              </c:pt>
              <c:pt idx="31">
                <c:v>-25339.763012090531</c:v>
              </c:pt>
              <c:pt idx="32">
                <c:v>-5147.9152403280796</c:v>
              </c:pt>
              <c:pt idx="33">
                <c:v>-11679.605167415848</c:v>
              </c:pt>
              <c:pt idx="34">
                <c:v>-29284.737921987289</c:v>
              </c:pt>
              <c:pt idx="35">
                <c:v>-22521.654318522189</c:v>
              </c:pt>
              <c:pt idx="36">
                <c:v>-21351.269234476331</c:v>
              </c:pt>
              <c:pt idx="37">
                <c:v>-18770.736175329632</c:v>
              </c:pt>
              <c:pt idx="38">
                <c:v>21655.30644464853</c:v>
              </c:pt>
              <c:pt idx="39">
                <c:v>-18011.884280723305</c:v>
              </c:pt>
              <c:pt idx="40">
                <c:v>7683.1563956868122</c:v>
              </c:pt>
              <c:pt idx="41">
                <c:v>-5456.9968899294181</c:v>
              </c:pt>
              <c:pt idx="42">
                <c:v>-15189.718195931715</c:v>
              </c:pt>
              <c:pt idx="43">
                <c:v>6322.5203450781319</c:v>
              </c:pt>
              <c:pt idx="44">
                <c:v>-25362.503213367192</c:v>
              </c:pt>
              <c:pt idx="45">
                <c:v>41188.286167289531</c:v>
              </c:pt>
              <c:pt idx="46">
                <c:v>-18630.695947567539</c:v>
              </c:pt>
              <c:pt idx="47">
                <c:v>1497.0256008401157</c:v>
              </c:pt>
              <c:pt idx="48">
                <c:v>-15861.579918790687</c:v>
              </c:pt>
              <c:pt idx="49">
                <c:v>-17256.832029153986</c:v>
              </c:pt>
              <c:pt idx="50">
                <c:v>-17685.31742332879</c:v>
              </c:pt>
              <c:pt idx="51">
                <c:v>16162.791911505432</c:v>
              </c:pt>
              <c:pt idx="52">
                <c:v>-32166.335634475243</c:v>
              </c:pt>
              <c:pt idx="53">
                <c:v>-14122.582387272672</c:v>
              </c:pt>
              <c:pt idx="54">
                <c:v>-11901.982989881615</c:v>
              </c:pt>
              <c:pt idx="55">
                <c:v>15928.209021474097</c:v>
              </c:pt>
              <c:pt idx="56">
                <c:v>-15162.503848318111</c:v>
              </c:pt>
              <c:pt idx="57">
                <c:v>-7002.9376107516673</c:v>
              </c:pt>
              <c:pt idx="58">
                <c:v>18844.954388662569</c:v>
              </c:pt>
              <c:pt idx="59">
                <c:v>-9716.6888645399886</c:v>
              </c:pt>
              <c:pt idx="60">
                <c:v>21956.77142897046</c:v>
              </c:pt>
              <c:pt idx="61">
                <c:v>-95.22219416686039</c:v>
              </c:pt>
              <c:pt idx="62">
                <c:v>-13351.809917141101</c:v>
              </c:pt>
              <c:pt idx="63">
                <c:v>3361.131755732154</c:v>
              </c:pt>
              <c:pt idx="64">
                <c:v>5070.4453026648071</c:v>
              </c:pt>
              <c:pt idx="65">
                <c:v>18304.025124650689</c:v>
              </c:pt>
              <c:pt idx="66">
                <c:v>-26109.814362880716</c:v>
              </c:pt>
              <c:pt idx="67">
                <c:v>-24467.267338541802</c:v>
              </c:pt>
              <c:pt idx="68">
                <c:v>-13822.993284593329</c:v>
              </c:pt>
              <c:pt idx="69">
                <c:v>-42371.63552278842</c:v>
              </c:pt>
              <c:pt idx="70">
                <c:v>-23326.835517335108</c:v>
              </c:pt>
              <c:pt idx="71">
                <c:v>-20099.224492619593</c:v>
              </c:pt>
              <c:pt idx="72">
                <c:v>39504.12055277302</c:v>
              </c:pt>
              <c:pt idx="73">
                <c:v>-6747.010579945636</c:v>
              </c:pt>
              <c:pt idx="74">
                <c:v>711181.2614437656</c:v>
              </c:pt>
              <c:pt idx="75">
                <c:v>-9025.3871247696916</c:v>
              </c:pt>
              <c:pt idx="76">
                <c:v>-18691.517424215956</c:v>
              </c:pt>
              <c:pt idx="77">
                <c:v>3838.1787931996423</c:v>
              </c:pt>
              <c:pt idx="78">
                <c:v>676.77922286130411</c:v>
              </c:pt>
              <c:pt idx="79">
                <c:v>-1433.8561101544819</c:v>
              </c:pt>
              <c:pt idx="80">
                <c:v>-792.36678230290363</c:v>
              </c:pt>
              <c:pt idx="81">
                <c:v>-23819.619574794535</c:v>
              </c:pt>
              <c:pt idx="82">
                <c:v>-14781.740534028866</c:v>
              </c:pt>
              <c:pt idx="83">
                <c:v>-19952.756770449545</c:v>
              </c:pt>
              <c:pt idx="84">
                <c:v>-11007.061722040587</c:v>
              </c:pt>
              <c:pt idx="85">
                <c:v>25095.649573711882</c:v>
              </c:pt>
              <c:pt idx="86">
                <c:v>-8184.0307964628983</c:v>
              </c:pt>
              <c:pt idx="87">
                <c:v>-31381.772549721689</c:v>
              </c:pt>
              <c:pt idx="88">
                <c:v>10845.980833742256</c:v>
              </c:pt>
              <c:pt idx="89">
                <c:v>133594.42074069494</c:v>
              </c:pt>
              <c:pt idx="90">
                <c:v>-15545.843703169685</c:v>
              </c:pt>
              <c:pt idx="91">
                <c:v>-14559.754846935895</c:v>
              </c:pt>
              <c:pt idx="92">
                <c:v>-13423.211017236008</c:v>
              </c:pt>
              <c:pt idx="93">
                <c:v>2579.1485933999184</c:v>
              </c:pt>
              <c:pt idx="94">
                <c:v>-37908.298689921088</c:v>
              </c:pt>
              <c:pt idx="95">
                <c:v>-8090.8738674507231</c:v>
              </c:pt>
              <c:pt idx="96">
                <c:v>2398.5872138625082</c:v>
              </c:pt>
              <c:pt idx="97">
                <c:v>-11751.048180122794</c:v>
              </c:pt>
              <c:pt idx="98">
                <c:v>-3147.5123399572917</c:v>
              </c:pt>
              <c:pt idx="99">
                <c:v>-11103.716124715413</c:v>
              </c:pt>
              <c:pt idx="100">
                <c:v>-25783.367993906773</c:v>
              </c:pt>
              <c:pt idx="101">
                <c:v>1657.7373752314393</c:v>
              </c:pt>
              <c:pt idx="102">
                <c:v>-20131.2667339285</c:v>
              </c:pt>
              <c:pt idx="103">
                <c:v>-6957.3483007473478</c:v>
              </c:pt>
              <c:pt idx="104">
                <c:v>-3969.8354682050422</c:v>
              </c:pt>
              <c:pt idx="105">
                <c:v>80477.647002860729</c:v>
              </c:pt>
              <c:pt idx="106">
                <c:v>-8591.0850129125938</c:v>
              </c:pt>
              <c:pt idx="107">
                <c:v>1527.9074135467031</c:v>
              </c:pt>
              <c:pt idx="108">
                <c:v>16105.594597377158</c:v>
              </c:pt>
              <c:pt idx="109">
                <c:v>10974.245746971566</c:v>
              </c:pt>
              <c:pt idx="110">
                <c:v>-9527.1808168739117</c:v>
              </c:pt>
              <c:pt idx="111">
                <c:v>14356.861442284926</c:v>
              </c:pt>
              <c:pt idx="112">
                <c:v>12057.35462241709</c:v>
              </c:pt>
              <c:pt idx="113">
                <c:v>-14691.501281441106</c:v>
              </c:pt>
              <c:pt idx="114">
                <c:v>-21929.254124523042</c:v>
              </c:pt>
              <c:pt idx="115">
                <c:v>-26467.037994667946</c:v>
              </c:pt>
              <c:pt idx="116">
                <c:v>-13238.148822832793</c:v>
              </c:pt>
              <c:pt idx="117">
                <c:v>-1654.1345610088911</c:v>
              </c:pt>
              <c:pt idx="118">
                <c:v>11218.76672570735</c:v>
              </c:pt>
              <c:pt idx="119">
                <c:v>-3731.0882534859561</c:v>
              </c:pt>
              <c:pt idx="120">
                <c:v>-7140.7912323472137</c:v>
              </c:pt>
              <c:pt idx="121">
                <c:v>-4733.1834499898723</c:v>
              </c:pt>
              <c:pt idx="122">
                <c:v>13586.695316494817</c:v>
              </c:pt>
              <c:pt idx="123">
                <c:v>-59745.866131808631</c:v>
              </c:pt>
              <c:pt idx="124">
                <c:v>-9352.1617617107458</c:v>
              </c:pt>
              <c:pt idx="125">
                <c:v>-12826.777809027564</c:v>
              </c:pt>
              <c:pt idx="126">
                <c:v>-1808.1341652045123</c:v>
              </c:pt>
              <c:pt idx="127">
                <c:v>-10920.573789642034</c:v>
              </c:pt>
              <c:pt idx="128">
                <c:v>17772.064709309801</c:v>
              </c:pt>
              <c:pt idx="129">
                <c:v>-1660.2592153722344</c:v>
              </c:pt>
              <c:pt idx="130">
                <c:v>13483.994099229474</c:v>
              </c:pt>
              <c:pt idx="131">
                <c:v>11355.382755503701</c:v>
              </c:pt>
              <c:pt idx="132">
                <c:v>18134.404017827172</c:v>
              </c:pt>
              <c:pt idx="133">
                <c:v>7609.5096269040032</c:v>
              </c:pt>
              <c:pt idx="134">
                <c:v>-17403.184795134843</c:v>
              </c:pt>
              <c:pt idx="135">
                <c:v>-1578.0517586977385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C0B-493A-82F4-00E18F5B1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925872"/>
        <c:axId val="733926264"/>
      </c:scatterChart>
      <c:valAx>
        <c:axId val="733925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33926264"/>
        <c:crossesAt val="-100000"/>
        <c:crossBetween val="midCat"/>
      </c:valAx>
      <c:valAx>
        <c:axId val="73392626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33925872"/>
        <c:crossesAt val="-60000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Histogram of Residuals
</a:t>
            </a:r>
            <a:r>
              <a:rPr lang="en-US" sz="1000"/>
              <a:t>Model 9 for EV    (6 variables, n=136)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Actual</c:v>
          </c:tx>
          <c:spPr>
            <a:solidFill>
              <a:srgbClr val="9999FF"/>
            </a:solidFill>
            <a:ln w="9525" cap="flat" cmpd="sng" algn="ctr">
              <a:solidFill>
                <a:srgbClr val="0000FF"/>
              </a:solidFill>
              <a:prstDash val="solid"/>
              <a:round/>
              <a:headEnd type="none" w="med" len="med"/>
              <a:tailEnd type="none" w="med" len="med"/>
            </a:ln>
          </c:spPr>
          <c:invertIfNegative val="0"/>
          <c:cat>
            <c:strLit>
              <c:ptCount val="21"/>
              <c:pt idx="0">
                <c:v>-720,000</c:v>
              </c:pt>
              <c:pt idx="1">
                <c:v>-648,000</c:v>
              </c:pt>
              <c:pt idx="2">
                <c:v>-576,000</c:v>
              </c:pt>
              <c:pt idx="3">
                <c:v>-504,000</c:v>
              </c:pt>
              <c:pt idx="4">
                <c:v>-432,000</c:v>
              </c:pt>
              <c:pt idx="5">
                <c:v>-360,000</c:v>
              </c:pt>
              <c:pt idx="6">
                <c:v>-288,000</c:v>
              </c:pt>
              <c:pt idx="7">
                <c:v>-216,000</c:v>
              </c:pt>
              <c:pt idx="8">
                <c:v>-144,000</c:v>
              </c:pt>
              <c:pt idx="9">
                <c:v>-72,000</c:v>
              </c:pt>
              <c:pt idx="10">
                <c:v>0</c:v>
              </c:pt>
              <c:pt idx="11">
                <c:v>72,000</c:v>
              </c:pt>
              <c:pt idx="12">
                <c:v>144,000</c:v>
              </c:pt>
              <c:pt idx="13">
                <c:v>216,000</c:v>
              </c:pt>
              <c:pt idx="14">
                <c:v>288,000</c:v>
              </c:pt>
              <c:pt idx="15">
                <c:v>360,000</c:v>
              </c:pt>
              <c:pt idx="16">
                <c:v>432,000</c:v>
              </c:pt>
              <c:pt idx="17">
                <c:v>504,000</c:v>
              </c:pt>
              <c:pt idx="18">
                <c:v>576,000</c:v>
              </c:pt>
              <c:pt idx="19">
                <c:v>648,000</c:v>
              </c:pt>
              <c:pt idx="20">
                <c:v>720,000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4</c:v>
              </c:pt>
              <c:pt idx="10">
                <c:v>126</c:v>
              </c:pt>
              <c:pt idx="11">
                <c:v>4</c:v>
              </c:pt>
              <c:pt idx="12">
                <c:v>1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5B21-40C4-9617-49670FF6FC2C}"/>
            </c:ext>
          </c:extLst>
        </c:ser>
        <c:ser>
          <c:idx val="1"/>
          <c:order val="1"/>
          <c:tx>
            <c:v>Normal</c:v>
          </c:tx>
          <c:spPr>
            <a:solidFill>
              <a:srgbClr val="FFD2D2"/>
            </a:solidFill>
            <a:ln w="9525">
              <a:solidFill>
                <a:srgbClr val="FF0000"/>
              </a:solidFill>
              <a:prstDash val="solid"/>
            </a:ln>
          </c:spPr>
          <c:invertIfNegative val="0"/>
          <c:cat>
            <c:strLit>
              <c:ptCount val="21"/>
              <c:pt idx="0">
                <c:v>-720,000</c:v>
              </c:pt>
              <c:pt idx="1">
                <c:v>-648,000</c:v>
              </c:pt>
              <c:pt idx="2">
                <c:v>-576,000</c:v>
              </c:pt>
              <c:pt idx="3">
                <c:v>-504,000</c:v>
              </c:pt>
              <c:pt idx="4">
                <c:v>-432,000</c:v>
              </c:pt>
              <c:pt idx="5">
                <c:v>-360,000</c:v>
              </c:pt>
              <c:pt idx="6">
                <c:v>-288,000</c:v>
              </c:pt>
              <c:pt idx="7">
                <c:v>-216,000</c:v>
              </c:pt>
              <c:pt idx="8">
                <c:v>-144,000</c:v>
              </c:pt>
              <c:pt idx="9">
                <c:v>-72,000</c:v>
              </c:pt>
              <c:pt idx="10">
                <c:v>0</c:v>
              </c:pt>
              <c:pt idx="11">
                <c:v>72,000</c:v>
              </c:pt>
              <c:pt idx="12">
                <c:v>144,000</c:v>
              </c:pt>
              <c:pt idx="13">
                <c:v>216,000</c:v>
              </c:pt>
              <c:pt idx="14">
                <c:v>288,000</c:v>
              </c:pt>
              <c:pt idx="15">
                <c:v>360,000</c:v>
              </c:pt>
              <c:pt idx="16">
                <c:v>432,000</c:v>
              </c:pt>
              <c:pt idx="17">
                <c:v>504,000</c:v>
              </c:pt>
              <c:pt idx="18">
                <c:v>576,000</c:v>
              </c:pt>
              <c:pt idx="19">
                <c:v>648,000</c:v>
              </c:pt>
              <c:pt idx="20">
                <c:v>720,000</c:v>
              </c:pt>
            </c:strLit>
          </c:cat>
          <c:val>
            <c:numLit>
              <c:formatCode>General</c:formatCode>
              <c:ptCount val="21"/>
              <c:pt idx="0">
                <c:v>1.1307316080070318E-23</c:v>
              </c:pt>
              <c:pt idx="1">
                <c:v>6.5966079447537853E-19</c:v>
              </c:pt>
              <c:pt idx="2">
                <c:v>1.1658615786268911E-14</c:v>
              </c:pt>
              <c:pt idx="3">
                <c:v>6.2633833035553183E-11</c:v>
              </c:pt>
              <c:pt idx="4">
                <c:v>1.0277224683182445E-7</c:v>
              </c:pt>
              <c:pt idx="5">
                <c:v>5.1857737587615518E-5</c:v>
              </c:pt>
              <c:pt idx="6">
                <c:v>8.1263287744152458E-3</c:v>
              </c:pt>
              <c:pt idx="7">
                <c:v>0.40099346136890668</c:v>
              </c:pt>
              <c:pt idx="8">
                <c:v>6.345351272780726</c:v>
              </c:pt>
              <c:pt idx="9">
                <c:v>32.872667819918803</c:v>
              </c:pt>
              <c:pt idx="10">
                <c:v>56.745618313169352</c:v>
              </c:pt>
              <c:pt idx="11">
                <c:v>32.872667819918803</c:v>
              </c:pt>
              <c:pt idx="12">
                <c:v>6.3453512727807322</c:v>
              </c:pt>
              <c:pt idx="13">
                <c:v>0.40099346136889835</c:v>
              </c:pt>
              <c:pt idx="14">
                <c:v>8.1263287744093304E-3</c:v>
              </c:pt>
              <c:pt idx="15">
                <c:v>5.1857737588534292E-5</c:v>
              </c:pt>
              <c:pt idx="16">
                <c:v>1.0277224760102399E-7</c:v>
              </c:pt>
              <c:pt idx="17">
                <c:v>6.2613025875180028E-11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1-5B21-40C4-9617-49670FF6F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733927048"/>
        <c:axId val="733927440"/>
      </c:barChart>
      <c:catAx>
        <c:axId val="733927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</a:t>
                </a:r>
                <a:r>
                  <a:rPr lang="en-US" sz="900"/>
                  <a:t>ormality test (A-D*):  P &lt; 0.001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927440"/>
        <c:crosses val="autoZero"/>
        <c:auto val="1"/>
        <c:lblAlgn val="ctr"/>
        <c:lblOffset val="100"/>
        <c:noMultiLvlLbl val="0"/>
      </c:catAx>
      <c:valAx>
        <c:axId val="73392744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33927048"/>
        <c:crosses val="autoZero"/>
        <c:crossBetween val="between"/>
      </c:valAx>
      <c:spPr>
        <a:ln w="6350">
          <a:solidFill>
            <a:srgbClr val="808080"/>
          </a:solidFill>
          <a:prstDash val="solid"/>
        </a:ln>
      </c:spPr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Normal Quantile Plot
</a:t>
            </a:r>
            <a:r>
              <a:rPr lang="en-US" sz="1000"/>
              <a:t>Model 9 for EV    (6 variables, n=136)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36"/>
              <c:pt idx="0">
                <c:v>-2.4421880491253143</c:v>
              </c:pt>
              <c:pt idx="1">
                <c:v>-2.1808153021682743</c:v>
              </c:pt>
              <c:pt idx="2">
                <c:v>-2.0160416527263889</c:v>
              </c:pt>
              <c:pt idx="3">
                <c:v>-1.8927271749816086</c:v>
              </c:pt>
              <c:pt idx="4">
                <c:v>-1.7928763311641345</c:v>
              </c:pt>
              <c:pt idx="5">
                <c:v>-1.7082431184356848</c:v>
              </c:pt>
              <c:pt idx="6">
                <c:v>-1.6343290311739951</c:v>
              </c:pt>
              <c:pt idx="7">
                <c:v>-1.5683978131253791</c:v>
              </c:pt>
              <c:pt idx="8">
                <c:v>-1.5086554288199723</c:v>
              </c:pt>
              <c:pt idx="9">
                <c:v>-1.4538590016426736</c:v>
              </c:pt>
              <c:pt idx="10">
                <c:v>-1.4031103288021298</c:v>
              </c:pt>
              <c:pt idx="11">
                <c:v>-1.3557381963313866</c:v>
              </c:pt>
              <c:pt idx="12">
                <c:v>-1.3112271808003206</c:v>
              </c:pt>
              <c:pt idx="13">
                <c:v>-1.269172457559324</c:v>
              </c:pt>
              <c:pt idx="14">
                <c:v>-1.2292499609031462</c:v>
              </c:pt>
              <c:pt idx="15">
                <c:v>-1.1911960182089929</c:v>
              </c:pt>
              <c:pt idx="16">
                <c:v>-1.1547930533436743</c:v>
              </c:pt>
              <c:pt idx="17">
                <c:v>-1.1198593043168414</c:v>
              </c:pt>
              <c:pt idx="18">
                <c:v>-1.0862412702562496</c:v>
              </c:pt>
              <c:pt idx="19">
                <c:v>-1.0538080593349772</c:v>
              </c:pt>
              <c:pt idx="20">
                <c:v>-1.0224470891122484</c:v>
              </c:pt>
              <c:pt idx="21">
                <c:v>-0.99206076735168713</c:v>
              </c:pt>
              <c:pt idx="22">
                <c:v>-0.96256389575654266</c:v>
              </c:pt>
              <c:pt idx="23">
                <c:v>-0.93388161486624266</c:v>
              </c:pt>
              <c:pt idx="24">
                <c:v>-0.90594775965164942</c:v>
              </c:pt>
              <c:pt idx="25">
                <c:v>-0.87870353070900364</c:v>
              </c:pt>
              <c:pt idx="26">
                <c:v>-0.85209641074996312</c:v>
              </c:pt>
              <c:pt idx="27">
                <c:v>-0.82607927374516243</c:v>
              </c:pt>
              <c:pt idx="28">
                <c:v>-0.80060964683518954</c:v>
              </c:pt>
              <c:pt idx="29">
                <c:v>-0.77564909445822994</c:v>
              </c:pt>
              <c:pt idx="30">
                <c:v>-0.75116270105805993</c:v>
              </c:pt>
              <c:pt idx="31">
                <c:v>-0.72711863391436637</c:v>
              </c:pt>
              <c:pt idx="32">
                <c:v>-0.70348777155606745</c:v>
              </c:pt>
              <c:pt idx="33">
                <c:v>-0.68024338621206992</c:v>
              </c:pt>
              <c:pt idx="34">
                <c:v>-0.65736087106186036</c:v>
              </c:pt>
              <c:pt idx="35">
                <c:v>-0.63481750484239274</c:v>
              </c:pt>
              <c:pt idx="36">
                <c:v>-0.61259224777345078</c:v>
              </c:pt>
              <c:pt idx="37">
                <c:v>-0.59066556387310731</c:v>
              </c:pt>
              <c:pt idx="38">
                <c:v>-0.56901926561672789</c:v>
              </c:pt>
              <c:pt idx="39">
                <c:v>-0.54763637759838146</c:v>
              </c:pt>
              <c:pt idx="40">
                <c:v>-0.52650101642132652</c:v>
              </c:pt>
              <c:pt idx="41">
                <c:v>-0.5055982845039646</c:v>
              </c:pt>
              <c:pt idx="42">
                <c:v>-0.48491417586189661</c:v>
              </c:pt>
              <c:pt idx="43">
                <c:v>-0.46443549223297398</c:v>
              </c:pt>
              <c:pt idx="44">
                <c:v>-0.44414976816409463</c:v>
              </c:pt>
              <c:pt idx="45">
                <c:v>-0.42404520388658756</c:v>
              </c:pt>
              <c:pt idx="46">
                <c:v>-0.40411060497970364</c:v>
              </c:pt>
              <c:pt idx="47">
                <c:v>-0.38433532796565362</c:v>
              </c:pt>
              <c:pt idx="48">
                <c:v>-0.36470923110000675</c:v>
              </c:pt>
              <c:pt idx="49">
                <c:v>-0.34522262972237733</c:v>
              </c:pt>
              <c:pt idx="50">
                <c:v>-0.32586625561750387</c:v>
              </c:pt>
              <c:pt idx="51">
                <c:v>-0.30663121990884307</c:v>
              </c:pt>
              <c:pt idx="52">
                <c:v>-0.28750897906785555</c:v>
              </c:pt>
              <c:pt idx="53">
                <c:v>-0.26849130367407431</c:v>
              </c:pt>
              <c:pt idx="54">
                <c:v>-0.24957024960527571</c:v>
              </c:pt>
              <c:pt idx="55">
                <c:v>-0.23073813137485966</c:v>
              </c:pt>
              <c:pt idx="56">
                <c:v>-0.21198749736584974</c:v>
              </c:pt>
              <c:pt idx="57">
                <c:v>-0.19331110673860696</c:v>
              </c:pt>
              <c:pt idx="58">
                <c:v>-0.17470190781306269</c:v>
              </c:pt>
              <c:pt idx="59">
                <c:v>-0.15615301774660617</c:v>
              </c:pt>
              <c:pt idx="60">
                <c:v>-0.13765770334616576</c:v>
              </c:pt>
              <c:pt idx="61">
                <c:v>-0.11920936286789212</c:v>
              </c:pt>
              <c:pt idx="62">
                <c:v>-0.10080150867052502</c:v>
              </c:pt>
              <c:pt idx="63">
                <c:v>-8.2427750599248076E-2</c:v>
              </c:pt>
              <c:pt idx="64">
                <c:v>-6.4081779985855875E-2</c:v>
              </c:pt>
              <c:pt idx="65">
                <c:v>-4.5757354158539494E-2</c:v>
              </c:pt>
              <c:pt idx="66">
                <c:v>-2.7448281360703052E-2</c:v>
              </c:pt>
              <c:pt idx="67">
                <c:v>-9.1484059830602652E-3</c:v>
              </c:pt>
              <c:pt idx="68">
                <c:v>9.1484059830604057E-3</c:v>
              </c:pt>
              <c:pt idx="69">
                <c:v>2.7448281360703194E-2</c:v>
              </c:pt>
              <c:pt idx="70">
                <c:v>4.575735415853964E-2</c:v>
              </c:pt>
              <c:pt idx="71">
                <c:v>6.4081779985855875E-2</c:v>
              </c:pt>
              <c:pt idx="72">
                <c:v>8.2427750599248076E-2</c:v>
              </c:pt>
              <c:pt idx="73">
                <c:v>0.10080150867052502</c:v>
              </c:pt>
              <c:pt idx="74">
                <c:v>0.11920936286789212</c:v>
              </c:pt>
              <c:pt idx="75">
                <c:v>0.13765770334616576</c:v>
              </c:pt>
              <c:pt idx="76">
                <c:v>0.15615301774660617</c:v>
              </c:pt>
              <c:pt idx="77">
                <c:v>0.17470190781306255</c:v>
              </c:pt>
              <c:pt idx="78">
                <c:v>0.19331110673860685</c:v>
              </c:pt>
              <c:pt idx="79">
                <c:v>0.21198749736584957</c:v>
              </c:pt>
              <c:pt idx="80">
                <c:v>0.23073813137485977</c:v>
              </c:pt>
              <c:pt idx="81">
                <c:v>0.24957024960527588</c:v>
              </c:pt>
              <c:pt idx="82">
                <c:v>0.26849130367407442</c:v>
              </c:pt>
              <c:pt idx="83">
                <c:v>0.28750897906785572</c:v>
              </c:pt>
              <c:pt idx="84">
                <c:v>0.30663121990884307</c:v>
              </c:pt>
              <c:pt idx="85">
                <c:v>0.32586625561750387</c:v>
              </c:pt>
              <c:pt idx="86">
                <c:v>0.34522262972237733</c:v>
              </c:pt>
              <c:pt idx="87">
                <c:v>0.36470923110000675</c:v>
              </c:pt>
              <c:pt idx="88">
                <c:v>0.38433532796565362</c:v>
              </c:pt>
              <c:pt idx="89">
                <c:v>0.40411060497970364</c:v>
              </c:pt>
              <c:pt idx="90">
                <c:v>0.42404520388658723</c:v>
              </c:pt>
              <c:pt idx="91">
                <c:v>0.44414976816409452</c:v>
              </c:pt>
              <c:pt idx="92">
                <c:v>0.46443549223297381</c:v>
              </c:pt>
              <c:pt idx="93">
                <c:v>0.48491417586189683</c:v>
              </c:pt>
              <c:pt idx="94">
                <c:v>0.50559828450396482</c:v>
              </c:pt>
              <c:pt idx="95">
                <c:v>0.52650101642132674</c:v>
              </c:pt>
              <c:pt idx="96">
                <c:v>0.54763637759838146</c:v>
              </c:pt>
              <c:pt idx="97">
                <c:v>0.56901926561672789</c:v>
              </c:pt>
              <c:pt idx="98">
                <c:v>0.59066556387310731</c:v>
              </c:pt>
              <c:pt idx="99">
                <c:v>0.61259224777345078</c:v>
              </c:pt>
              <c:pt idx="100">
                <c:v>0.63481750484239274</c:v>
              </c:pt>
              <c:pt idx="101">
                <c:v>0.65736087106186036</c:v>
              </c:pt>
              <c:pt idx="102">
                <c:v>0.68024338621206992</c:v>
              </c:pt>
              <c:pt idx="103">
                <c:v>0.70348777155606745</c:v>
              </c:pt>
              <c:pt idx="104">
                <c:v>0.72711863391436626</c:v>
              </c:pt>
              <c:pt idx="105">
                <c:v>0.75116270105806004</c:v>
              </c:pt>
              <c:pt idx="106">
                <c:v>0.7756490944582306</c:v>
              </c:pt>
              <c:pt idx="107">
                <c:v>0.80060964683518954</c:v>
              </c:pt>
              <c:pt idx="108">
                <c:v>0.82607927374516243</c:v>
              </c:pt>
              <c:pt idx="109">
                <c:v>0.85209641074996312</c:v>
              </c:pt>
              <c:pt idx="110">
                <c:v>0.87870353070900364</c:v>
              </c:pt>
              <c:pt idx="111">
                <c:v>0.90594775965164942</c:v>
              </c:pt>
              <c:pt idx="112">
                <c:v>0.93388161486624266</c:v>
              </c:pt>
              <c:pt idx="113">
                <c:v>0.96256389575654266</c:v>
              </c:pt>
              <c:pt idx="114">
                <c:v>0.99206076735168713</c:v>
              </c:pt>
              <c:pt idx="115">
                <c:v>1.0224470891122484</c:v>
              </c:pt>
              <c:pt idx="116">
                <c:v>1.053808059334977</c:v>
              </c:pt>
              <c:pt idx="117">
                <c:v>1.0862412702562496</c:v>
              </c:pt>
              <c:pt idx="118">
                <c:v>1.1198593043168414</c:v>
              </c:pt>
              <c:pt idx="119">
                <c:v>1.1547930533436743</c:v>
              </c:pt>
              <c:pt idx="120">
                <c:v>1.1911960182089929</c:v>
              </c:pt>
              <c:pt idx="121">
                <c:v>1.2292499609031462</c:v>
              </c:pt>
              <c:pt idx="122">
                <c:v>1.269172457559324</c:v>
              </c:pt>
              <c:pt idx="123">
                <c:v>1.3112271808003206</c:v>
              </c:pt>
              <c:pt idx="124">
                <c:v>1.3557381963313866</c:v>
              </c:pt>
              <c:pt idx="125">
                <c:v>1.4031103288021298</c:v>
              </c:pt>
              <c:pt idx="126">
                <c:v>1.453859001642674</c:v>
              </c:pt>
              <c:pt idx="127">
                <c:v>1.5086554288199729</c:v>
              </c:pt>
              <c:pt idx="128">
                <c:v>1.5683978131253788</c:v>
              </c:pt>
              <c:pt idx="129">
                <c:v>1.6343290311739946</c:v>
              </c:pt>
              <c:pt idx="130">
                <c:v>1.7082431184356857</c:v>
              </c:pt>
              <c:pt idx="131">
                <c:v>1.7928763311641345</c:v>
              </c:pt>
              <c:pt idx="132">
                <c:v>1.8927271749816097</c:v>
              </c:pt>
              <c:pt idx="133">
                <c:v>2.0160416527263894</c:v>
              </c:pt>
              <c:pt idx="134">
                <c:v>2.1808153021682743</c:v>
              </c:pt>
              <c:pt idx="135">
                <c:v>2.4421880491253143</c:v>
              </c:pt>
            </c:numLit>
          </c:xVal>
          <c:yVal>
            <c:numLit>
              <c:formatCode>General</c:formatCode>
              <c:ptCount val="136"/>
              <c:pt idx="0">
                <c:v>-0.91173549252963249</c:v>
              </c:pt>
              <c:pt idx="1">
                <c:v>-0.64660078569164947</c:v>
              </c:pt>
              <c:pt idx="2">
                <c:v>-0.57848925146998031</c:v>
              </c:pt>
              <c:pt idx="3">
                <c:v>-0.57147677277727027</c:v>
              </c:pt>
              <c:pt idx="4">
                <c:v>-0.53441889482902827</c:v>
              </c:pt>
              <c:pt idx="5">
                <c:v>-0.51036808231814157</c:v>
              </c:pt>
              <c:pt idx="6">
                <c:v>-0.49086559056439877</c:v>
              </c:pt>
              <c:pt idx="7">
                <c:v>-0.47889297962391536</c:v>
              </c:pt>
              <c:pt idx="8">
                <c:v>-0.4552505927703186</c:v>
              </c:pt>
              <c:pt idx="9">
                <c:v>-0.44689175471990139</c:v>
              </c:pt>
              <c:pt idx="10">
                <c:v>-0.40389301359582752</c:v>
              </c:pt>
              <c:pt idx="11">
                <c:v>-0.39844169980698357</c:v>
              </c:pt>
              <c:pt idx="12">
                <c:v>-0.39346005404182982</c:v>
              </c:pt>
              <c:pt idx="13">
                <c:v>-0.38703756186258698</c:v>
              </c:pt>
              <c:pt idx="14">
                <c:v>-0.38669054122411367</c:v>
              </c:pt>
              <c:pt idx="15">
                <c:v>-0.38320521609721053</c:v>
              </c:pt>
              <c:pt idx="16">
                <c:v>-0.37337605899871651</c:v>
              </c:pt>
              <c:pt idx="17">
                <c:v>-0.36349280696646491</c:v>
              </c:pt>
              <c:pt idx="18">
                <c:v>-0.35597281028004446</c:v>
              </c:pt>
              <c:pt idx="19">
                <c:v>-0.34368556223420094</c:v>
              </c:pt>
              <c:pt idx="20">
                <c:v>-0.33643071384017287</c:v>
              </c:pt>
              <c:pt idx="21">
                <c:v>-0.33464540066956833</c:v>
              </c:pt>
              <c:pt idx="22">
                <c:v>-0.32582521991867169</c:v>
              </c:pt>
              <c:pt idx="23">
                <c:v>-0.3157834149938305</c:v>
              </c:pt>
              <c:pt idx="24">
                <c:v>-0.30720770455333396</c:v>
              </c:pt>
              <c:pt idx="25">
                <c:v>-0.30671873267037419</c:v>
              </c:pt>
              <c:pt idx="26">
                <c:v>-0.30448360194990243</c:v>
              </c:pt>
              <c:pt idx="27">
                <c:v>-0.29737379496295735</c:v>
              </c:pt>
              <c:pt idx="28">
                <c:v>-0.29309066053020805</c:v>
              </c:pt>
              <c:pt idx="29">
                <c:v>-0.28644569909158124</c:v>
              </c:pt>
              <c:pt idx="30">
                <c:v>-0.28523680294963116</c:v>
              </c:pt>
              <c:pt idx="31">
                <c:v>-0.28430865339621963</c:v>
              </c:pt>
              <c:pt idx="32">
                <c:v>-0.27613024160698285</c:v>
              </c:pt>
              <c:pt idx="33">
                <c:v>-0.27486544675479924</c:v>
              </c:pt>
              <c:pt idx="34">
                <c:v>-0.26988196230897032</c:v>
              </c:pt>
              <c:pt idx="35">
                <c:v>-0.26557655429701521</c:v>
              </c:pt>
              <c:pt idx="36">
                <c:v>-0.2633431778341106</c:v>
              </c:pt>
              <c:pt idx="37">
                <c:v>-0.2438264800961446</c:v>
              </c:pt>
              <c:pt idx="38">
                <c:v>-0.24205131360305837</c:v>
              </c:pt>
              <c:pt idx="39">
                <c:v>-0.23723310721161406</c:v>
              </c:pt>
              <c:pt idx="40">
                <c:v>-0.23179855105290587</c:v>
              </c:pt>
              <c:pt idx="41">
                <c:v>-0.23138325392472259</c:v>
              </c:pt>
              <c:pt idx="42">
                <c:v>-0.22557633240896419</c:v>
              </c:pt>
              <c:pt idx="43">
                <c:v>-0.22557271923224964</c:v>
              </c:pt>
              <c:pt idx="44">
                <c:v>-0.22419564773374465</c:v>
              </c:pt>
              <c:pt idx="45">
                <c:v>-0.22218516720798523</c:v>
              </c:pt>
              <c:pt idx="46">
                <c:v>-0.22067546231994478</c:v>
              </c:pt>
              <c:pt idx="47">
                <c:v>-0.21551381613991136</c:v>
              </c:pt>
              <c:pt idx="48">
                <c:v>-0.21395519645941782</c:v>
              </c:pt>
              <c:pt idx="49">
                <c:v>-0.21094201836087742</c:v>
              </c:pt>
              <c:pt idx="50">
                <c:v>-0.21083836836829983</c:v>
              </c:pt>
              <c:pt idx="51">
                <c:v>-0.20620481854275013</c:v>
              </c:pt>
              <c:pt idx="52">
                <c:v>-0.20484125012313012</c:v>
              </c:pt>
              <c:pt idx="53">
                <c:v>-0.20405613365844943</c:v>
              </c:pt>
              <c:pt idx="54">
                <c:v>-0.20375165311204035</c:v>
              </c:pt>
              <c:pt idx="55">
                <c:v>-0.20201715898700714</c:v>
              </c:pt>
              <c:pt idx="56">
                <c:v>-0.19573954384528872</c:v>
              </c:pt>
              <c:pt idx="57">
                <c:v>-0.18214568316056462</c:v>
              </c:pt>
              <c:pt idx="58">
                <c:v>-0.18162696477475146</c:v>
              </c:pt>
              <c:pt idx="59">
                <c:v>-0.1793236652826706</c:v>
              </c:pt>
              <c:pt idx="60">
                <c:v>-0.1782334286755978</c:v>
              </c:pt>
              <c:pt idx="61">
                <c:v>-0.1694452310314204</c:v>
              </c:pt>
              <c:pt idx="62">
                <c:v>-0.16797026288494687</c:v>
              </c:pt>
              <c:pt idx="63">
                <c:v>-0.16665043738489804</c:v>
              </c:pt>
              <c:pt idx="64">
                <c:v>-0.14827887988307217</c:v>
              </c:pt>
              <c:pt idx="65">
                <c:v>-0.1453869440159784</c:v>
              </c:pt>
              <c:pt idx="66">
                <c:v>-0.14271611346664431</c:v>
              </c:pt>
              <c:pt idx="67">
                <c:v>-0.13772945825772392</c:v>
              </c:pt>
              <c:pt idx="68">
                <c:v>-0.13110190934936727</c:v>
              </c:pt>
              <c:pt idx="69">
                <c:v>-0.12489016951614992</c:v>
              </c:pt>
              <c:pt idx="70">
                <c:v>-0.12346857361245871</c:v>
              </c:pt>
              <c:pt idx="71">
                <c:v>-0.1211460601700414</c:v>
              </c:pt>
              <c:pt idx="72">
                <c:v>-0.11039799645378399</c:v>
              </c:pt>
              <c:pt idx="73">
                <c:v>-0.11027685412944516</c:v>
              </c:pt>
              <c:pt idx="74">
                <c:v>-0.10897009672455277</c:v>
              </c:pt>
              <c:pt idx="75">
                <c:v>-0.10686641913612972</c:v>
              </c:pt>
              <c:pt idx="76">
                <c:v>-0.10617071590673517</c:v>
              </c:pt>
              <c:pt idx="77">
                <c:v>-0.10609506492010236</c:v>
              </c:pt>
              <c:pt idx="78">
                <c:v>-0.10296091449470728</c:v>
              </c:pt>
              <c:pt idx="79">
                <c:v>-9.201078146746644E-2</c:v>
              </c:pt>
              <c:pt idx="80">
                <c:v>-8.3275012470253679E-2</c:v>
              </c:pt>
              <c:pt idx="81">
                <c:v>-7.8558356268309065E-2</c:v>
              </c:pt>
              <c:pt idx="82">
                <c:v>-7.2229454913067218E-2</c:v>
              </c:pt>
              <c:pt idx="83">
                <c:v>-6.0580591264347616E-2</c:v>
              </c:pt>
              <c:pt idx="84">
                <c:v>-5.6937254519981731E-2</c:v>
              </c:pt>
              <c:pt idx="85">
                <c:v>-4.8031753480367291E-2</c:v>
              </c:pt>
              <c:pt idx="86">
                <c:v>-2.7592538202316077E-2</c:v>
              </c:pt>
              <c:pt idx="87">
                <c:v>-2.5335932867970659E-2</c:v>
              </c:pt>
              <c:pt idx="88">
                <c:v>-2.5242469250752065E-2</c:v>
              </c:pt>
              <c:pt idx="89">
                <c:v>-2.408142840007366E-2</c:v>
              </c:pt>
              <c:pt idx="90">
                <c:v>-2.297555341594219E-2</c:v>
              </c:pt>
              <c:pt idx="91">
                <c:v>-2.1880970039403543E-2</c:v>
              </c:pt>
              <c:pt idx="92">
                <c:v>-1.5547575181828779E-2</c:v>
              </c:pt>
              <c:pt idx="93">
                <c:v>-1.2091697138229914E-2</c:v>
              </c:pt>
              <c:pt idx="94">
                <c:v>-1.4531123192179022E-3</c:v>
              </c:pt>
              <c:pt idx="95">
                <c:v>1.0327804717534418E-2</c:v>
              </c:pt>
              <c:pt idx="96">
                <c:v>2.2844950820534931E-2</c:v>
              </c:pt>
              <c:pt idx="97">
                <c:v>2.3316214299352558E-2</c:v>
              </c:pt>
              <c:pt idx="98">
                <c:v>2.5297449014413723E-2</c:v>
              </c:pt>
              <c:pt idx="99">
                <c:v>3.6602985886615542E-2</c:v>
              </c:pt>
              <c:pt idx="100">
                <c:v>3.9358393565218509E-2</c:v>
              </c:pt>
              <c:pt idx="101">
                <c:v>4.0985953596821605E-2</c:v>
              </c:pt>
              <c:pt idx="102">
                <c:v>5.1291634303346843E-2</c:v>
              </c:pt>
              <c:pt idx="103">
                <c:v>5.8571480488950306E-2</c:v>
              </c:pt>
              <c:pt idx="104">
                <c:v>7.7376147416974683E-2</c:v>
              </c:pt>
              <c:pt idx="105">
                <c:v>9.6483097058650505E-2</c:v>
              </c:pt>
              <c:pt idx="106">
                <c:v>0.11612284592691832</c:v>
              </c:pt>
              <c:pt idx="107">
                <c:v>0.11724671235244265</c:v>
              </c:pt>
              <c:pt idx="108">
                <c:v>0.12740918509918378</c:v>
              </c:pt>
              <c:pt idx="109">
                <c:v>0.16551213192897768</c:v>
              </c:pt>
              <c:pt idx="110">
                <c:v>0.1674694836490013</c:v>
              </c:pt>
              <c:pt idx="111">
                <c:v>0.17120092934416722</c:v>
              </c:pt>
              <c:pt idx="112">
                <c:v>0.17328572100053094</c:v>
              </c:pt>
              <c:pt idx="113">
                <c:v>0.18399797119053166</c:v>
              </c:pt>
              <c:pt idx="114">
                <c:v>0.18961844388575871</c:v>
              </c:pt>
              <c:pt idx="115">
                <c:v>0.20576881376538314</c:v>
              </c:pt>
              <c:pt idx="116">
                <c:v>0.20733605767645533</c:v>
              </c:pt>
              <c:pt idx="117">
                <c:v>0.21163248656862338</c:v>
              </c:pt>
              <c:pt idx="118">
                <c:v>0.21908896775190304</c:v>
              </c:pt>
              <c:pt idx="119">
                <c:v>0.22631308337482978</c:v>
              </c:pt>
              <c:pt idx="120">
                <c:v>0.24306808884936321</c:v>
              </c:pt>
              <c:pt idx="121">
                <c:v>0.2457750330429051</c:v>
              </c:pt>
              <c:pt idx="122">
                <c:v>0.24664787705278296</c:v>
              </c:pt>
              <c:pt idx="123">
                <c:v>0.27120574560361738</c:v>
              </c:pt>
              <c:pt idx="124">
                <c:v>0.27673512578173903</c:v>
              </c:pt>
              <c:pt idx="125">
                <c:v>0.27932358241289706</c:v>
              </c:pt>
              <c:pt idx="126">
                <c:v>0.28757828589078321</c:v>
              </c:pt>
              <c:pt idx="127">
                <c:v>0.33046489682873836</c:v>
              </c:pt>
              <c:pt idx="128">
                <c:v>0.33506532098787289</c:v>
              </c:pt>
              <c:pt idx="129">
                <c:v>0.38296531468739831</c:v>
              </c:pt>
              <c:pt idx="130">
                <c:v>0.6028418556971411</c:v>
              </c:pt>
              <c:pt idx="131">
                <c:v>0.62854260564802633</c:v>
              </c:pt>
              <c:pt idx="132">
                <c:v>1.2281071792633151</c:v>
              </c:pt>
              <c:pt idx="133">
                <c:v>1.3193789064333914</c:v>
              </c:pt>
              <c:pt idx="134">
                <c:v>2.0386812156093388</c:v>
              </c:pt>
              <c:pt idx="135">
                <c:v>10.852787643077864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93D-4F68-8E53-D3854C35560D}"/>
            </c:ext>
          </c:extLst>
        </c:ser>
        <c:ser>
          <c:idx val="1"/>
          <c:order val="1"/>
          <c:tx>
            <c:v>Theoretical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136"/>
              <c:pt idx="0">
                <c:v>-2.4421880491253143</c:v>
              </c:pt>
              <c:pt idx="1">
                <c:v>-2.1808153021682743</c:v>
              </c:pt>
              <c:pt idx="2">
                <c:v>-2.0160416527263889</c:v>
              </c:pt>
              <c:pt idx="3">
                <c:v>-1.8927271749816086</c:v>
              </c:pt>
              <c:pt idx="4">
                <c:v>-1.7928763311641345</c:v>
              </c:pt>
              <c:pt idx="5">
                <c:v>-1.7082431184356848</c:v>
              </c:pt>
              <c:pt idx="6">
                <c:v>-1.6343290311739951</c:v>
              </c:pt>
              <c:pt idx="7">
                <c:v>-1.5683978131253791</c:v>
              </c:pt>
              <c:pt idx="8">
                <c:v>-1.5086554288199723</c:v>
              </c:pt>
              <c:pt idx="9">
                <c:v>-1.4538590016426736</c:v>
              </c:pt>
              <c:pt idx="10">
                <c:v>-1.4031103288021298</c:v>
              </c:pt>
              <c:pt idx="11">
                <c:v>-1.3557381963313866</c:v>
              </c:pt>
              <c:pt idx="12">
                <c:v>-1.3112271808003206</c:v>
              </c:pt>
              <c:pt idx="13">
                <c:v>-1.269172457559324</c:v>
              </c:pt>
              <c:pt idx="14">
                <c:v>-1.2292499609031462</c:v>
              </c:pt>
              <c:pt idx="15">
                <c:v>-1.1911960182089929</c:v>
              </c:pt>
              <c:pt idx="16">
                <c:v>-1.1547930533436743</c:v>
              </c:pt>
              <c:pt idx="17">
                <c:v>-1.1198593043168414</c:v>
              </c:pt>
              <c:pt idx="18">
                <c:v>-1.0862412702562496</c:v>
              </c:pt>
              <c:pt idx="19">
                <c:v>-1.0538080593349772</c:v>
              </c:pt>
              <c:pt idx="20">
                <c:v>-1.0224470891122484</c:v>
              </c:pt>
              <c:pt idx="21">
                <c:v>-0.99206076735168713</c:v>
              </c:pt>
              <c:pt idx="22">
                <c:v>-0.96256389575654266</c:v>
              </c:pt>
              <c:pt idx="23">
                <c:v>-0.93388161486624266</c:v>
              </c:pt>
              <c:pt idx="24">
                <c:v>-0.90594775965164942</c:v>
              </c:pt>
              <c:pt idx="25">
                <c:v>-0.87870353070900364</c:v>
              </c:pt>
              <c:pt idx="26">
                <c:v>-0.85209641074996312</c:v>
              </c:pt>
              <c:pt idx="27">
                <c:v>-0.82607927374516243</c:v>
              </c:pt>
              <c:pt idx="28">
                <c:v>-0.80060964683518954</c:v>
              </c:pt>
              <c:pt idx="29">
                <c:v>-0.77564909445822994</c:v>
              </c:pt>
              <c:pt idx="30">
                <c:v>-0.75116270105805993</c:v>
              </c:pt>
              <c:pt idx="31">
                <c:v>-0.72711863391436637</c:v>
              </c:pt>
              <c:pt idx="32">
                <c:v>-0.70348777155606745</c:v>
              </c:pt>
              <c:pt idx="33">
                <c:v>-0.68024338621206992</c:v>
              </c:pt>
              <c:pt idx="34">
                <c:v>-0.65736087106186036</c:v>
              </c:pt>
              <c:pt idx="35">
                <c:v>-0.63481750484239274</c:v>
              </c:pt>
              <c:pt idx="36">
                <c:v>-0.61259224777345078</c:v>
              </c:pt>
              <c:pt idx="37">
                <c:v>-0.59066556387310731</c:v>
              </c:pt>
              <c:pt idx="38">
                <c:v>-0.56901926561672789</c:v>
              </c:pt>
              <c:pt idx="39">
                <c:v>-0.54763637759838146</c:v>
              </c:pt>
              <c:pt idx="40">
                <c:v>-0.52650101642132652</c:v>
              </c:pt>
              <c:pt idx="41">
                <c:v>-0.5055982845039646</c:v>
              </c:pt>
              <c:pt idx="42">
                <c:v>-0.48491417586189661</c:v>
              </c:pt>
              <c:pt idx="43">
                <c:v>-0.46443549223297398</c:v>
              </c:pt>
              <c:pt idx="44">
                <c:v>-0.44414976816409463</c:v>
              </c:pt>
              <c:pt idx="45">
                <c:v>-0.42404520388658756</c:v>
              </c:pt>
              <c:pt idx="46">
                <c:v>-0.40411060497970364</c:v>
              </c:pt>
              <c:pt idx="47">
                <c:v>-0.38433532796565362</c:v>
              </c:pt>
              <c:pt idx="48">
                <c:v>-0.36470923110000675</c:v>
              </c:pt>
              <c:pt idx="49">
                <c:v>-0.34522262972237733</c:v>
              </c:pt>
              <c:pt idx="50">
                <c:v>-0.32586625561750387</c:v>
              </c:pt>
              <c:pt idx="51">
                <c:v>-0.30663121990884307</c:v>
              </c:pt>
              <c:pt idx="52">
                <c:v>-0.28750897906785555</c:v>
              </c:pt>
              <c:pt idx="53">
                <c:v>-0.26849130367407431</c:v>
              </c:pt>
              <c:pt idx="54">
                <c:v>-0.24957024960527571</c:v>
              </c:pt>
              <c:pt idx="55">
                <c:v>-0.23073813137485966</c:v>
              </c:pt>
              <c:pt idx="56">
                <c:v>-0.21198749736584974</c:v>
              </c:pt>
              <c:pt idx="57">
                <c:v>-0.19331110673860696</c:v>
              </c:pt>
              <c:pt idx="58">
                <c:v>-0.17470190781306269</c:v>
              </c:pt>
              <c:pt idx="59">
                <c:v>-0.15615301774660617</c:v>
              </c:pt>
              <c:pt idx="60">
                <c:v>-0.13765770334616576</c:v>
              </c:pt>
              <c:pt idx="61">
                <c:v>-0.11920936286789212</c:v>
              </c:pt>
              <c:pt idx="62">
                <c:v>-0.10080150867052502</c:v>
              </c:pt>
              <c:pt idx="63">
                <c:v>-8.2427750599248076E-2</c:v>
              </c:pt>
              <c:pt idx="64">
                <c:v>-6.4081779985855875E-2</c:v>
              </c:pt>
              <c:pt idx="65">
                <c:v>-4.5757354158539494E-2</c:v>
              </c:pt>
              <c:pt idx="66">
                <c:v>-2.7448281360703052E-2</c:v>
              </c:pt>
              <c:pt idx="67">
                <c:v>-9.1484059830602652E-3</c:v>
              </c:pt>
              <c:pt idx="68">
                <c:v>9.1484059830604057E-3</c:v>
              </c:pt>
              <c:pt idx="69">
                <c:v>2.7448281360703194E-2</c:v>
              </c:pt>
              <c:pt idx="70">
                <c:v>4.575735415853964E-2</c:v>
              </c:pt>
              <c:pt idx="71">
                <c:v>6.4081779985855875E-2</c:v>
              </c:pt>
              <c:pt idx="72">
                <c:v>8.2427750599248076E-2</c:v>
              </c:pt>
              <c:pt idx="73">
                <c:v>0.10080150867052502</c:v>
              </c:pt>
              <c:pt idx="74">
                <c:v>0.11920936286789212</c:v>
              </c:pt>
              <c:pt idx="75">
                <c:v>0.13765770334616576</c:v>
              </c:pt>
              <c:pt idx="76">
                <c:v>0.15615301774660617</c:v>
              </c:pt>
              <c:pt idx="77">
                <c:v>0.17470190781306255</c:v>
              </c:pt>
              <c:pt idx="78">
                <c:v>0.19331110673860685</c:v>
              </c:pt>
              <c:pt idx="79">
                <c:v>0.21198749736584957</c:v>
              </c:pt>
              <c:pt idx="80">
                <c:v>0.23073813137485977</c:v>
              </c:pt>
              <c:pt idx="81">
                <c:v>0.24957024960527588</c:v>
              </c:pt>
              <c:pt idx="82">
                <c:v>0.26849130367407442</c:v>
              </c:pt>
              <c:pt idx="83">
                <c:v>0.28750897906785572</c:v>
              </c:pt>
              <c:pt idx="84">
                <c:v>0.30663121990884307</c:v>
              </c:pt>
              <c:pt idx="85">
                <c:v>0.32586625561750387</c:v>
              </c:pt>
              <c:pt idx="86">
                <c:v>0.34522262972237733</c:v>
              </c:pt>
              <c:pt idx="87">
                <c:v>0.36470923110000675</c:v>
              </c:pt>
              <c:pt idx="88">
                <c:v>0.38433532796565362</c:v>
              </c:pt>
              <c:pt idx="89">
                <c:v>0.40411060497970364</c:v>
              </c:pt>
              <c:pt idx="90">
                <c:v>0.42404520388658723</c:v>
              </c:pt>
              <c:pt idx="91">
                <c:v>0.44414976816409452</c:v>
              </c:pt>
              <c:pt idx="92">
                <c:v>0.46443549223297381</c:v>
              </c:pt>
              <c:pt idx="93">
                <c:v>0.48491417586189683</c:v>
              </c:pt>
              <c:pt idx="94">
                <c:v>0.50559828450396482</c:v>
              </c:pt>
              <c:pt idx="95">
                <c:v>0.52650101642132674</c:v>
              </c:pt>
              <c:pt idx="96">
                <c:v>0.54763637759838146</c:v>
              </c:pt>
              <c:pt idx="97">
                <c:v>0.56901926561672789</c:v>
              </c:pt>
              <c:pt idx="98">
                <c:v>0.59066556387310731</c:v>
              </c:pt>
              <c:pt idx="99">
                <c:v>0.61259224777345078</c:v>
              </c:pt>
              <c:pt idx="100">
                <c:v>0.63481750484239274</c:v>
              </c:pt>
              <c:pt idx="101">
                <c:v>0.65736087106186036</c:v>
              </c:pt>
              <c:pt idx="102">
                <c:v>0.68024338621206992</c:v>
              </c:pt>
              <c:pt idx="103">
                <c:v>0.70348777155606745</c:v>
              </c:pt>
              <c:pt idx="104">
                <c:v>0.72711863391436626</c:v>
              </c:pt>
              <c:pt idx="105">
                <c:v>0.75116270105806004</c:v>
              </c:pt>
              <c:pt idx="106">
                <c:v>0.7756490944582306</c:v>
              </c:pt>
              <c:pt idx="107">
                <c:v>0.80060964683518954</c:v>
              </c:pt>
              <c:pt idx="108">
                <c:v>0.82607927374516243</c:v>
              </c:pt>
              <c:pt idx="109">
                <c:v>0.85209641074996312</c:v>
              </c:pt>
              <c:pt idx="110">
                <c:v>0.87870353070900364</c:v>
              </c:pt>
              <c:pt idx="111">
                <c:v>0.90594775965164942</c:v>
              </c:pt>
              <c:pt idx="112">
                <c:v>0.93388161486624266</c:v>
              </c:pt>
              <c:pt idx="113">
                <c:v>0.96256389575654266</c:v>
              </c:pt>
              <c:pt idx="114">
                <c:v>0.99206076735168713</c:v>
              </c:pt>
              <c:pt idx="115">
                <c:v>1.0224470891122484</c:v>
              </c:pt>
              <c:pt idx="116">
                <c:v>1.053808059334977</c:v>
              </c:pt>
              <c:pt idx="117">
                <c:v>1.0862412702562496</c:v>
              </c:pt>
              <c:pt idx="118">
                <c:v>1.1198593043168414</c:v>
              </c:pt>
              <c:pt idx="119">
                <c:v>1.1547930533436743</c:v>
              </c:pt>
              <c:pt idx="120">
                <c:v>1.1911960182089929</c:v>
              </c:pt>
              <c:pt idx="121">
                <c:v>1.2292499609031462</c:v>
              </c:pt>
              <c:pt idx="122">
                <c:v>1.269172457559324</c:v>
              </c:pt>
              <c:pt idx="123">
                <c:v>1.3112271808003206</c:v>
              </c:pt>
              <c:pt idx="124">
                <c:v>1.3557381963313866</c:v>
              </c:pt>
              <c:pt idx="125">
                <c:v>1.4031103288021298</c:v>
              </c:pt>
              <c:pt idx="126">
                <c:v>1.453859001642674</c:v>
              </c:pt>
              <c:pt idx="127">
                <c:v>1.5086554288199729</c:v>
              </c:pt>
              <c:pt idx="128">
                <c:v>1.5683978131253788</c:v>
              </c:pt>
              <c:pt idx="129">
                <c:v>1.6343290311739946</c:v>
              </c:pt>
              <c:pt idx="130">
                <c:v>1.7082431184356857</c:v>
              </c:pt>
              <c:pt idx="131">
                <c:v>1.7928763311641345</c:v>
              </c:pt>
              <c:pt idx="132">
                <c:v>1.8927271749816097</c:v>
              </c:pt>
              <c:pt idx="133">
                <c:v>2.0160416527263894</c:v>
              </c:pt>
              <c:pt idx="134">
                <c:v>2.1808153021682743</c:v>
              </c:pt>
              <c:pt idx="135">
                <c:v>2.4421880491253143</c:v>
              </c:pt>
            </c:numLit>
          </c:xVal>
          <c:yVal>
            <c:numLit>
              <c:formatCode>General</c:formatCode>
              <c:ptCount val="136"/>
              <c:pt idx="0">
                <c:v>-2.4421880491253143</c:v>
              </c:pt>
              <c:pt idx="1">
                <c:v>-2.1808153021682743</c:v>
              </c:pt>
              <c:pt idx="2">
                <c:v>-2.0160416527263889</c:v>
              </c:pt>
              <c:pt idx="3">
                <c:v>-1.8927271749816086</c:v>
              </c:pt>
              <c:pt idx="4">
                <c:v>-1.7928763311641345</c:v>
              </c:pt>
              <c:pt idx="5">
                <c:v>-1.7082431184356848</c:v>
              </c:pt>
              <c:pt idx="6">
                <c:v>-1.6343290311739951</c:v>
              </c:pt>
              <c:pt idx="7">
                <c:v>-1.5683978131253791</c:v>
              </c:pt>
              <c:pt idx="8">
                <c:v>-1.5086554288199723</c:v>
              </c:pt>
              <c:pt idx="9">
                <c:v>-1.4538590016426736</c:v>
              </c:pt>
              <c:pt idx="10">
                <c:v>-1.4031103288021298</c:v>
              </c:pt>
              <c:pt idx="11">
                <c:v>-1.3557381963313866</c:v>
              </c:pt>
              <c:pt idx="12">
                <c:v>-1.3112271808003206</c:v>
              </c:pt>
              <c:pt idx="13">
                <c:v>-1.269172457559324</c:v>
              </c:pt>
              <c:pt idx="14">
                <c:v>-1.2292499609031462</c:v>
              </c:pt>
              <c:pt idx="15">
                <c:v>-1.1911960182089929</c:v>
              </c:pt>
              <c:pt idx="16">
                <c:v>-1.1547930533436743</c:v>
              </c:pt>
              <c:pt idx="17">
                <c:v>-1.1198593043168414</c:v>
              </c:pt>
              <c:pt idx="18">
                <c:v>-1.0862412702562496</c:v>
              </c:pt>
              <c:pt idx="19">
                <c:v>-1.0538080593349772</c:v>
              </c:pt>
              <c:pt idx="20">
                <c:v>-1.0224470891122484</c:v>
              </c:pt>
              <c:pt idx="21">
                <c:v>-0.99206076735168713</c:v>
              </c:pt>
              <c:pt idx="22">
                <c:v>-0.96256389575654266</c:v>
              </c:pt>
              <c:pt idx="23">
                <c:v>-0.93388161486624266</c:v>
              </c:pt>
              <c:pt idx="24">
                <c:v>-0.90594775965164942</c:v>
              </c:pt>
              <c:pt idx="25">
                <c:v>-0.87870353070900364</c:v>
              </c:pt>
              <c:pt idx="26">
                <c:v>-0.85209641074996312</c:v>
              </c:pt>
              <c:pt idx="27">
                <c:v>-0.82607927374516243</c:v>
              </c:pt>
              <c:pt idx="28">
                <c:v>-0.80060964683518954</c:v>
              </c:pt>
              <c:pt idx="29">
                <c:v>-0.77564909445822994</c:v>
              </c:pt>
              <c:pt idx="30">
                <c:v>-0.75116270105805993</c:v>
              </c:pt>
              <c:pt idx="31">
                <c:v>-0.72711863391436637</c:v>
              </c:pt>
              <c:pt idx="32">
                <c:v>-0.70348777155606745</c:v>
              </c:pt>
              <c:pt idx="33">
                <c:v>-0.68024338621206992</c:v>
              </c:pt>
              <c:pt idx="34">
                <c:v>-0.65736087106186036</c:v>
              </c:pt>
              <c:pt idx="35">
                <c:v>-0.63481750484239274</c:v>
              </c:pt>
              <c:pt idx="36">
                <c:v>-0.61259224777345078</c:v>
              </c:pt>
              <c:pt idx="37">
                <c:v>-0.59066556387310731</c:v>
              </c:pt>
              <c:pt idx="38">
                <c:v>-0.56901926561672789</c:v>
              </c:pt>
              <c:pt idx="39">
                <c:v>-0.54763637759838146</c:v>
              </c:pt>
              <c:pt idx="40">
                <c:v>-0.52650101642132652</c:v>
              </c:pt>
              <c:pt idx="41">
                <c:v>-0.5055982845039646</c:v>
              </c:pt>
              <c:pt idx="42">
                <c:v>-0.48491417586189661</c:v>
              </c:pt>
              <c:pt idx="43">
                <c:v>-0.46443549223297398</c:v>
              </c:pt>
              <c:pt idx="44">
                <c:v>-0.44414976816409463</c:v>
              </c:pt>
              <c:pt idx="45">
                <c:v>-0.42404520388658756</c:v>
              </c:pt>
              <c:pt idx="46">
                <c:v>-0.40411060497970364</c:v>
              </c:pt>
              <c:pt idx="47">
                <c:v>-0.38433532796565362</c:v>
              </c:pt>
              <c:pt idx="48">
                <c:v>-0.36470923110000675</c:v>
              </c:pt>
              <c:pt idx="49">
                <c:v>-0.34522262972237733</c:v>
              </c:pt>
              <c:pt idx="50">
                <c:v>-0.32586625561750387</c:v>
              </c:pt>
              <c:pt idx="51">
                <c:v>-0.30663121990884307</c:v>
              </c:pt>
              <c:pt idx="52">
                <c:v>-0.28750897906785555</c:v>
              </c:pt>
              <c:pt idx="53">
                <c:v>-0.26849130367407431</c:v>
              </c:pt>
              <c:pt idx="54">
                <c:v>-0.24957024960527571</c:v>
              </c:pt>
              <c:pt idx="55">
                <c:v>-0.23073813137485966</c:v>
              </c:pt>
              <c:pt idx="56">
                <c:v>-0.21198749736584974</c:v>
              </c:pt>
              <c:pt idx="57">
                <c:v>-0.19331110673860696</c:v>
              </c:pt>
              <c:pt idx="58">
                <c:v>-0.17470190781306269</c:v>
              </c:pt>
              <c:pt idx="59">
                <c:v>-0.15615301774660617</c:v>
              </c:pt>
              <c:pt idx="60">
                <c:v>-0.13765770334616576</c:v>
              </c:pt>
              <c:pt idx="61">
                <c:v>-0.11920936286789212</c:v>
              </c:pt>
              <c:pt idx="62">
                <c:v>-0.10080150867052502</c:v>
              </c:pt>
              <c:pt idx="63">
                <c:v>-8.2427750599248076E-2</c:v>
              </c:pt>
              <c:pt idx="64">
                <c:v>-6.4081779985855875E-2</c:v>
              </c:pt>
              <c:pt idx="65">
                <c:v>-4.5757354158539494E-2</c:v>
              </c:pt>
              <c:pt idx="66">
                <c:v>-2.7448281360703052E-2</c:v>
              </c:pt>
              <c:pt idx="67">
                <c:v>-9.1484059830602652E-3</c:v>
              </c:pt>
              <c:pt idx="68">
                <c:v>9.1484059830604057E-3</c:v>
              </c:pt>
              <c:pt idx="69">
                <c:v>2.7448281360703194E-2</c:v>
              </c:pt>
              <c:pt idx="70">
                <c:v>4.575735415853964E-2</c:v>
              </c:pt>
              <c:pt idx="71">
                <c:v>6.4081779985855875E-2</c:v>
              </c:pt>
              <c:pt idx="72">
                <c:v>8.2427750599248076E-2</c:v>
              </c:pt>
              <c:pt idx="73">
                <c:v>0.10080150867052502</c:v>
              </c:pt>
              <c:pt idx="74">
                <c:v>0.11920936286789212</c:v>
              </c:pt>
              <c:pt idx="75">
                <c:v>0.13765770334616576</c:v>
              </c:pt>
              <c:pt idx="76">
                <c:v>0.15615301774660617</c:v>
              </c:pt>
              <c:pt idx="77">
                <c:v>0.17470190781306255</c:v>
              </c:pt>
              <c:pt idx="78">
                <c:v>0.19331110673860685</c:v>
              </c:pt>
              <c:pt idx="79">
                <c:v>0.21198749736584957</c:v>
              </c:pt>
              <c:pt idx="80">
                <c:v>0.23073813137485977</c:v>
              </c:pt>
              <c:pt idx="81">
                <c:v>0.24957024960527588</c:v>
              </c:pt>
              <c:pt idx="82">
                <c:v>0.26849130367407442</c:v>
              </c:pt>
              <c:pt idx="83">
                <c:v>0.28750897906785572</c:v>
              </c:pt>
              <c:pt idx="84">
                <c:v>0.30663121990884307</c:v>
              </c:pt>
              <c:pt idx="85">
                <c:v>0.32586625561750387</c:v>
              </c:pt>
              <c:pt idx="86">
                <c:v>0.34522262972237733</c:v>
              </c:pt>
              <c:pt idx="87">
                <c:v>0.36470923110000675</c:v>
              </c:pt>
              <c:pt idx="88">
                <c:v>0.38433532796565362</c:v>
              </c:pt>
              <c:pt idx="89">
                <c:v>0.40411060497970364</c:v>
              </c:pt>
              <c:pt idx="90">
                <c:v>0.42404520388658723</c:v>
              </c:pt>
              <c:pt idx="91">
                <c:v>0.44414976816409452</c:v>
              </c:pt>
              <c:pt idx="92">
                <c:v>0.46443549223297381</c:v>
              </c:pt>
              <c:pt idx="93">
                <c:v>0.48491417586189683</c:v>
              </c:pt>
              <c:pt idx="94">
                <c:v>0.50559828450396482</c:v>
              </c:pt>
              <c:pt idx="95">
                <c:v>0.52650101642132674</c:v>
              </c:pt>
              <c:pt idx="96">
                <c:v>0.54763637759838146</c:v>
              </c:pt>
              <c:pt idx="97">
                <c:v>0.56901926561672789</c:v>
              </c:pt>
              <c:pt idx="98">
                <c:v>0.59066556387310731</c:v>
              </c:pt>
              <c:pt idx="99">
                <c:v>0.61259224777345078</c:v>
              </c:pt>
              <c:pt idx="100">
                <c:v>0.63481750484239274</c:v>
              </c:pt>
              <c:pt idx="101">
                <c:v>0.65736087106186036</c:v>
              </c:pt>
              <c:pt idx="102">
                <c:v>0.68024338621206992</c:v>
              </c:pt>
              <c:pt idx="103">
                <c:v>0.70348777155606745</c:v>
              </c:pt>
              <c:pt idx="104">
                <c:v>0.72711863391436626</c:v>
              </c:pt>
              <c:pt idx="105">
                <c:v>0.75116270105806004</c:v>
              </c:pt>
              <c:pt idx="106">
                <c:v>0.7756490944582306</c:v>
              </c:pt>
              <c:pt idx="107">
                <c:v>0.80060964683518954</c:v>
              </c:pt>
              <c:pt idx="108">
                <c:v>0.82607927374516243</c:v>
              </c:pt>
              <c:pt idx="109">
                <c:v>0.85209641074996312</c:v>
              </c:pt>
              <c:pt idx="110">
                <c:v>0.87870353070900364</c:v>
              </c:pt>
              <c:pt idx="111">
                <c:v>0.90594775965164942</c:v>
              </c:pt>
              <c:pt idx="112">
                <c:v>0.93388161486624266</c:v>
              </c:pt>
              <c:pt idx="113">
                <c:v>0.96256389575654266</c:v>
              </c:pt>
              <c:pt idx="114">
                <c:v>0.99206076735168713</c:v>
              </c:pt>
              <c:pt idx="115">
                <c:v>1.0224470891122484</c:v>
              </c:pt>
              <c:pt idx="116">
                <c:v>1.053808059334977</c:v>
              </c:pt>
              <c:pt idx="117">
                <c:v>1.0862412702562496</c:v>
              </c:pt>
              <c:pt idx="118">
                <c:v>1.1198593043168414</c:v>
              </c:pt>
              <c:pt idx="119">
                <c:v>1.1547930533436743</c:v>
              </c:pt>
              <c:pt idx="120">
                <c:v>1.1911960182089929</c:v>
              </c:pt>
              <c:pt idx="121">
                <c:v>1.2292499609031462</c:v>
              </c:pt>
              <c:pt idx="122">
                <c:v>1.269172457559324</c:v>
              </c:pt>
              <c:pt idx="123">
                <c:v>1.3112271808003206</c:v>
              </c:pt>
              <c:pt idx="124">
                <c:v>1.3557381963313866</c:v>
              </c:pt>
              <c:pt idx="125">
                <c:v>1.4031103288021298</c:v>
              </c:pt>
              <c:pt idx="126">
                <c:v>1.453859001642674</c:v>
              </c:pt>
              <c:pt idx="127">
                <c:v>1.5086554288199729</c:v>
              </c:pt>
              <c:pt idx="128">
                <c:v>1.5683978131253788</c:v>
              </c:pt>
              <c:pt idx="129">
                <c:v>1.6343290311739946</c:v>
              </c:pt>
              <c:pt idx="130">
                <c:v>1.7082431184356857</c:v>
              </c:pt>
              <c:pt idx="131">
                <c:v>1.7928763311641345</c:v>
              </c:pt>
              <c:pt idx="132">
                <c:v>1.8927271749816097</c:v>
              </c:pt>
              <c:pt idx="133">
                <c:v>2.0160416527263894</c:v>
              </c:pt>
              <c:pt idx="134">
                <c:v>2.1808153021682743</c:v>
              </c:pt>
              <c:pt idx="135">
                <c:v>2.4421880491253143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93D-4F68-8E53-D3854C355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928224"/>
        <c:axId val="733928616"/>
      </c:scatterChart>
      <c:valAx>
        <c:axId val="733928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</a:t>
                </a:r>
                <a:r>
                  <a:rPr lang="en-US" sz="900"/>
                  <a:t>ormality test (A-D*):  P &lt; 0.001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crossAx val="733928616"/>
        <c:crosses val="autoZero"/>
        <c:crossBetween val="midCat"/>
        <c:majorUnit val="1"/>
      </c:valAx>
      <c:valAx>
        <c:axId val="7339286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33928224"/>
        <c:crossesAt val="-3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EBITDA_Margin
</a:t>
            </a:r>
            <a:r>
              <a:rPr lang="en-US" sz="1000"/>
              <a:t>Model 9 for EV    (6 variables, n=136)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36"/>
              <c:pt idx="0">
                <c:v>-7.7149426348448957E-2</c:v>
              </c:pt>
              <c:pt idx="1">
                <c:v>-4.3202941148065041E-2</c:v>
              </c:pt>
              <c:pt idx="2">
                <c:v>-4.0006784613153233E-2</c:v>
              </c:pt>
              <c:pt idx="3">
                <c:v>0.19263254750238168</c:v>
              </c:pt>
              <c:pt idx="4">
                <c:v>0.21546212246659341</c:v>
              </c:pt>
              <c:pt idx="5">
                <c:v>0.36045472818525676</c:v>
              </c:pt>
              <c:pt idx="6">
                <c:v>5.2352119966745631E-2</c:v>
              </c:pt>
              <c:pt idx="7">
                <c:v>0.2095776850470347</c:v>
              </c:pt>
              <c:pt idx="8">
                <c:v>-9.7116792431580154E-2</c:v>
              </c:pt>
              <c:pt idx="9">
                <c:v>-9.5939818062313938E-3</c:v>
              </c:pt>
              <c:pt idx="10">
                <c:v>-8.3431879773343209E-2</c:v>
              </c:pt>
              <c:pt idx="11">
                <c:v>-5.2773514104278572E-2</c:v>
              </c:pt>
              <c:pt idx="12">
                <c:v>0.14979331543244773</c:v>
              </c:pt>
              <c:pt idx="13">
                <c:v>0.18834804692223969</c:v>
              </c:pt>
              <c:pt idx="14">
                <c:v>-0.148054296892001</c:v>
              </c:pt>
              <c:pt idx="15">
                <c:v>-6.748499114904602E-2</c:v>
              </c:pt>
              <c:pt idx="16">
                <c:v>0.43761536213199226</c:v>
              </c:pt>
              <c:pt idx="17">
                <c:v>0.25324523902059848</c:v>
              </c:pt>
              <c:pt idx="18">
                <c:v>4.5932971932313299E-2</c:v>
              </c:pt>
              <c:pt idx="19">
                <c:v>4.9642175244845543E-2</c:v>
              </c:pt>
              <c:pt idx="20">
                <c:v>-0.29354885163447586</c:v>
              </c:pt>
              <c:pt idx="21">
                <c:v>-5.8508501807470879E-2</c:v>
              </c:pt>
              <c:pt idx="22">
                <c:v>-0.20314882317894153</c:v>
              </c:pt>
              <c:pt idx="23">
                <c:v>0.24663092218361932</c:v>
              </c:pt>
              <c:pt idx="24">
                <c:v>-4.4693393384950028E-2</c:v>
              </c:pt>
              <c:pt idx="25">
                <c:v>0.19488262938976889</c:v>
              </c:pt>
              <c:pt idx="26">
                <c:v>-6.6416225436546669E-2</c:v>
              </c:pt>
              <c:pt idx="27">
                <c:v>0.13823535382241892</c:v>
              </c:pt>
              <c:pt idx="28">
                <c:v>-0.18767712021459937</c:v>
              </c:pt>
              <c:pt idx="29">
                <c:v>0.34715525554484089</c:v>
              </c:pt>
              <c:pt idx="30">
                <c:v>0.25035919713763116</c:v>
              </c:pt>
              <c:pt idx="31">
                <c:v>0.1336569982156936</c:v>
              </c:pt>
              <c:pt idx="32">
                <c:v>-0.29694347402076365</c:v>
              </c:pt>
              <c:pt idx="33">
                <c:v>-3.383291636465665E-2</c:v>
              </c:pt>
              <c:pt idx="34">
                <c:v>0.50062601249283711</c:v>
              </c:pt>
              <c:pt idx="35">
                <c:v>0.30666060593348987</c:v>
              </c:pt>
              <c:pt idx="36">
                <c:v>-0.42935893194247121</c:v>
              </c:pt>
              <c:pt idx="37">
                <c:v>2.8356900667701995E-2</c:v>
              </c:pt>
              <c:pt idx="38">
                <c:v>0.25307575733177318</c:v>
              </c:pt>
              <c:pt idx="39">
                <c:v>3.0305247390167545E-2</c:v>
              </c:pt>
              <c:pt idx="40">
                <c:v>-0.15957917798215387</c:v>
              </c:pt>
              <c:pt idx="41">
                <c:v>0.31101734086808713</c:v>
              </c:pt>
              <c:pt idx="42">
                <c:v>0.11518518267148996</c:v>
              </c:pt>
              <c:pt idx="43">
                <c:v>-0.38988999968660876</c:v>
              </c:pt>
              <c:pt idx="44">
                <c:v>0.3204203799588089</c:v>
              </c:pt>
              <c:pt idx="45">
                <c:v>-1.4617596107773396</c:v>
              </c:pt>
              <c:pt idx="46">
                <c:v>6.1528731478135174E-2</c:v>
              </c:pt>
              <c:pt idx="47">
                <c:v>0.23790822653989252</c:v>
              </c:pt>
              <c:pt idx="48">
                <c:v>0.33725429140417862</c:v>
              </c:pt>
              <c:pt idx="49">
                <c:v>2.6946351966333371E-2</c:v>
              </c:pt>
              <c:pt idx="50">
                <c:v>0.1855197460953957</c:v>
              </c:pt>
              <c:pt idx="51">
                <c:v>-0.20080926173185265</c:v>
              </c:pt>
              <c:pt idx="52">
                <c:v>0.28234674777725782</c:v>
              </c:pt>
              <c:pt idx="53">
                <c:v>-0.1616257708135406</c:v>
              </c:pt>
              <c:pt idx="54">
                <c:v>4.7195455613744906E-2</c:v>
              </c:pt>
              <c:pt idx="55">
                <c:v>-0.32206534861783442</c:v>
              </c:pt>
              <c:pt idx="56">
                <c:v>0.1310568696990225</c:v>
              </c:pt>
              <c:pt idx="57">
                <c:v>-0.1280555922593665</c:v>
              </c:pt>
              <c:pt idx="58">
                <c:v>-0.13064671777998982</c:v>
              </c:pt>
              <c:pt idx="59">
                <c:v>4.2780837645805925E-2</c:v>
              </c:pt>
              <c:pt idx="60">
                <c:v>-0.52720814709237873</c:v>
              </c:pt>
              <c:pt idx="61">
                <c:v>-5.5513968374604379E-2</c:v>
              </c:pt>
              <c:pt idx="62">
                <c:v>2.0510319938192006E-2</c:v>
              </c:pt>
              <c:pt idx="63">
                <c:v>0.21141868003285524</c:v>
              </c:pt>
              <c:pt idx="64">
                <c:v>-0.21769450921622832</c:v>
              </c:pt>
              <c:pt idx="65">
                <c:v>0.3056673373574782</c:v>
              </c:pt>
              <c:pt idx="66">
                <c:v>0.35636412722889443</c:v>
              </c:pt>
              <c:pt idx="67">
                <c:v>0.2457844064778229</c:v>
              </c:pt>
              <c:pt idx="68">
                <c:v>4.1850597132395723E-2</c:v>
              </c:pt>
              <c:pt idx="69">
                <c:v>0.34477556473804827</c:v>
              </c:pt>
              <c:pt idx="70">
                <c:v>0.15434104903624257</c:v>
              </c:pt>
              <c:pt idx="71">
                <c:v>0.27209922755812105</c:v>
              </c:pt>
              <c:pt idx="72">
                <c:v>-0.5601978766236132</c:v>
              </c:pt>
              <c:pt idx="73">
                <c:v>0.13472280991789756</c:v>
              </c:pt>
              <c:pt idx="74">
                <c:v>0.41064697354113811</c:v>
              </c:pt>
              <c:pt idx="75">
                <c:v>9.3816454472644931E-2</c:v>
              </c:pt>
              <c:pt idx="76">
                <c:v>6.2447056988831899E-2</c:v>
              </c:pt>
              <c:pt idx="77">
                <c:v>-5.4009471058260393E-2</c:v>
              </c:pt>
              <c:pt idx="78">
                <c:v>0.11639635938702053</c:v>
              </c:pt>
              <c:pt idx="79">
                <c:v>-0.25936626435609172</c:v>
              </c:pt>
              <c:pt idx="80">
                <c:v>-8.3200956968570536E-2</c:v>
              </c:pt>
              <c:pt idx="81">
                <c:v>0.16492942904952795</c:v>
              </c:pt>
              <c:pt idx="82">
                <c:v>-5.8953862534937762E-3</c:v>
              </c:pt>
              <c:pt idx="83">
                <c:v>0.17174638575849141</c:v>
              </c:pt>
              <c:pt idx="84">
                <c:v>-0.19213684348227064</c:v>
              </c:pt>
              <c:pt idx="85">
                <c:v>-0.35956445966162343</c:v>
              </c:pt>
              <c:pt idx="86">
                <c:v>9.2239978466538378E-2</c:v>
              </c:pt>
              <c:pt idx="87">
                <c:v>0.35220537069472913</c:v>
              </c:pt>
              <c:pt idx="88">
                <c:v>-0.18292972351403164</c:v>
              </c:pt>
              <c:pt idx="89">
                <c:v>0.42810523144894064</c:v>
              </c:pt>
              <c:pt idx="90">
                <c:v>0.29743909980964922</c:v>
              </c:pt>
              <c:pt idx="91">
                <c:v>0.12320178424324617</c:v>
              </c:pt>
              <c:pt idx="92">
                <c:v>1.9566177541594419E-2</c:v>
              </c:pt>
              <c:pt idx="93">
                <c:v>-0.2867072605783651</c:v>
              </c:pt>
              <c:pt idx="94">
                <c:v>0.35425007028919331</c:v>
              </c:pt>
              <c:pt idx="95">
                <c:v>-3.7534647241411888E-2</c:v>
              </c:pt>
              <c:pt idx="96">
                <c:v>-0.24097986569870977</c:v>
              </c:pt>
              <c:pt idx="97">
                <c:v>0.1382021117066432</c:v>
              </c:pt>
              <c:pt idx="98">
                <c:v>-3.5297233748913803E-2</c:v>
              </c:pt>
              <c:pt idx="99">
                <c:v>2.0635727792309023E-2</c:v>
              </c:pt>
              <c:pt idx="100">
                <c:v>0.2628016411155828</c:v>
              </c:pt>
              <c:pt idx="101">
                <c:v>-0.21380507217218181</c:v>
              </c:pt>
              <c:pt idx="102">
                <c:v>0.19625825432557015</c:v>
              </c:pt>
              <c:pt idx="103">
                <c:v>0.19092963381018804</c:v>
              </c:pt>
              <c:pt idx="104">
                <c:v>3.4080313081651117E-3</c:v>
              </c:pt>
              <c:pt idx="105">
                <c:v>0.11068787166254691</c:v>
              </c:pt>
              <c:pt idx="106">
                <c:v>-6.6681664062389165E-2</c:v>
              </c:pt>
              <c:pt idx="107">
                <c:v>3.5092642393346273E-2</c:v>
              </c:pt>
              <c:pt idx="108">
                <c:v>2.6210494618110591E-2</c:v>
              </c:pt>
              <c:pt idx="109">
                <c:v>-4.8478571838612518E-2</c:v>
              </c:pt>
              <c:pt idx="110">
                <c:v>3.130244186444741E-2</c:v>
              </c:pt>
              <c:pt idx="111">
                <c:v>-0.40360259948046345</c:v>
              </c:pt>
              <c:pt idx="112">
                <c:v>-0.17765987856258086</c:v>
              </c:pt>
              <c:pt idx="113">
                <c:v>0.10634750760020978</c:v>
              </c:pt>
              <c:pt idx="114">
                <c:v>0.34420158714463439</c:v>
              </c:pt>
              <c:pt idx="115">
                <c:v>0.26434638491816864</c:v>
              </c:pt>
              <c:pt idx="116">
                <c:v>0.21514513898538351</c:v>
              </c:pt>
              <c:pt idx="117">
                <c:v>-0.12485180339031537</c:v>
              </c:pt>
              <c:pt idx="118">
                <c:v>-0.17408844944329543</c:v>
              </c:pt>
              <c:pt idx="119">
                <c:v>-0.19213006120590004</c:v>
              </c:pt>
              <c:pt idx="120">
                <c:v>0.10094083408446888</c:v>
              </c:pt>
              <c:pt idx="121">
                <c:v>0.16291078586997595</c:v>
              </c:pt>
              <c:pt idx="122">
                <c:v>-0.13976900967206404</c:v>
              </c:pt>
              <c:pt idx="123">
                <c:v>0.46475072954811325</c:v>
              </c:pt>
              <c:pt idx="124">
                <c:v>0.11049378006511108</c:v>
              </c:pt>
              <c:pt idx="125">
                <c:v>0.210594336516299</c:v>
              </c:pt>
              <c:pt idx="126">
                <c:v>-8.4031534503232599E-2</c:v>
              </c:pt>
              <c:pt idx="127">
                <c:v>0.24562399507193719</c:v>
              </c:pt>
              <c:pt idx="128">
                <c:v>0.29703554978150465</c:v>
              </c:pt>
              <c:pt idx="129">
                <c:v>-5.4056317346436011E-2</c:v>
              </c:pt>
              <c:pt idx="130">
                <c:v>-4.4409677493748537E-2</c:v>
              </c:pt>
              <c:pt idx="131">
                <c:v>-0.21606597921023002</c:v>
              </c:pt>
              <c:pt idx="132">
                <c:v>-0.34254040686400428</c:v>
              </c:pt>
              <c:pt idx="133">
                <c:v>-0.16941854797937722</c:v>
              </c:pt>
              <c:pt idx="134">
                <c:v>9.3039476783158506E-2</c:v>
              </c:pt>
              <c:pt idx="135">
                <c:v>-0.23658039850886703</c:v>
              </c:pt>
            </c:numLit>
          </c:xVal>
          <c:yVal>
            <c:numLit>
              <c:formatCode>General</c:formatCode>
              <c:ptCount val="136"/>
              <c:pt idx="0">
                <c:v>12425.663207525295</c:v>
              </c:pt>
              <c:pt idx="1">
                <c:v>-13371.762473682498</c:v>
              </c:pt>
              <c:pt idx="2">
                <c:v>-14781.977304862148</c:v>
              </c:pt>
              <c:pt idx="3">
                <c:v>-37448.772197139304</c:v>
              </c:pt>
              <c:pt idx="4">
                <c:v>-20693.231527622662</c:v>
              </c:pt>
              <c:pt idx="5">
                <c:v>86458.667197646122</c:v>
              </c:pt>
              <c:pt idx="6">
                <c:v>-13512.565415444358</c:v>
              </c:pt>
              <c:pt idx="7">
                <c:v>-14460.824151708552</c:v>
              </c:pt>
              <c:pt idx="8">
                <c:v>-11935.974514279678</c:v>
              </c:pt>
              <c:pt idx="9">
                <c:v>-1505.5839658984059</c:v>
              </c:pt>
              <c:pt idx="10">
                <c:v>14830.256465802737</c:v>
              </c:pt>
              <c:pt idx="11">
                <c:v>-7938.6799709128181</c:v>
              </c:pt>
              <c:pt idx="12">
                <c:v>-19206.179327226368</c:v>
              </c:pt>
              <c:pt idx="13">
                <c:v>-13816.201118848063</c:v>
              </c:pt>
              <c:pt idx="14">
                <c:v>2685.8023154129178</c:v>
              </c:pt>
              <c:pt idx="15">
                <c:v>-6952.3909049268095</c:v>
              </c:pt>
              <c:pt idx="16">
                <c:v>-29832.491106183377</c:v>
              </c:pt>
              <c:pt idx="17">
                <c:v>-35020.375986653278</c:v>
              </c:pt>
              <c:pt idx="18">
                <c:v>-1018.8298614003797</c:v>
              </c:pt>
              <c:pt idx="19">
                <c:v>-19486.852371700683</c:v>
              </c:pt>
              <c:pt idx="20">
                <c:v>8349.1014436418427</c:v>
              </c:pt>
              <c:pt idx="21">
                <c:v>13868.23954455169</c:v>
              </c:pt>
              <c:pt idx="22">
                <c:v>-7234.3612499359733</c:v>
              </c:pt>
              <c:pt idx="23">
                <c:v>-33444.330481777899</c:v>
              </c:pt>
              <c:pt idx="24">
                <c:v>-14020.446314317123</c:v>
              </c:pt>
              <c:pt idx="25">
                <c:v>-25111.370270814183</c:v>
              </c:pt>
              <c:pt idx="26">
                <c:v>-7226.4228147734211</c:v>
              </c:pt>
              <c:pt idx="27">
                <c:v>-22046.24538193077</c:v>
              </c:pt>
              <c:pt idx="28">
                <c:v>-6029.450292634825</c:v>
              </c:pt>
              <c:pt idx="29">
                <c:v>-15977.906266208993</c:v>
              </c:pt>
              <c:pt idx="30">
                <c:v>-18094.766064466421</c:v>
              </c:pt>
              <c:pt idx="31">
                <c:v>-25339.763012090531</c:v>
              </c:pt>
              <c:pt idx="32">
                <c:v>-5147.9152403280796</c:v>
              </c:pt>
              <c:pt idx="33">
                <c:v>-11679.605167415848</c:v>
              </c:pt>
              <c:pt idx="34">
                <c:v>-29284.737921987289</c:v>
              </c:pt>
              <c:pt idx="35">
                <c:v>-22521.654318522189</c:v>
              </c:pt>
              <c:pt idx="36">
                <c:v>-21351.269234476331</c:v>
              </c:pt>
              <c:pt idx="37">
                <c:v>-18770.736175329632</c:v>
              </c:pt>
              <c:pt idx="38">
                <c:v>21655.30644464853</c:v>
              </c:pt>
              <c:pt idx="39">
                <c:v>-18011.884280723305</c:v>
              </c:pt>
              <c:pt idx="40">
                <c:v>7683.1563956868122</c:v>
              </c:pt>
              <c:pt idx="41">
                <c:v>-5456.9968899294181</c:v>
              </c:pt>
              <c:pt idx="42">
                <c:v>-15189.718195931715</c:v>
              </c:pt>
              <c:pt idx="43">
                <c:v>6322.5203450781319</c:v>
              </c:pt>
              <c:pt idx="44">
                <c:v>-25362.503213367192</c:v>
              </c:pt>
              <c:pt idx="45">
                <c:v>41188.286167289531</c:v>
              </c:pt>
              <c:pt idx="46">
                <c:v>-18630.695947567539</c:v>
              </c:pt>
              <c:pt idx="47">
                <c:v>1497.0256008401157</c:v>
              </c:pt>
              <c:pt idx="48">
                <c:v>-15861.579918790687</c:v>
              </c:pt>
              <c:pt idx="49">
                <c:v>-17256.832029153986</c:v>
              </c:pt>
              <c:pt idx="50">
                <c:v>-17685.31742332879</c:v>
              </c:pt>
              <c:pt idx="51">
                <c:v>16162.791911505432</c:v>
              </c:pt>
              <c:pt idx="52">
                <c:v>-32166.335634475243</c:v>
              </c:pt>
              <c:pt idx="53">
                <c:v>-14122.582387272672</c:v>
              </c:pt>
              <c:pt idx="54">
                <c:v>-11901.982989881615</c:v>
              </c:pt>
              <c:pt idx="55">
                <c:v>15928.209021474097</c:v>
              </c:pt>
              <c:pt idx="56">
                <c:v>-15162.503848318111</c:v>
              </c:pt>
              <c:pt idx="57">
                <c:v>-7002.9376107516673</c:v>
              </c:pt>
              <c:pt idx="58">
                <c:v>18844.954388662569</c:v>
              </c:pt>
              <c:pt idx="59">
                <c:v>-9716.6888645399886</c:v>
              </c:pt>
              <c:pt idx="60">
                <c:v>21956.77142897046</c:v>
              </c:pt>
              <c:pt idx="61">
                <c:v>-95.22219416686039</c:v>
              </c:pt>
              <c:pt idx="62">
                <c:v>-13351.809917141101</c:v>
              </c:pt>
              <c:pt idx="63">
                <c:v>3361.131755732154</c:v>
              </c:pt>
              <c:pt idx="64">
                <c:v>5070.4453026648071</c:v>
              </c:pt>
              <c:pt idx="65">
                <c:v>18304.025124650689</c:v>
              </c:pt>
              <c:pt idx="66">
                <c:v>-26109.814362880716</c:v>
              </c:pt>
              <c:pt idx="67">
                <c:v>-24467.267338541802</c:v>
              </c:pt>
              <c:pt idx="68">
                <c:v>-13822.993284593329</c:v>
              </c:pt>
              <c:pt idx="69">
                <c:v>-42371.63552278842</c:v>
              </c:pt>
              <c:pt idx="70">
                <c:v>-23326.835517335108</c:v>
              </c:pt>
              <c:pt idx="71">
                <c:v>-20099.224492619593</c:v>
              </c:pt>
              <c:pt idx="72">
                <c:v>39504.12055277302</c:v>
              </c:pt>
              <c:pt idx="73">
                <c:v>-6747.010579945636</c:v>
              </c:pt>
              <c:pt idx="74">
                <c:v>711181.2614437656</c:v>
              </c:pt>
              <c:pt idx="75">
                <c:v>-9025.3871247696916</c:v>
              </c:pt>
              <c:pt idx="76">
                <c:v>-18691.517424215956</c:v>
              </c:pt>
              <c:pt idx="77">
                <c:v>3838.1787931996423</c:v>
              </c:pt>
              <c:pt idx="78">
                <c:v>676.77922286130411</c:v>
              </c:pt>
              <c:pt idx="79">
                <c:v>-1433.8561101544819</c:v>
              </c:pt>
              <c:pt idx="80">
                <c:v>-792.36678230290363</c:v>
              </c:pt>
              <c:pt idx="81">
                <c:v>-23819.619574794535</c:v>
              </c:pt>
              <c:pt idx="82">
                <c:v>-14781.740534028866</c:v>
              </c:pt>
              <c:pt idx="83">
                <c:v>-19952.756770449545</c:v>
              </c:pt>
              <c:pt idx="84">
                <c:v>-11007.061722040587</c:v>
              </c:pt>
              <c:pt idx="85">
                <c:v>25095.649573711882</c:v>
              </c:pt>
              <c:pt idx="86">
                <c:v>-8184.0307964628983</c:v>
              </c:pt>
              <c:pt idx="87">
                <c:v>-31381.772549721689</c:v>
              </c:pt>
              <c:pt idx="88">
                <c:v>10845.980833742256</c:v>
              </c:pt>
              <c:pt idx="89">
                <c:v>133594.42074069494</c:v>
              </c:pt>
              <c:pt idx="90">
                <c:v>-15545.843703169685</c:v>
              </c:pt>
              <c:pt idx="91">
                <c:v>-14559.754846935895</c:v>
              </c:pt>
              <c:pt idx="92">
                <c:v>-13423.211017236008</c:v>
              </c:pt>
              <c:pt idx="93">
                <c:v>2579.1485933999184</c:v>
              </c:pt>
              <c:pt idx="94">
                <c:v>-37908.298689921088</c:v>
              </c:pt>
              <c:pt idx="95">
                <c:v>-8090.8738674507231</c:v>
              </c:pt>
              <c:pt idx="96">
                <c:v>2398.5872138625082</c:v>
              </c:pt>
              <c:pt idx="97">
                <c:v>-11751.048180122794</c:v>
              </c:pt>
              <c:pt idx="98">
                <c:v>-3147.5123399572917</c:v>
              </c:pt>
              <c:pt idx="99">
                <c:v>-11103.716124715413</c:v>
              </c:pt>
              <c:pt idx="100">
                <c:v>-25783.367993906773</c:v>
              </c:pt>
              <c:pt idx="101">
                <c:v>1657.7373752314393</c:v>
              </c:pt>
              <c:pt idx="102">
                <c:v>-20131.2667339285</c:v>
              </c:pt>
              <c:pt idx="103">
                <c:v>-6957.3483007473478</c:v>
              </c:pt>
              <c:pt idx="104">
                <c:v>-3969.8354682050422</c:v>
              </c:pt>
              <c:pt idx="105">
                <c:v>80477.647002860729</c:v>
              </c:pt>
              <c:pt idx="106">
                <c:v>-8591.0850129125938</c:v>
              </c:pt>
              <c:pt idx="107">
                <c:v>1527.9074135467031</c:v>
              </c:pt>
              <c:pt idx="108">
                <c:v>16105.594597377158</c:v>
              </c:pt>
              <c:pt idx="109">
                <c:v>10974.245746971566</c:v>
              </c:pt>
              <c:pt idx="110">
                <c:v>-9527.1808168739117</c:v>
              </c:pt>
              <c:pt idx="111">
                <c:v>14356.861442284926</c:v>
              </c:pt>
              <c:pt idx="112">
                <c:v>12057.35462241709</c:v>
              </c:pt>
              <c:pt idx="113">
                <c:v>-14691.501281441106</c:v>
              </c:pt>
              <c:pt idx="114">
                <c:v>-21929.254124523042</c:v>
              </c:pt>
              <c:pt idx="115">
                <c:v>-26467.037994667946</c:v>
              </c:pt>
              <c:pt idx="116">
                <c:v>-13238.148822832793</c:v>
              </c:pt>
              <c:pt idx="117">
                <c:v>-1654.1345610088911</c:v>
              </c:pt>
              <c:pt idx="118">
                <c:v>11218.76672570735</c:v>
              </c:pt>
              <c:pt idx="119">
                <c:v>-3731.0882534859561</c:v>
              </c:pt>
              <c:pt idx="120">
                <c:v>-7140.7912323472137</c:v>
              </c:pt>
              <c:pt idx="121">
                <c:v>-4733.1834499898723</c:v>
              </c:pt>
              <c:pt idx="122">
                <c:v>13586.695316494817</c:v>
              </c:pt>
              <c:pt idx="123">
                <c:v>-59745.866131808631</c:v>
              </c:pt>
              <c:pt idx="124">
                <c:v>-9352.1617617107458</c:v>
              </c:pt>
              <c:pt idx="125">
                <c:v>-12826.777809027564</c:v>
              </c:pt>
              <c:pt idx="126">
                <c:v>-1808.1341652045123</c:v>
              </c:pt>
              <c:pt idx="127">
                <c:v>-10920.573789642034</c:v>
              </c:pt>
              <c:pt idx="128">
                <c:v>17772.064709309801</c:v>
              </c:pt>
              <c:pt idx="129">
                <c:v>-1660.2592153722344</c:v>
              </c:pt>
              <c:pt idx="130">
                <c:v>13483.994099229474</c:v>
              </c:pt>
              <c:pt idx="131">
                <c:v>11355.382755503701</c:v>
              </c:pt>
              <c:pt idx="132">
                <c:v>18134.404017827172</c:v>
              </c:pt>
              <c:pt idx="133">
                <c:v>7609.5096269040032</c:v>
              </c:pt>
              <c:pt idx="134">
                <c:v>-17403.184795134843</c:v>
              </c:pt>
              <c:pt idx="135">
                <c:v>-1578.0517586977385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16FA-4DC0-80D7-C10A50065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929400"/>
        <c:axId val="733929792"/>
      </c:scatterChart>
      <c:valAx>
        <c:axId val="733929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EBITDA_Margin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929792"/>
        <c:crossesAt val="-200000"/>
        <c:crossBetween val="midCat"/>
      </c:valAx>
      <c:valAx>
        <c:axId val="73392979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929400"/>
        <c:crossesAt val="-2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GP_Margin
</a:t>
            </a:r>
            <a:r>
              <a:rPr lang="en-US" sz="1000"/>
              <a:t>Model 9 for EV    (6 variables, n=136)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36"/>
              <c:pt idx="0">
                <c:v>0.83004221347896434</c:v>
              </c:pt>
              <c:pt idx="1">
                <c:v>0.75537864054497039</c:v>
              </c:pt>
              <c:pt idx="2">
                <c:v>0.77716878910365639</c:v>
              </c:pt>
              <c:pt idx="3">
                <c:v>0.85231386595492098</c:v>
              </c:pt>
              <c:pt idx="4">
                <c:v>0.55141779914388933</c:v>
              </c:pt>
              <c:pt idx="5">
                <c:v>0.8709037817895926</c:v>
              </c:pt>
              <c:pt idx="6">
                <c:v>0.51478408726353231</c:v>
              </c:pt>
              <c:pt idx="7">
                <c:v>0.66866135379671465</c:v>
              </c:pt>
              <c:pt idx="8">
                <c:v>0.68128167371624215</c:v>
              </c:pt>
              <c:pt idx="9">
                <c:v>0.69230493276187233</c:v>
              </c:pt>
              <c:pt idx="10">
                <c:v>0.86476966442513215</c:v>
              </c:pt>
              <c:pt idx="11">
                <c:v>0.54081939028252479</c:v>
              </c:pt>
              <c:pt idx="12">
                <c:v>0.5408246156655846</c:v>
              </c:pt>
              <c:pt idx="13">
                <c:v>0.6194763558189732</c:v>
              </c:pt>
              <c:pt idx="14">
                <c:v>0.62332135603532324</c:v>
              </c:pt>
              <c:pt idx="15">
                <c:v>0.69293761861751924</c:v>
              </c:pt>
              <c:pt idx="16">
                <c:v>0.89861346901551586</c:v>
              </c:pt>
              <c:pt idx="17">
                <c:v>0.54170228592672098</c:v>
              </c:pt>
              <c:pt idx="18">
                <c:v>0.81234907806795387</c:v>
              </c:pt>
              <c:pt idx="19">
                <c:v>0.85252949591562377</c:v>
              </c:pt>
              <c:pt idx="20">
                <c:v>0.25056812394409728</c:v>
              </c:pt>
              <c:pt idx="21">
                <c:v>0.87182577145691786</c:v>
              </c:pt>
              <c:pt idx="22">
                <c:v>0.72801054611815585</c:v>
              </c:pt>
              <c:pt idx="23">
                <c:v>0.69782487363062351</c:v>
              </c:pt>
              <c:pt idx="24">
                <c:v>0.50090814362927738</c:v>
              </c:pt>
              <c:pt idx="25">
                <c:v>0.55351752109061769</c:v>
              </c:pt>
              <c:pt idx="26">
                <c:v>0.77642204217040689</c:v>
              </c:pt>
              <c:pt idx="27">
                <c:v>0.56069079800967758</c:v>
              </c:pt>
              <c:pt idx="28">
                <c:v>0.72702756269789404</c:v>
              </c:pt>
              <c:pt idx="29">
                <c:v>0.85486981677917073</c:v>
              </c:pt>
              <c:pt idx="30">
                <c:v>0.88264760994686642</c:v>
              </c:pt>
              <c:pt idx="31">
                <c:v>0.71521263015639036</c:v>
              </c:pt>
              <c:pt idx="32">
                <c:v>0.78003135531497281</c:v>
              </c:pt>
              <c:pt idx="33">
                <c:v>0.79022188481056888</c:v>
              </c:pt>
              <c:pt idx="34">
                <c:v>0.89545407388358411</c:v>
              </c:pt>
              <c:pt idx="35">
                <c:v>0.84702230782544607</c:v>
              </c:pt>
              <c:pt idx="36">
                <c:v>0.68025418110004043</c:v>
              </c:pt>
              <c:pt idx="37">
                <c:v>0.85330143641298495</c:v>
              </c:pt>
              <c:pt idx="38">
                <c:v>0.88006613303762016</c:v>
              </c:pt>
              <c:pt idx="39">
                <c:v>0.71700598229941115</c:v>
              </c:pt>
              <c:pt idx="40">
                <c:v>0.68860084305431146</c:v>
              </c:pt>
              <c:pt idx="41">
                <c:v>0.94920005481524361</c:v>
              </c:pt>
              <c:pt idx="42">
                <c:v>0.84533496607909919</c:v>
              </c:pt>
              <c:pt idx="43">
                <c:v>0.59622677011593583</c:v>
              </c:pt>
              <c:pt idx="44">
                <c:v>0.72852385657525642</c:v>
              </c:pt>
              <c:pt idx="45">
                <c:v>0.58609155578489558</c:v>
              </c:pt>
              <c:pt idx="46">
                <c:v>0.66669678352005779</c:v>
              </c:pt>
              <c:pt idx="47">
                <c:v>0.72405952873088053</c:v>
              </c:pt>
              <c:pt idx="48">
                <c:v>0.63627342087059102</c:v>
              </c:pt>
              <c:pt idx="49">
                <c:v>0.63566967234935934</c:v>
              </c:pt>
              <c:pt idx="50">
                <c:v>0.59195940671389624</c:v>
              </c:pt>
              <c:pt idx="51">
                <c:v>0.69223629840944378</c:v>
              </c:pt>
              <c:pt idx="52">
                <c:v>0.70484323193662135</c:v>
              </c:pt>
              <c:pt idx="53">
                <c:v>0.65626694351170867</c:v>
              </c:pt>
              <c:pt idx="54">
                <c:v>0.59036668010725346</c:v>
              </c:pt>
              <c:pt idx="55">
                <c:v>0.75474664005567371</c:v>
              </c:pt>
              <c:pt idx="56">
                <c:v>0.74903642068615961</c:v>
              </c:pt>
              <c:pt idx="57">
                <c:v>0.54085333932219193</c:v>
              </c:pt>
              <c:pt idx="58">
                <c:v>0.8503453377377399</c:v>
              </c:pt>
              <c:pt idx="59">
                <c:v>0.55116954899297743</c:v>
              </c:pt>
              <c:pt idx="60">
                <c:v>0.71251830040758768</c:v>
              </c:pt>
              <c:pt idx="61">
                <c:v>0.80223336455862504</c:v>
              </c:pt>
              <c:pt idx="62">
                <c:v>0.79773963771628198</c:v>
              </c:pt>
              <c:pt idx="63">
                <c:v>0.68894832236776027</c:v>
              </c:pt>
              <c:pt idx="64">
                <c:v>0.70595174026734853</c:v>
              </c:pt>
              <c:pt idx="65">
                <c:v>0.83702213279678073</c:v>
              </c:pt>
              <c:pt idx="66">
                <c:v>0.84096872684757851</c:v>
              </c:pt>
              <c:pt idx="67">
                <c:v>0.70751016911802767</c:v>
              </c:pt>
              <c:pt idx="68">
                <c:v>0.74643259270702</c:v>
              </c:pt>
              <c:pt idx="69">
                <c:v>0.78162312134613177</c:v>
              </c:pt>
              <c:pt idx="70">
                <c:v>0.32237014296227734</c:v>
              </c:pt>
              <c:pt idx="71">
                <c:v>0.57631465170524854</c:v>
              </c:pt>
              <c:pt idx="72">
                <c:v>0.72058509256244452</c:v>
              </c:pt>
              <c:pt idx="73">
                <c:v>0.75606256595479848</c:v>
              </c:pt>
              <c:pt idx="74">
                <c:v>0.65247372236317502</c:v>
              </c:pt>
              <c:pt idx="75">
                <c:v>0.803981239901987</c:v>
              </c:pt>
              <c:pt idx="76">
                <c:v>0.73267809586697963</c:v>
              </c:pt>
              <c:pt idx="77">
                <c:v>0.70741808526214944</c:v>
              </c:pt>
              <c:pt idx="78">
                <c:v>0.87099917488234413</c:v>
              </c:pt>
              <c:pt idx="79">
                <c:v>0.83011981789181555</c:v>
              </c:pt>
              <c:pt idx="80">
                <c:v>0.58941031848887282</c:v>
              </c:pt>
              <c:pt idx="81">
                <c:v>0.8117360266383209</c:v>
              </c:pt>
              <c:pt idx="82">
                <c:v>0.83089453283393444</c:v>
              </c:pt>
              <c:pt idx="83">
                <c:v>0.56401542074891919</c:v>
              </c:pt>
              <c:pt idx="84">
                <c:v>0.66590708286343891</c:v>
              </c:pt>
              <c:pt idx="85">
                <c:v>0.70405158039363003</c:v>
              </c:pt>
              <c:pt idx="86">
                <c:v>0.71395387976494418</c:v>
              </c:pt>
              <c:pt idx="87">
                <c:v>0.66204989520726754</c:v>
              </c:pt>
              <c:pt idx="88">
                <c:v>0.56622606522251473</c:v>
              </c:pt>
              <c:pt idx="89">
                <c:v>0.79669143488302041</c:v>
              </c:pt>
              <c:pt idx="90">
                <c:v>0.83627025868933325</c:v>
              </c:pt>
              <c:pt idx="91">
                <c:v>0.60480442215913743</c:v>
              </c:pt>
              <c:pt idx="92">
                <c:v>0.65566369754343934</c:v>
              </c:pt>
              <c:pt idx="93">
                <c:v>0.55167283034571557</c:v>
              </c:pt>
              <c:pt idx="94">
                <c:v>0.83030820149922224</c:v>
              </c:pt>
              <c:pt idx="95">
                <c:v>0.71608316536046746</c:v>
              </c:pt>
              <c:pt idx="96">
                <c:v>0.59635545611995044</c:v>
              </c:pt>
              <c:pt idx="97">
                <c:v>0.73217241692812174</c:v>
              </c:pt>
              <c:pt idx="98">
                <c:v>0.49505345881129004</c:v>
              </c:pt>
              <c:pt idx="99">
                <c:v>0.51473002068741491</c:v>
              </c:pt>
              <c:pt idx="100">
                <c:v>0.76791838483736197</c:v>
              </c:pt>
              <c:pt idx="101">
                <c:v>0.70365447448971064</c:v>
              </c:pt>
              <c:pt idx="102">
                <c:v>0.60719161055548021</c:v>
              </c:pt>
              <c:pt idx="103">
                <c:v>0.85236806652495634</c:v>
              </c:pt>
              <c:pt idx="104">
                <c:v>0.762424464362504</c:v>
              </c:pt>
              <c:pt idx="105">
                <c:v>0.74036718925317502</c:v>
              </c:pt>
              <c:pt idx="106">
                <c:v>0.51518485568527572</c:v>
              </c:pt>
              <c:pt idx="107">
                <c:v>0.74233956395664935</c:v>
              </c:pt>
              <c:pt idx="108">
                <c:v>0.75349984737580866</c:v>
              </c:pt>
              <c:pt idx="109">
                <c:v>0.56464883488461426</c:v>
              </c:pt>
              <c:pt idx="110">
                <c:v>0.54570361240958798</c:v>
              </c:pt>
              <c:pt idx="111">
                <c:v>0.80511087341464949</c:v>
              </c:pt>
              <c:pt idx="112">
                <c:v>0.79280240098719257</c:v>
              </c:pt>
              <c:pt idx="113">
                <c:v>0.666298567071818</c:v>
              </c:pt>
              <c:pt idx="114">
                <c:v>0.4120739852790079</c:v>
              </c:pt>
              <c:pt idx="115">
                <c:v>0.78785995442303713</c:v>
              </c:pt>
              <c:pt idx="116">
                <c:v>0.76438323562474364</c:v>
              </c:pt>
              <c:pt idx="117">
                <c:v>0.87117950854779347</c:v>
              </c:pt>
              <c:pt idx="118">
                <c:v>0.76684702958527584</c:v>
              </c:pt>
              <c:pt idx="119">
                <c:v>0.86369568575644429</c:v>
              </c:pt>
              <c:pt idx="120">
                <c:v>0.3100982094023409</c:v>
              </c:pt>
              <c:pt idx="121">
                <c:v>0.52622289206330197</c:v>
              </c:pt>
              <c:pt idx="122">
                <c:v>0.5315153933100274</c:v>
              </c:pt>
              <c:pt idx="123">
                <c:v>0.82861537193777279</c:v>
              </c:pt>
              <c:pt idx="124">
                <c:v>0.62616458462270208</c:v>
              </c:pt>
              <c:pt idx="125">
                <c:v>0.66982218315619402</c:v>
              </c:pt>
              <c:pt idx="126">
                <c:v>0.90019708259201003</c:v>
              </c:pt>
              <c:pt idx="127">
                <c:v>0.69785207155645024</c:v>
              </c:pt>
              <c:pt idx="128">
                <c:v>0.8603991968820125</c:v>
              </c:pt>
              <c:pt idx="129">
                <c:v>0.81491501857683057</c:v>
              </c:pt>
              <c:pt idx="130">
                <c:v>0.70649098895806062</c:v>
              </c:pt>
              <c:pt idx="131">
                <c:v>0.71389566349394595</c:v>
              </c:pt>
              <c:pt idx="132">
                <c:v>0.74437778330125193</c:v>
              </c:pt>
              <c:pt idx="133">
                <c:v>0.70098153174246813</c:v>
              </c:pt>
              <c:pt idx="134">
                <c:v>0.69071462825322683</c:v>
              </c:pt>
              <c:pt idx="135">
                <c:v>0.52415945118683227</c:v>
              </c:pt>
            </c:numLit>
          </c:xVal>
          <c:yVal>
            <c:numLit>
              <c:formatCode>General</c:formatCode>
              <c:ptCount val="136"/>
              <c:pt idx="0">
                <c:v>12425.663207525295</c:v>
              </c:pt>
              <c:pt idx="1">
                <c:v>-13371.762473682498</c:v>
              </c:pt>
              <c:pt idx="2">
                <c:v>-14781.977304862148</c:v>
              </c:pt>
              <c:pt idx="3">
                <c:v>-37448.772197139304</c:v>
              </c:pt>
              <c:pt idx="4">
                <c:v>-20693.231527622662</c:v>
              </c:pt>
              <c:pt idx="5">
                <c:v>86458.667197646122</c:v>
              </c:pt>
              <c:pt idx="6">
                <c:v>-13512.565415444358</c:v>
              </c:pt>
              <c:pt idx="7">
                <c:v>-14460.824151708552</c:v>
              </c:pt>
              <c:pt idx="8">
                <c:v>-11935.974514279678</c:v>
              </c:pt>
              <c:pt idx="9">
                <c:v>-1505.5839658984059</c:v>
              </c:pt>
              <c:pt idx="10">
                <c:v>14830.256465802737</c:v>
              </c:pt>
              <c:pt idx="11">
                <c:v>-7938.6799709128181</c:v>
              </c:pt>
              <c:pt idx="12">
                <c:v>-19206.179327226368</c:v>
              </c:pt>
              <c:pt idx="13">
                <c:v>-13816.201118848063</c:v>
              </c:pt>
              <c:pt idx="14">
                <c:v>2685.8023154129178</c:v>
              </c:pt>
              <c:pt idx="15">
                <c:v>-6952.3909049268095</c:v>
              </c:pt>
              <c:pt idx="16">
                <c:v>-29832.491106183377</c:v>
              </c:pt>
              <c:pt idx="17">
                <c:v>-35020.375986653278</c:v>
              </c:pt>
              <c:pt idx="18">
                <c:v>-1018.8298614003797</c:v>
              </c:pt>
              <c:pt idx="19">
                <c:v>-19486.852371700683</c:v>
              </c:pt>
              <c:pt idx="20">
                <c:v>8349.1014436418427</c:v>
              </c:pt>
              <c:pt idx="21">
                <c:v>13868.23954455169</c:v>
              </c:pt>
              <c:pt idx="22">
                <c:v>-7234.3612499359733</c:v>
              </c:pt>
              <c:pt idx="23">
                <c:v>-33444.330481777899</c:v>
              </c:pt>
              <c:pt idx="24">
                <c:v>-14020.446314317123</c:v>
              </c:pt>
              <c:pt idx="25">
                <c:v>-25111.370270814183</c:v>
              </c:pt>
              <c:pt idx="26">
                <c:v>-7226.4228147734211</c:v>
              </c:pt>
              <c:pt idx="27">
                <c:v>-22046.24538193077</c:v>
              </c:pt>
              <c:pt idx="28">
                <c:v>-6029.450292634825</c:v>
              </c:pt>
              <c:pt idx="29">
                <c:v>-15977.906266208993</c:v>
              </c:pt>
              <c:pt idx="30">
                <c:v>-18094.766064466421</c:v>
              </c:pt>
              <c:pt idx="31">
                <c:v>-25339.763012090531</c:v>
              </c:pt>
              <c:pt idx="32">
                <c:v>-5147.9152403280796</c:v>
              </c:pt>
              <c:pt idx="33">
                <c:v>-11679.605167415848</c:v>
              </c:pt>
              <c:pt idx="34">
                <c:v>-29284.737921987289</c:v>
              </c:pt>
              <c:pt idx="35">
                <c:v>-22521.654318522189</c:v>
              </c:pt>
              <c:pt idx="36">
                <c:v>-21351.269234476331</c:v>
              </c:pt>
              <c:pt idx="37">
                <c:v>-18770.736175329632</c:v>
              </c:pt>
              <c:pt idx="38">
                <c:v>21655.30644464853</c:v>
              </c:pt>
              <c:pt idx="39">
                <c:v>-18011.884280723305</c:v>
              </c:pt>
              <c:pt idx="40">
                <c:v>7683.1563956868122</c:v>
              </c:pt>
              <c:pt idx="41">
                <c:v>-5456.9968899294181</c:v>
              </c:pt>
              <c:pt idx="42">
                <c:v>-15189.718195931715</c:v>
              </c:pt>
              <c:pt idx="43">
                <c:v>6322.5203450781319</c:v>
              </c:pt>
              <c:pt idx="44">
                <c:v>-25362.503213367192</c:v>
              </c:pt>
              <c:pt idx="45">
                <c:v>41188.286167289531</c:v>
              </c:pt>
              <c:pt idx="46">
                <c:v>-18630.695947567539</c:v>
              </c:pt>
              <c:pt idx="47">
                <c:v>1497.0256008401157</c:v>
              </c:pt>
              <c:pt idx="48">
                <c:v>-15861.579918790687</c:v>
              </c:pt>
              <c:pt idx="49">
                <c:v>-17256.832029153986</c:v>
              </c:pt>
              <c:pt idx="50">
                <c:v>-17685.31742332879</c:v>
              </c:pt>
              <c:pt idx="51">
                <c:v>16162.791911505432</c:v>
              </c:pt>
              <c:pt idx="52">
                <c:v>-32166.335634475243</c:v>
              </c:pt>
              <c:pt idx="53">
                <c:v>-14122.582387272672</c:v>
              </c:pt>
              <c:pt idx="54">
                <c:v>-11901.982989881615</c:v>
              </c:pt>
              <c:pt idx="55">
                <c:v>15928.209021474097</c:v>
              </c:pt>
              <c:pt idx="56">
                <c:v>-15162.503848318111</c:v>
              </c:pt>
              <c:pt idx="57">
                <c:v>-7002.9376107516673</c:v>
              </c:pt>
              <c:pt idx="58">
                <c:v>18844.954388662569</c:v>
              </c:pt>
              <c:pt idx="59">
                <c:v>-9716.6888645399886</c:v>
              </c:pt>
              <c:pt idx="60">
                <c:v>21956.77142897046</c:v>
              </c:pt>
              <c:pt idx="61">
                <c:v>-95.22219416686039</c:v>
              </c:pt>
              <c:pt idx="62">
                <c:v>-13351.809917141101</c:v>
              </c:pt>
              <c:pt idx="63">
                <c:v>3361.131755732154</c:v>
              </c:pt>
              <c:pt idx="64">
                <c:v>5070.4453026648071</c:v>
              </c:pt>
              <c:pt idx="65">
                <c:v>18304.025124650689</c:v>
              </c:pt>
              <c:pt idx="66">
                <c:v>-26109.814362880716</c:v>
              </c:pt>
              <c:pt idx="67">
                <c:v>-24467.267338541802</c:v>
              </c:pt>
              <c:pt idx="68">
                <c:v>-13822.993284593329</c:v>
              </c:pt>
              <c:pt idx="69">
                <c:v>-42371.63552278842</c:v>
              </c:pt>
              <c:pt idx="70">
                <c:v>-23326.835517335108</c:v>
              </c:pt>
              <c:pt idx="71">
                <c:v>-20099.224492619593</c:v>
              </c:pt>
              <c:pt idx="72">
                <c:v>39504.12055277302</c:v>
              </c:pt>
              <c:pt idx="73">
                <c:v>-6747.010579945636</c:v>
              </c:pt>
              <c:pt idx="74">
                <c:v>711181.2614437656</c:v>
              </c:pt>
              <c:pt idx="75">
                <c:v>-9025.3871247696916</c:v>
              </c:pt>
              <c:pt idx="76">
                <c:v>-18691.517424215956</c:v>
              </c:pt>
              <c:pt idx="77">
                <c:v>3838.1787931996423</c:v>
              </c:pt>
              <c:pt idx="78">
                <c:v>676.77922286130411</c:v>
              </c:pt>
              <c:pt idx="79">
                <c:v>-1433.8561101544819</c:v>
              </c:pt>
              <c:pt idx="80">
                <c:v>-792.36678230290363</c:v>
              </c:pt>
              <c:pt idx="81">
                <c:v>-23819.619574794535</c:v>
              </c:pt>
              <c:pt idx="82">
                <c:v>-14781.740534028866</c:v>
              </c:pt>
              <c:pt idx="83">
                <c:v>-19952.756770449545</c:v>
              </c:pt>
              <c:pt idx="84">
                <c:v>-11007.061722040587</c:v>
              </c:pt>
              <c:pt idx="85">
                <c:v>25095.649573711882</c:v>
              </c:pt>
              <c:pt idx="86">
                <c:v>-8184.0307964628983</c:v>
              </c:pt>
              <c:pt idx="87">
                <c:v>-31381.772549721689</c:v>
              </c:pt>
              <c:pt idx="88">
                <c:v>10845.980833742256</c:v>
              </c:pt>
              <c:pt idx="89">
                <c:v>133594.42074069494</c:v>
              </c:pt>
              <c:pt idx="90">
                <c:v>-15545.843703169685</c:v>
              </c:pt>
              <c:pt idx="91">
                <c:v>-14559.754846935895</c:v>
              </c:pt>
              <c:pt idx="92">
                <c:v>-13423.211017236008</c:v>
              </c:pt>
              <c:pt idx="93">
                <c:v>2579.1485933999184</c:v>
              </c:pt>
              <c:pt idx="94">
                <c:v>-37908.298689921088</c:v>
              </c:pt>
              <c:pt idx="95">
                <c:v>-8090.8738674507231</c:v>
              </c:pt>
              <c:pt idx="96">
                <c:v>2398.5872138625082</c:v>
              </c:pt>
              <c:pt idx="97">
                <c:v>-11751.048180122794</c:v>
              </c:pt>
              <c:pt idx="98">
                <c:v>-3147.5123399572917</c:v>
              </c:pt>
              <c:pt idx="99">
                <c:v>-11103.716124715413</c:v>
              </c:pt>
              <c:pt idx="100">
                <c:v>-25783.367993906773</c:v>
              </c:pt>
              <c:pt idx="101">
                <c:v>1657.7373752314393</c:v>
              </c:pt>
              <c:pt idx="102">
                <c:v>-20131.2667339285</c:v>
              </c:pt>
              <c:pt idx="103">
                <c:v>-6957.3483007473478</c:v>
              </c:pt>
              <c:pt idx="104">
                <c:v>-3969.8354682050422</c:v>
              </c:pt>
              <c:pt idx="105">
                <c:v>80477.647002860729</c:v>
              </c:pt>
              <c:pt idx="106">
                <c:v>-8591.0850129125938</c:v>
              </c:pt>
              <c:pt idx="107">
                <c:v>1527.9074135467031</c:v>
              </c:pt>
              <c:pt idx="108">
                <c:v>16105.594597377158</c:v>
              </c:pt>
              <c:pt idx="109">
                <c:v>10974.245746971566</c:v>
              </c:pt>
              <c:pt idx="110">
                <c:v>-9527.1808168739117</c:v>
              </c:pt>
              <c:pt idx="111">
                <c:v>14356.861442284926</c:v>
              </c:pt>
              <c:pt idx="112">
                <c:v>12057.35462241709</c:v>
              </c:pt>
              <c:pt idx="113">
                <c:v>-14691.501281441106</c:v>
              </c:pt>
              <c:pt idx="114">
                <c:v>-21929.254124523042</c:v>
              </c:pt>
              <c:pt idx="115">
                <c:v>-26467.037994667946</c:v>
              </c:pt>
              <c:pt idx="116">
                <c:v>-13238.148822832793</c:v>
              </c:pt>
              <c:pt idx="117">
                <c:v>-1654.1345610088911</c:v>
              </c:pt>
              <c:pt idx="118">
                <c:v>11218.76672570735</c:v>
              </c:pt>
              <c:pt idx="119">
                <c:v>-3731.0882534859561</c:v>
              </c:pt>
              <c:pt idx="120">
                <c:v>-7140.7912323472137</c:v>
              </c:pt>
              <c:pt idx="121">
                <c:v>-4733.1834499898723</c:v>
              </c:pt>
              <c:pt idx="122">
                <c:v>13586.695316494817</c:v>
              </c:pt>
              <c:pt idx="123">
                <c:v>-59745.866131808631</c:v>
              </c:pt>
              <c:pt idx="124">
                <c:v>-9352.1617617107458</c:v>
              </c:pt>
              <c:pt idx="125">
                <c:v>-12826.777809027564</c:v>
              </c:pt>
              <c:pt idx="126">
                <c:v>-1808.1341652045123</c:v>
              </c:pt>
              <c:pt idx="127">
                <c:v>-10920.573789642034</c:v>
              </c:pt>
              <c:pt idx="128">
                <c:v>17772.064709309801</c:v>
              </c:pt>
              <c:pt idx="129">
                <c:v>-1660.2592153722344</c:v>
              </c:pt>
              <c:pt idx="130">
                <c:v>13483.994099229474</c:v>
              </c:pt>
              <c:pt idx="131">
                <c:v>11355.382755503701</c:v>
              </c:pt>
              <c:pt idx="132">
                <c:v>18134.404017827172</c:v>
              </c:pt>
              <c:pt idx="133">
                <c:v>7609.5096269040032</c:v>
              </c:pt>
              <c:pt idx="134">
                <c:v>-17403.184795134843</c:v>
              </c:pt>
              <c:pt idx="135">
                <c:v>-1578.0517586977385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47C8-4FFC-B15A-11E7E91C0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930576"/>
        <c:axId val="726064208"/>
      </c:scatterChart>
      <c:valAx>
        <c:axId val="733930576"/>
        <c:scaling>
          <c:orientation val="minMax"/>
          <c:min val="0.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GP_Margin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6064208"/>
        <c:crossesAt val="-200000"/>
        <c:crossBetween val="midCat"/>
      </c:valAx>
      <c:valAx>
        <c:axId val="72606420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930576"/>
        <c:crossesAt val="0.2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Profit_Margin
</a:t>
            </a:r>
            <a:r>
              <a:rPr lang="en-US" sz="1000"/>
              <a:t>Model 9 for EV    (6 variables, n=136)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36"/>
              <c:pt idx="0">
                <c:v>-0.13688015485851276</c:v>
              </c:pt>
              <c:pt idx="1">
                <c:v>0.13635747211584634</c:v>
              </c:pt>
              <c:pt idx="2">
                <c:v>-8.4296520423600627E-2</c:v>
              </c:pt>
              <c:pt idx="3">
                <c:v>5.4889192725901793E-2</c:v>
              </c:pt>
              <c:pt idx="4">
                <c:v>4.819837721477066E-2</c:v>
              </c:pt>
              <c:pt idx="5">
                <c:v>0.28179107087920752</c:v>
              </c:pt>
              <c:pt idx="6">
                <c:v>-4.2261141001709773E-2</c:v>
              </c:pt>
              <c:pt idx="7">
                <c:v>0.14413653216825575</c:v>
              </c:pt>
              <c:pt idx="8">
                <c:v>-0.13914855276495103</c:v>
              </c:pt>
              <c:pt idx="9">
                <c:v>-0.23347012720172772</c:v>
              </c:pt>
              <c:pt idx="10">
                <c:v>-0.12112952697708795</c:v>
              </c:pt>
              <c:pt idx="11">
                <c:v>-0.12710149340941534</c:v>
              </c:pt>
              <c:pt idx="12">
                <c:v>8.4802501413227815E-2</c:v>
              </c:pt>
              <c:pt idx="13">
                <c:v>0.1092716168823316</c:v>
              </c:pt>
              <c:pt idx="14">
                <c:v>-0.16283748168422885</c:v>
              </c:pt>
              <c:pt idx="15">
                <c:v>-0.10987946987452818</c:v>
              </c:pt>
              <c:pt idx="16">
                <c:v>0.30083750676574428</c:v>
              </c:pt>
              <c:pt idx="17">
                <c:v>0.10298638861940536</c:v>
              </c:pt>
              <c:pt idx="18">
                <c:v>-0.31811310458675307</c:v>
              </c:pt>
              <c:pt idx="19">
                <c:v>-2.1799151110561674E-2</c:v>
              </c:pt>
              <c:pt idx="20">
                <c:v>-0.31713433716531614</c:v>
              </c:pt>
              <c:pt idx="21">
                <c:v>-0.13449689685759542</c:v>
              </c:pt>
              <c:pt idx="22">
                <c:v>-0.25911901444461649</c:v>
              </c:pt>
              <c:pt idx="23">
                <c:v>0.11731849456823912</c:v>
              </c:pt>
              <c:pt idx="24">
                <c:v>-0.15946938451776649</c:v>
              </c:pt>
              <c:pt idx="25">
                <c:v>9.621988776192282E-2</c:v>
              </c:pt>
              <c:pt idx="26">
                <c:v>-0.16722539085440391</c:v>
              </c:pt>
              <c:pt idx="27">
                <c:v>1.0832333013623581E-2</c:v>
              </c:pt>
              <c:pt idx="28">
                <c:v>-0.27097319670889908</c:v>
              </c:pt>
              <c:pt idx="29">
                <c:v>0.18998194877144337</c:v>
              </c:pt>
              <c:pt idx="30">
                <c:v>0.16792960779188498</c:v>
              </c:pt>
              <c:pt idx="31">
                <c:v>-7.1294967909305918E-3</c:v>
              </c:pt>
              <c:pt idx="32">
                <c:v>-0.34458133247744022</c:v>
              </c:pt>
              <c:pt idx="33">
                <c:v>-8.1343964086137158E-2</c:v>
              </c:pt>
              <c:pt idx="34">
                <c:v>0.43366146404157885</c:v>
              </c:pt>
              <c:pt idx="35">
                <c:v>0.2030865917039695</c:v>
              </c:pt>
              <c:pt idx="36">
                <c:v>-0.44895429908724671</c:v>
              </c:pt>
              <c:pt idx="37">
                <c:v>-1.0834570505356555E-2</c:v>
              </c:pt>
              <c:pt idx="38">
                <c:v>0.10323290266826267</c:v>
              </c:pt>
              <c:pt idx="39">
                <c:v>-7.793685572468817E-2</c:v>
              </c:pt>
              <c:pt idx="40">
                <c:v>-0.22516716492845568</c:v>
              </c:pt>
              <c:pt idx="41">
                <c:v>0.23566135357180129</c:v>
              </c:pt>
              <c:pt idx="42">
                <c:v>9.1813351439375343E-2</c:v>
              </c:pt>
              <c:pt idx="43">
                <c:v>-0.65422214829671888</c:v>
              </c:pt>
              <c:pt idx="44">
                <c:v>0.12069220256770544</c:v>
              </c:pt>
              <c:pt idx="45">
                <c:v>-1.6269396631159929</c:v>
              </c:pt>
              <c:pt idx="46">
                <c:v>-4.517528008673654E-2</c:v>
              </c:pt>
              <c:pt idx="47">
                <c:v>0.18211657709797435</c:v>
              </c:pt>
              <c:pt idx="48">
                <c:v>0.24665552810936545</c:v>
              </c:pt>
              <c:pt idx="49">
                <c:v>-3.2454695222405273E-2</c:v>
              </c:pt>
              <c:pt idx="50">
                <c:v>4.177908225325213E-2</c:v>
              </c:pt>
              <c:pt idx="51">
                <c:v>-0.3190529846614778</c:v>
              </c:pt>
              <c:pt idx="52">
                <c:v>0.111911265793168</c:v>
              </c:pt>
              <c:pt idx="53">
                <c:v>-0.32442046693600513</c:v>
              </c:pt>
              <c:pt idx="54">
                <c:v>-1.0447476597386358E-2</c:v>
              </c:pt>
              <c:pt idx="55">
                <c:v>-0.35757347546418328</c:v>
              </c:pt>
              <c:pt idx="56">
                <c:v>8.3799201194223835E-2</c:v>
              </c:pt>
              <c:pt idx="57">
                <c:v>-7.820955807276965E-2</c:v>
              </c:pt>
              <c:pt idx="58">
                <c:v>-0.27934203627576876</c:v>
              </c:pt>
              <c:pt idx="59">
                <c:v>5.3461994018760582E-2</c:v>
              </c:pt>
              <c:pt idx="60">
                <c:v>-0.57156338979545007</c:v>
              </c:pt>
              <c:pt idx="61">
                <c:v>-0.1265161452563327</c:v>
              </c:pt>
              <c:pt idx="62">
                <c:v>-6.636852248580738E-2</c:v>
              </c:pt>
              <c:pt idx="63">
                <c:v>1.5162871570295377E-2</c:v>
              </c:pt>
              <c:pt idx="64">
                <c:v>-0.2655258416875409</c:v>
              </c:pt>
              <c:pt idx="65">
                <c:v>0.21276932914404878</c:v>
              </c:pt>
              <c:pt idx="66">
                <c:v>0.1301536113691058</c:v>
              </c:pt>
              <c:pt idx="67">
                <c:v>0.14145890144137127</c:v>
              </c:pt>
              <c:pt idx="68">
                <c:v>-3.8488770243618048E-2</c:v>
              </c:pt>
              <c:pt idx="69">
                <c:v>7.5428893232798611E-2</c:v>
              </c:pt>
              <c:pt idx="70">
                <c:v>6.6964827721336634E-2</c:v>
              </c:pt>
              <c:pt idx="71">
                <c:v>0.18931979666366661</c:v>
              </c:pt>
              <c:pt idx="72">
                <c:v>-0.57740024240406573</c:v>
              </c:pt>
              <c:pt idx="73">
                <c:v>8.0269276089363087E-2</c:v>
              </c:pt>
              <c:pt idx="74">
                <c:v>0.24918575570859006</c:v>
              </c:pt>
              <c:pt idx="75">
                <c:v>8.3248837108374787E-2</c:v>
              </c:pt>
              <c:pt idx="76">
                <c:v>-3.9696454737572787E-2</c:v>
              </c:pt>
              <c:pt idx="77">
                <c:v>-0.10750678901855586</c:v>
              </c:pt>
              <c:pt idx="78">
                <c:v>5.3675170497600407E-2</c:v>
              </c:pt>
              <c:pt idx="79">
                <c:v>-0.28542567914031614</c:v>
              </c:pt>
              <c:pt idx="80">
                <c:v>-0.19867034104867806</c:v>
              </c:pt>
              <c:pt idx="81">
                <c:v>6.3183463541559445E-2</c:v>
              </c:pt>
              <c:pt idx="82">
                <c:v>-8.7178644035064382E-2</c:v>
              </c:pt>
              <c:pt idx="83">
                <c:v>1.0619681589690514E-2</c:v>
              </c:pt>
              <c:pt idx="84">
                <c:v>-0.25167377453250095</c:v>
              </c:pt>
              <c:pt idx="85">
                <c:v>-0.3813291383272413</c:v>
              </c:pt>
              <c:pt idx="86">
                <c:v>3.6190930381431376E-2</c:v>
              </c:pt>
              <c:pt idx="87">
                <c:v>9.9335982673200984E-2</c:v>
              </c:pt>
              <c:pt idx="88">
                <c:v>-0.39573463359162725</c:v>
              </c:pt>
              <c:pt idx="89">
                <c:v>0.2829972991471616</c:v>
              </c:pt>
              <c:pt idx="90">
                <c:v>0.20995365661793713</c:v>
              </c:pt>
              <c:pt idx="91">
                <c:v>1.0140546239076941E-2</c:v>
              </c:pt>
              <c:pt idx="92">
                <c:v>1.9614338271570129E-2</c:v>
              </c:pt>
              <c:pt idx="93">
                <c:v>-0.32097260499846886</c:v>
              </c:pt>
              <c:pt idx="94">
                <c:v>0.16390927344611117</c:v>
              </c:pt>
              <c:pt idx="95">
                <c:v>-0.12790277669230971</c:v>
              </c:pt>
              <c:pt idx="96">
                <c:v>-0.3447641020578105</c:v>
              </c:pt>
              <c:pt idx="97">
                <c:v>3.955165157037363E-2</c:v>
              </c:pt>
              <c:pt idx="98">
                <c:v>-0.11313237392019553</c:v>
              </c:pt>
              <c:pt idx="99">
                <c:v>-3.6627147080944304E-3</c:v>
              </c:pt>
              <c:pt idx="100">
                <c:v>0.166605485032055</c:v>
              </c:pt>
              <c:pt idx="101">
                <c:v>-0.24352193410726553</c:v>
              </c:pt>
              <c:pt idx="102">
                <c:v>5.0853760092755822E-2</c:v>
              </c:pt>
              <c:pt idx="103">
                <c:v>0.13211163371598883</c:v>
              </c:pt>
              <c:pt idx="104">
                <c:v>-3.8053292150637866E-2</c:v>
              </c:pt>
              <c:pt idx="105">
                <c:v>4.0826302631850615E-2</c:v>
              </c:pt>
              <c:pt idx="106">
                <c:v>-0.10494352130105246</c:v>
              </c:pt>
              <c:pt idx="107">
                <c:v>-3.6651622508554908E-2</c:v>
              </c:pt>
              <c:pt idx="108">
                <c:v>-3.9516806217013457E-2</c:v>
              </c:pt>
              <c:pt idx="109">
                <c:v>-6.1180473140551542E-2</c:v>
              </c:pt>
              <c:pt idx="110">
                <c:v>-0.15712901126750914</c:v>
              </c:pt>
              <c:pt idx="111">
                <c:v>-0.44139034453003517</c:v>
              </c:pt>
              <c:pt idx="112">
                <c:v>-0.22092738611271831</c:v>
              </c:pt>
              <c:pt idx="113">
                <c:v>4.2834057467392654E-2</c:v>
              </c:pt>
              <c:pt idx="114">
                <c:v>0.11994384890125027</c:v>
              </c:pt>
              <c:pt idx="115">
                <c:v>8.5428483887666037E-2</c:v>
              </c:pt>
              <c:pt idx="116">
                <c:v>0.12152605918890333</c:v>
              </c:pt>
              <c:pt idx="117">
                <c:v>-0.14799918208566143</c:v>
              </c:pt>
              <c:pt idx="118">
                <c:v>-0.19658894523613904</c:v>
              </c:pt>
              <c:pt idx="119">
                <c:v>-0.21851944579096239</c:v>
              </c:pt>
              <c:pt idx="120">
                <c:v>5.2382229436047437E-2</c:v>
              </c:pt>
              <c:pt idx="121">
                <c:v>0.10941369794934695</c:v>
              </c:pt>
              <c:pt idx="122">
                <c:v>-0.1828748518211786</c:v>
              </c:pt>
              <c:pt idx="123">
                <c:v>0.10145241590998064</c:v>
              </c:pt>
              <c:pt idx="124">
                <c:v>4.5352465055309668E-2</c:v>
              </c:pt>
              <c:pt idx="125">
                <c:v>-1.6795940704626276E-2</c:v>
              </c:pt>
              <c:pt idx="126">
                <c:v>-0.10523436469191186</c:v>
              </c:pt>
              <c:pt idx="127">
                <c:v>0.21254360285143767</c:v>
              </c:pt>
              <c:pt idx="128">
                <c:v>0.40103169059199528</c:v>
              </c:pt>
              <c:pt idx="129">
                <c:v>-8.0099085189414249E-2</c:v>
              </c:pt>
              <c:pt idx="130">
                <c:v>-0.137903072523548</c:v>
              </c:pt>
              <c:pt idx="131">
                <c:v>-0.23881920127653916</c:v>
              </c:pt>
              <c:pt idx="132">
                <c:v>-0.36914925230302753</c:v>
              </c:pt>
              <c:pt idx="133">
                <c:v>-0.22722663595105191</c:v>
              </c:pt>
              <c:pt idx="134">
                <c:v>5.6450316593293103E-2</c:v>
              </c:pt>
              <c:pt idx="135">
                <c:v>-0.28080821314150284</c:v>
              </c:pt>
            </c:numLit>
          </c:xVal>
          <c:yVal>
            <c:numLit>
              <c:formatCode>General</c:formatCode>
              <c:ptCount val="136"/>
              <c:pt idx="0">
                <c:v>12425.663207525295</c:v>
              </c:pt>
              <c:pt idx="1">
                <c:v>-13371.762473682498</c:v>
              </c:pt>
              <c:pt idx="2">
                <c:v>-14781.977304862148</c:v>
              </c:pt>
              <c:pt idx="3">
                <c:v>-37448.772197139304</c:v>
              </c:pt>
              <c:pt idx="4">
                <c:v>-20693.231527622662</c:v>
              </c:pt>
              <c:pt idx="5">
                <c:v>86458.667197646122</c:v>
              </c:pt>
              <c:pt idx="6">
                <c:v>-13512.565415444358</c:v>
              </c:pt>
              <c:pt idx="7">
                <c:v>-14460.824151708552</c:v>
              </c:pt>
              <c:pt idx="8">
                <c:v>-11935.974514279678</c:v>
              </c:pt>
              <c:pt idx="9">
                <c:v>-1505.5839658984059</c:v>
              </c:pt>
              <c:pt idx="10">
                <c:v>14830.256465802737</c:v>
              </c:pt>
              <c:pt idx="11">
                <c:v>-7938.6799709128181</c:v>
              </c:pt>
              <c:pt idx="12">
                <c:v>-19206.179327226368</c:v>
              </c:pt>
              <c:pt idx="13">
                <c:v>-13816.201118848063</c:v>
              </c:pt>
              <c:pt idx="14">
                <c:v>2685.8023154129178</c:v>
              </c:pt>
              <c:pt idx="15">
                <c:v>-6952.3909049268095</c:v>
              </c:pt>
              <c:pt idx="16">
                <c:v>-29832.491106183377</c:v>
              </c:pt>
              <c:pt idx="17">
                <c:v>-35020.375986653278</c:v>
              </c:pt>
              <c:pt idx="18">
                <c:v>-1018.8298614003797</c:v>
              </c:pt>
              <c:pt idx="19">
                <c:v>-19486.852371700683</c:v>
              </c:pt>
              <c:pt idx="20">
                <c:v>8349.1014436418427</c:v>
              </c:pt>
              <c:pt idx="21">
                <c:v>13868.23954455169</c:v>
              </c:pt>
              <c:pt idx="22">
                <c:v>-7234.3612499359733</c:v>
              </c:pt>
              <c:pt idx="23">
                <c:v>-33444.330481777899</c:v>
              </c:pt>
              <c:pt idx="24">
                <c:v>-14020.446314317123</c:v>
              </c:pt>
              <c:pt idx="25">
                <c:v>-25111.370270814183</c:v>
              </c:pt>
              <c:pt idx="26">
                <c:v>-7226.4228147734211</c:v>
              </c:pt>
              <c:pt idx="27">
                <c:v>-22046.24538193077</c:v>
              </c:pt>
              <c:pt idx="28">
                <c:v>-6029.450292634825</c:v>
              </c:pt>
              <c:pt idx="29">
                <c:v>-15977.906266208993</c:v>
              </c:pt>
              <c:pt idx="30">
                <c:v>-18094.766064466421</c:v>
              </c:pt>
              <c:pt idx="31">
                <c:v>-25339.763012090531</c:v>
              </c:pt>
              <c:pt idx="32">
                <c:v>-5147.9152403280796</c:v>
              </c:pt>
              <c:pt idx="33">
                <c:v>-11679.605167415848</c:v>
              </c:pt>
              <c:pt idx="34">
                <c:v>-29284.737921987289</c:v>
              </c:pt>
              <c:pt idx="35">
                <c:v>-22521.654318522189</c:v>
              </c:pt>
              <c:pt idx="36">
                <c:v>-21351.269234476331</c:v>
              </c:pt>
              <c:pt idx="37">
                <c:v>-18770.736175329632</c:v>
              </c:pt>
              <c:pt idx="38">
                <c:v>21655.30644464853</c:v>
              </c:pt>
              <c:pt idx="39">
                <c:v>-18011.884280723305</c:v>
              </c:pt>
              <c:pt idx="40">
                <c:v>7683.1563956868122</c:v>
              </c:pt>
              <c:pt idx="41">
                <c:v>-5456.9968899294181</c:v>
              </c:pt>
              <c:pt idx="42">
                <c:v>-15189.718195931715</c:v>
              </c:pt>
              <c:pt idx="43">
                <c:v>6322.5203450781319</c:v>
              </c:pt>
              <c:pt idx="44">
                <c:v>-25362.503213367192</c:v>
              </c:pt>
              <c:pt idx="45">
                <c:v>41188.286167289531</c:v>
              </c:pt>
              <c:pt idx="46">
                <c:v>-18630.695947567539</c:v>
              </c:pt>
              <c:pt idx="47">
                <c:v>1497.0256008401157</c:v>
              </c:pt>
              <c:pt idx="48">
                <c:v>-15861.579918790687</c:v>
              </c:pt>
              <c:pt idx="49">
                <c:v>-17256.832029153986</c:v>
              </c:pt>
              <c:pt idx="50">
                <c:v>-17685.31742332879</c:v>
              </c:pt>
              <c:pt idx="51">
                <c:v>16162.791911505432</c:v>
              </c:pt>
              <c:pt idx="52">
                <c:v>-32166.335634475243</c:v>
              </c:pt>
              <c:pt idx="53">
                <c:v>-14122.582387272672</c:v>
              </c:pt>
              <c:pt idx="54">
                <c:v>-11901.982989881615</c:v>
              </c:pt>
              <c:pt idx="55">
                <c:v>15928.209021474097</c:v>
              </c:pt>
              <c:pt idx="56">
                <c:v>-15162.503848318111</c:v>
              </c:pt>
              <c:pt idx="57">
                <c:v>-7002.9376107516673</c:v>
              </c:pt>
              <c:pt idx="58">
                <c:v>18844.954388662569</c:v>
              </c:pt>
              <c:pt idx="59">
                <c:v>-9716.6888645399886</c:v>
              </c:pt>
              <c:pt idx="60">
                <c:v>21956.77142897046</c:v>
              </c:pt>
              <c:pt idx="61">
                <c:v>-95.22219416686039</c:v>
              </c:pt>
              <c:pt idx="62">
                <c:v>-13351.809917141101</c:v>
              </c:pt>
              <c:pt idx="63">
                <c:v>3361.131755732154</c:v>
              </c:pt>
              <c:pt idx="64">
                <c:v>5070.4453026648071</c:v>
              </c:pt>
              <c:pt idx="65">
                <c:v>18304.025124650689</c:v>
              </c:pt>
              <c:pt idx="66">
                <c:v>-26109.814362880716</c:v>
              </c:pt>
              <c:pt idx="67">
                <c:v>-24467.267338541802</c:v>
              </c:pt>
              <c:pt idx="68">
                <c:v>-13822.993284593329</c:v>
              </c:pt>
              <c:pt idx="69">
                <c:v>-42371.63552278842</c:v>
              </c:pt>
              <c:pt idx="70">
                <c:v>-23326.835517335108</c:v>
              </c:pt>
              <c:pt idx="71">
                <c:v>-20099.224492619593</c:v>
              </c:pt>
              <c:pt idx="72">
                <c:v>39504.12055277302</c:v>
              </c:pt>
              <c:pt idx="73">
                <c:v>-6747.010579945636</c:v>
              </c:pt>
              <c:pt idx="74">
                <c:v>711181.2614437656</c:v>
              </c:pt>
              <c:pt idx="75">
                <c:v>-9025.3871247696916</c:v>
              </c:pt>
              <c:pt idx="76">
                <c:v>-18691.517424215956</c:v>
              </c:pt>
              <c:pt idx="77">
                <c:v>3838.1787931996423</c:v>
              </c:pt>
              <c:pt idx="78">
                <c:v>676.77922286130411</c:v>
              </c:pt>
              <c:pt idx="79">
                <c:v>-1433.8561101544819</c:v>
              </c:pt>
              <c:pt idx="80">
                <c:v>-792.36678230290363</c:v>
              </c:pt>
              <c:pt idx="81">
                <c:v>-23819.619574794535</c:v>
              </c:pt>
              <c:pt idx="82">
                <c:v>-14781.740534028866</c:v>
              </c:pt>
              <c:pt idx="83">
                <c:v>-19952.756770449545</c:v>
              </c:pt>
              <c:pt idx="84">
                <c:v>-11007.061722040587</c:v>
              </c:pt>
              <c:pt idx="85">
                <c:v>25095.649573711882</c:v>
              </c:pt>
              <c:pt idx="86">
                <c:v>-8184.0307964628983</c:v>
              </c:pt>
              <c:pt idx="87">
                <c:v>-31381.772549721689</c:v>
              </c:pt>
              <c:pt idx="88">
                <c:v>10845.980833742256</c:v>
              </c:pt>
              <c:pt idx="89">
                <c:v>133594.42074069494</c:v>
              </c:pt>
              <c:pt idx="90">
                <c:v>-15545.843703169685</c:v>
              </c:pt>
              <c:pt idx="91">
                <c:v>-14559.754846935895</c:v>
              </c:pt>
              <c:pt idx="92">
                <c:v>-13423.211017236008</c:v>
              </c:pt>
              <c:pt idx="93">
                <c:v>2579.1485933999184</c:v>
              </c:pt>
              <c:pt idx="94">
                <c:v>-37908.298689921088</c:v>
              </c:pt>
              <c:pt idx="95">
                <c:v>-8090.8738674507231</c:v>
              </c:pt>
              <c:pt idx="96">
                <c:v>2398.5872138625082</c:v>
              </c:pt>
              <c:pt idx="97">
                <c:v>-11751.048180122794</c:v>
              </c:pt>
              <c:pt idx="98">
                <c:v>-3147.5123399572917</c:v>
              </c:pt>
              <c:pt idx="99">
                <c:v>-11103.716124715413</c:v>
              </c:pt>
              <c:pt idx="100">
                <c:v>-25783.367993906773</c:v>
              </c:pt>
              <c:pt idx="101">
                <c:v>1657.7373752314393</c:v>
              </c:pt>
              <c:pt idx="102">
                <c:v>-20131.2667339285</c:v>
              </c:pt>
              <c:pt idx="103">
                <c:v>-6957.3483007473478</c:v>
              </c:pt>
              <c:pt idx="104">
                <c:v>-3969.8354682050422</c:v>
              </c:pt>
              <c:pt idx="105">
                <c:v>80477.647002860729</c:v>
              </c:pt>
              <c:pt idx="106">
                <c:v>-8591.0850129125938</c:v>
              </c:pt>
              <c:pt idx="107">
                <c:v>1527.9074135467031</c:v>
              </c:pt>
              <c:pt idx="108">
                <c:v>16105.594597377158</c:v>
              </c:pt>
              <c:pt idx="109">
                <c:v>10974.245746971566</c:v>
              </c:pt>
              <c:pt idx="110">
                <c:v>-9527.1808168739117</c:v>
              </c:pt>
              <c:pt idx="111">
                <c:v>14356.861442284926</c:v>
              </c:pt>
              <c:pt idx="112">
                <c:v>12057.35462241709</c:v>
              </c:pt>
              <c:pt idx="113">
                <c:v>-14691.501281441106</c:v>
              </c:pt>
              <c:pt idx="114">
                <c:v>-21929.254124523042</c:v>
              </c:pt>
              <c:pt idx="115">
                <c:v>-26467.037994667946</c:v>
              </c:pt>
              <c:pt idx="116">
                <c:v>-13238.148822832793</c:v>
              </c:pt>
              <c:pt idx="117">
                <c:v>-1654.1345610088911</c:v>
              </c:pt>
              <c:pt idx="118">
                <c:v>11218.76672570735</c:v>
              </c:pt>
              <c:pt idx="119">
                <c:v>-3731.0882534859561</c:v>
              </c:pt>
              <c:pt idx="120">
                <c:v>-7140.7912323472137</c:v>
              </c:pt>
              <c:pt idx="121">
                <c:v>-4733.1834499898723</c:v>
              </c:pt>
              <c:pt idx="122">
                <c:v>13586.695316494817</c:v>
              </c:pt>
              <c:pt idx="123">
                <c:v>-59745.866131808631</c:v>
              </c:pt>
              <c:pt idx="124">
                <c:v>-9352.1617617107458</c:v>
              </c:pt>
              <c:pt idx="125">
                <c:v>-12826.777809027564</c:v>
              </c:pt>
              <c:pt idx="126">
                <c:v>-1808.1341652045123</c:v>
              </c:pt>
              <c:pt idx="127">
                <c:v>-10920.573789642034</c:v>
              </c:pt>
              <c:pt idx="128">
                <c:v>17772.064709309801</c:v>
              </c:pt>
              <c:pt idx="129">
                <c:v>-1660.2592153722344</c:v>
              </c:pt>
              <c:pt idx="130">
                <c:v>13483.994099229474</c:v>
              </c:pt>
              <c:pt idx="131">
                <c:v>11355.382755503701</c:v>
              </c:pt>
              <c:pt idx="132">
                <c:v>18134.404017827172</c:v>
              </c:pt>
              <c:pt idx="133">
                <c:v>7609.5096269040032</c:v>
              </c:pt>
              <c:pt idx="134">
                <c:v>-17403.184795134843</c:v>
              </c:pt>
              <c:pt idx="135">
                <c:v>-1578.0517586977385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3C63-40AD-995E-6B6C1B796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064992"/>
        <c:axId val="726065384"/>
      </c:scatterChart>
      <c:valAx>
        <c:axId val="726064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Profit_Margin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6065384"/>
        <c:crossesAt val="-200000"/>
        <c:crossBetween val="midCat"/>
      </c:valAx>
      <c:valAx>
        <c:axId val="72606538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6064992"/>
        <c:crossesAt val="-2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R_D_Margin
</a:t>
            </a:r>
            <a:r>
              <a:rPr lang="en-US" sz="1000"/>
              <a:t>Model 9 for EV    (6 variables, n=136)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36"/>
              <c:pt idx="0">
                <c:v>0.13248941982869786</c:v>
              </c:pt>
              <c:pt idx="1">
                <c:v>0.11202181394405508</c:v>
              </c:pt>
              <c:pt idx="2">
                <c:v>0.27227577263885894</c:v>
              </c:pt>
              <c:pt idx="3">
                <c:v>0.21421277037176539</c:v>
              </c:pt>
              <c:pt idx="4">
                <c:v>0.13741086975066108</c:v>
              </c:pt>
              <c:pt idx="5">
                <c:v>0.14279772999884041</c:v>
              </c:pt>
              <c:pt idx="6">
                <c:v>0.21910244545183605</c:v>
              </c:pt>
              <c:pt idx="7">
                <c:v>0.19349785504748682</c:v>
              </c:pt>
              <c:pt idx="8">
                <c:v>0.24610879603558961</c:v>
              </c:pt>
              <c:pt idx="9">
                <c:v>0.25747993659245183</c:v>
              </c:pt>
              <c:pt idx="10">
                <c:v>0.1807218526730722</c:v>
              </c:pt>
              <c:pt idx="11">
                <c:v>0.18228546517503072</c:v>
              </c:pt>
              <c:pt idx="12">
                <c:v>0.1049056670435274</c:v>
              </c:pt>
              <c:pt idx="13">
                <c:v>0.10024186721489901</c:v>
              </c:pt>
              <c:pt idx="14">
                <c:v>0.16845673609331249</c:v>
              </c:pt>
              <c:pt idx="15">
                <c:v>0.19084328730503861</c:v>
              </c:pt>
              <c:pt idx="16">
                <c:v>0.16431171098307554</c:v>
              </c:pt>
              <c:pt idx="17">
                <c:v>0.13493975903614458</c:v>
              </c:pt>
              <c:pt idx="18">
                <c:v>0.43884892086330929</c:v>
              </c:pt>
              <c:pt idx="19">
                <c:v>0.1924424115053365</c:v>
              </c:pt>
              <c:pt idx="20">
                <c:v>0.25166397971261883</c:v>
              </c:pt>
              <c:pt idx="21">
                <c:v>0.33717141964564645</c:v>
              </c:pt>
              <c:pt idx="22">
                <c:v>0.19358319376615576</c:v>
              </c:pt>
              <c:pt idx="23">
                <c:v>0.23304841934850473</c:v>
              </c:pt>
              <c:pt idx="24">
                <c:v>0.19649825507614213</c:v>
              </c:pt>
              <c:pt idx="25">
                <c:v>0.10793054396821301</c:v>
              </c:pt>
              <c:pt idx="26">
                <c:v>0.11769751826544797</c:v>
              </c:pt>
              <c:pt idx="27">
                <c:v>0.14542142016158499</c:v>
              </c:pt>
              <c:pt idx="28">
                <c:v>0.24660001297980194</c:v>
              </c:pt>
              <c:pt idx="29">
                <c:v>0.15477338476374156</c:v>
              </c:pt>
              <c:pt idx="30">
                <c:v>0.38853342248443634</c:v>
              </c:pt>
              <c:pt idx="31">
                <c:v>0.17413019778263147</c:v>
              </c:pt>
              <c:pt idx="32">
                <c:v>0.3212500154307652</c:v>
              </c:pt>
              <c:pt idx="33">
                <c:v>0.17043497237095404</c:v>
              </c:pt>
              <c:pt idx="34">
                <c:v>0.1014198226921753</c:v>
              </c:pt>
              <c:pt idx="35">
                <c:v>0.14296854665154235</c:v>
              </c:pt>
              <c:pt idx="36">
                <c:v>0.52472364400677263</c:v>
              </c:pt>
              <c:pt idx="37">
                <c:v>0.13270048675447227</c:v>
              </c:pt>
              <c:pt idx="38">
                <c:v>0.12216788959801611</c:v>
              </c:pt>
              <c:pt idx="39">
                <c:v>0.11932450489235281</c:v>
              </c:pt>
              <c:pt idx="40">
                <c:v>0.20327255300212238</c:v>
              </c:pt>
              <c:pt idx="41">
                <c:v>0.19643043523640535</c:v>
              </c:pt>
              <c:pt idx="42">
                <c:v>0.14384658716854101</c:v>
              </c:pt>
              <c:pt idx="43">
                <c:v>0.30790686013350466</c:v>
              </c:pt>
              <c:pt idx="44">
                <c:v>0.16093007141069812</c:v>
              </c:pt>
              <c:pt idx="45">
                <c:v>0.72114002432641622</c:v>
              </c:pt>
              <c:pt idx="46">
                <c:v>0.3436031803397181</c:v>
              </c:pt>
              <c:pt idx="47">
                <c:v>0.27284001653575857</c:v>
              </c:pt>
              <c:pt idx="48">
                <c:v>7.8668578346737558E-2</c:v>
              </c:pt>
              <c:pt idx="49">
                <c:v>0.23995628557913448</c:v>
              </c:pt>
              <c:pt idx="50">
                <c:v>0.14965075153775187</c:v>
              </c:pt>
              <c:pt idx="51">
                <c:v>0.18107434786856416</c:v>
              </c:pt>
              <c:pt idx="52">
                <c:v>0.24859616284510996</c:v>
              </c:pt>
              <c:pt idx="53">
                <c:v>0.30652737632332966</c:v>
              </c:pt>
              <c:pt idx="54">
                <c:v>0.12026127560319098</c:v>
              </c:pt>
              <c:pt idx="55">
                <c:v>0.18413993625850628</c:v>
              </c:pt>
              <c:pt idx="56">
                <c:v>0.12911717555029012</c:v>
              </c:pt>
              <c:pt idx="57">
                <c:v>0.27754087136181815</c:v>
              </c:pt>
              <c:pt idx="58">
                <c:v>0.30038213606097808</c:v>
              </c:pt>
              <c:pt idx="59">
                <c:v>0.25966656934924898</c:v>
              </c:pt>
              <c:pt idx="60">
                <c:v>0.32673046530343136</c:v>
              </c:pt>
              <c:pt idx="61">
                <c:v>0.15943171597579511</c:v>
              </c:pt>
              <c:pt idx="62">
                <c:v>0.1844443733885244</c:v>
              </c:pt>
              <c:pt idx="63">
                <c:v>5.7524048005680346E-2</c:v>
              </c:pt>
              <c:pt idx="64">
                <c:v>0.26127344633379679</c:v>
              </c:pt>
              <c:pt idx="65">
                <c:v>0.19885982562038901</c:v>
              </c:pt>
              <c:pt idx="66">
                <c:v>3.9709695573962374E-2</c:v>
              </c:pt>
              <c:pt idx="67">
                <c:v>0.16480466358728924</c:v>
              </c:pt>
              <c:pt idx="68">
                <c:v>0.17124354104643602</c:v>
              </c:pt>
              <c:pt idx="69">
                <c:v>0.13867913676703503</c:v>
              </c:pt>
              <c:pt idx="70">
                <c:v>2.5550521352830539E-2</c:v>
              </c:pt>
              <c:pt idx="71">
                <c:v>0.10324991008755058</c:v>
              </c:pt>
              <c:pt idx="72">
                <c:v>0.32356261151367294</c:v>
              </c:pt>
              <c:pt idx="73">
                <c:v>0.22725617736491471</c:v>
              </c:pt>
              <c:pt idx="74">
                <c:v>0.13343602754621239</c:v>
              </c:pt>
              <c:pt idx="75">
                <c:v>0.15537968066344987</c:v>
              </c:pt>
              <c:pt idx="76">
                <c:v>0.13600550075670845</c:v>
              </c:pt>
              <c:pt idx="77">
                <c:v>0.16912330746815651</c:v>
              </c:pt>
              <c:pt idx="78">
                <c:v>0.1881788330386461</c:v>
              </c:pt>
              <c:pt idx="79">
                <c:v>0.41545137261604792</c:v>
              </c:pt>
              <c:pt idx="80">
                <c:v>0.19978005157854797</c:v>
              </c:pt>
              <c:pt idx="81">
                <c:v>0.15506004701658752</c:v>
              </c:pt>
              <c:pt idx="82">
                <c:v>0.1939866538267816</c:v>
              </c:pt>
              <c:pt idx="83">
                <c:v>0.13253024049454606</c:v>
              </c:pt>
              <c:pt idx="84">
                <c:v>0.27156094947713327</c:v>
              </c:pt>
              <c:pt idx="85">
                <c:v>0.21845185767824921</c:v>
              </c:pt>
              <c:pt idx="86">
                <c:v>0.11523891176265338</c:v>
              </c:pt>
              <c:pt idx="87">
                <c:v>0.11489638009676614</c:v>
              </c:pt>
              <c:pt idx="88">
                <c:v>0.32742904682981983</c:v>
              </c:pt>
              <c:pt idx="89">
                <c:v>0.15290189778090169</c:v>
              </c:pt>
              <c:pt idx="90">
                <c:v>6.1100982274089007E-2</c:v>
              </c:pt>
              <c:pt idx="91">
                <c:v>9.9714722390716423E-2</c:v>
              </c:pt>
              <c:pt idx="92">
                <c:v>0.19133435762983428</c:v>
              </c:pt>
              <c:pt idx="93">
                <c:v>0.31593173627305493</c:v>
              </c:pt>
              <c:pt idx="94">
                <c:v>0.19155484671979617</c:v>
              </c:pt>
              <c:pt idx="95">
                <c:v>0.21138970044589492</c:v>
              </c:pt>
              <c:pt idx="96">
                <c:v>0.30509702260683919</c:v>
              </c:pt>
              <c:pt idx="97">
                <c:v>0.19103524123905566</c:v>
              </c:pt>
              <c:pt idx="98">
                <c:v>0.18744336689885269</c:v>
              </c:pt>
              <c:pt idx="99">
                <c:v>0.14512607677574746</c:v>
              </c:pt>
              <c:pt idx="100">
                <c:v>0.16761928623999747</c:v>
              </c:pt>
              <c:pt idx="101">
                <c:v>0.2302719612310585</c:v>
              </c:pt>
              <c:pt idx="102">
                <c:v>0.11552762462691676</c:v>
              </c:pt>
              <c:pt idx="103">
                <c:v>0.18321370518221103</c:v>
              </c:pt>
              <c:pt idx="104">
                <c:v>0.12923707680824939</c:v>
              </c:pt>
              <c:pt idx="105">
                <c:v>0.13141762575305613</c:v>
              </c:pt>
              <c:pt idx="106">
                <c:v>0.162466382526818</c:v>
              </c:pt>
              <c:pt idx="107">
                <c:v>0.23106423777564716</c:v>
              </c:pt>
              <c:pt idx="108">
                <c:v>0.16668800760149377</c:v>
              </c:pt>
              <c:pt idx="109">
                <c:v>0.15932673596751537</c:v>
              </c:pt>
              <c:pt idx="110">
                <c:v>0.14243638480769888</c:v>
              </c:pt>
              <c:pt idx="111">
                <c:v>0.3378785291183159</c:v>
              </c:pt>
              <c:pt idx="112">
                <c:v>0.20790599854451852</c:v>
              </c:pt>
              <c:pt idx="113">
                <c:v>9.8847496940729029E-2</c:v>
              </c:pt>
              <c:pt idx="114">
                <c:v>7.0519627749966091E-2</c:v>
              </c:pt>
              <c:pt idx="115">
                <c:v>0.19825978868862648</c:v>
              </c:pt>
              <c:pt idx="116">
                <c:v>0.30067987375191063</c:v>
              </c:pt>
              <c:pt idx="117">
                <c:v>0.33658182316329377</c:v>
              </c:pt>
              <c:pt idx="118">
                <c:v>0.15205258237243957</c:v>
              </c:pt>
              <c:pt idx="119">
                <c:v>0.30721739547321375</c:v>
              </c:pt>
              <c:pt idx="120">
                <c:v>3.3156006433254982E-2</c:v>
              </c:pt>
              <c:pt idx="121">
                <c:v>0.11140731781207699</c:v>
              </c:pt>
              <c:pt idx="122">
                <c:v>0.24508168103798247</c:v>
              </c:pt>
              <c:pt idx="123">
                <c:v>0.39875419627298209</c:v>
              </c:pt>
              <c:pt idx="124">
                <c:v>0.14542604694913666</c:v>
              </c:pt>
              <c:pt idx="125">
                <c:v>0.12555976292393811</c:v>
              </c:pt>
              <c:pt idx="126">
                <c:v>0.19531353080881383</c:v>
              </c:pt>
              <c:pt idx="127">
                <c:v>0.17233994236672301</c:v>
              </c:pt>
              <c:pt idx="128">
                <c:v>0.20727530412188497</c:v>
              </c:pt>
              <c:pt idx="129">
                <c:v>0.29920172624994396</c:v>
              </c:pt>
              <c:pt idx="130">
                <c:v>0.37499876453320768</c:v>
              </c:pt>
              <c:pt idx="131">
                <c:v>0.30216745711626253</c:v>
              </c:pt>
              <c:pt idx="132">
                <c:v>0.12937751519821902</c:v>
              </c:pt>
              <c:pt idx="133">
                <c:v>0.2270021756893785</c:v>
              </c:pt>
              <c:pt idx="134">
                <c:v>0.28988441400800768</c:v>
              </c:pt>
              <c:pt idx="135">
                <c:v>0.23009539916391744</c:v>
              </c:pt>
            </c:numLit>
          </c:xVal>
          <c:yVal>
            <c:numLit>
              <c:formatCode>General</c:formatCode>
              <c:ptCount val="136"/>
              <c:pt idx="0">
                <c:v>12425.663207525295</c:v>
              </c:pt>
              <c:pt idx="1">
                <c:v>-13371.762473682498</c:v>
              </c:pt>
              <c:pt idx="2">
                <c:v>-14781.977304862148</c:v>
              </c:pt>
              <c:pt idx="3">
                <c:v>-37448.772197139304</c:v>
              </c:pt>
              <c:pt idx="4">
                <c:v>-20693.231527622662</c:v>
              </c:pt>
              <c:pt idx="5">
                <c:v>86458.667197646122</c:v>
              </c:pt>
              <c:pt idx="6">
                <c:v>-13512.565415444358</c:v>
              </c:pt>
              <c:pt idx="7">
                <c:v>-14460.824151708552</c:v>
              </c:pt>
              <c:pt idx="8">
                <c:v>-11935.974514279678</c:v>
              </c:pt>
              <c:pt idx="9">
                <c:v>-1505.5839658984059</c:v>
              </c:pt>
              <c:pt idx="10">
                <c:v>14830.256465802737</c:v>
              </c:pt>
              <c:pt idx="11">
                <c:v>-7938.6799709128181</c:v>
              </c:pt>
              <c:pt idx="12">
                <c:v>-19206.179327226368</c:v>
              </c:pt>
              <c:pt idx="13">
                <c:v>-13816.201118848063</c:v>
              </c:pt>
              <c:pt idx="14">
                <c:v>2685.8023154129178</c:v>
              </c:pt>
              <c:pt idx="15">
                <c:v>-6952.3909049268095</c:v>
              </c:pt>
              <c:pt idx="16">
                <c:v>-29832.491106183377</c:v>
              </c:pt>
              <c:pt idx="17">
                <c:v>-35020.375986653278</c:v>
              </c:pt>
              <c:pt idx="18">
                <c:v>-1018.8298614003797</c:v>
              </c:pt>
              <c:pt idx="19">
                <c:v>-19486.852371700683</c:v>
              </c:pt>
              <c:pt idx="20">
                <c:v>8349.1014436418427</c:v>
              </c:pt>
              <c:pt idx="21">
                <c:v>13868.23954455169</c:v>
              </c:pt>
              <c:pt idx="22">
                <c:v>-7234.3612499359733</c:v>
              </c:pt>
              <c:pt idx="23">
                <c:v>-33444.330481777899</c:v>
              </c:pt>
              <c:pt idx="24">
                <c:v>-14020.446314317123</c:v>
              </c:pt>
              <c:pt idx="25">
                <c:v>-25111.370270814183</c:v>
              </c:pt>
              <c:pt idx="26">
                <c:v>-7226.4228147734211</c:v>
              </c:pt>
              <c:pt idx="27">
                <c:v>-22046.24538193077</c:v>
              </c:pt>
              <c:pt idx="28">
                <c:v>-6029.450292634825</c:v>
              </c:pt>
              <c:pt idx="29">
                <c:v>-15977.906266208993</c:v>
              </c:pt>
              <c:pt idx="30">
                <c:v>-18094.766064466421</c:v>
              </c:pt>
              <c:pt idx="31">
                <c:v>-25339.763012090531</c:v>
              </c:pt>
              <c:pt idx="32">
                <c:v>-5147.9152403280796</c:v>
              </c:pt>
              <c:pt idx="33">
                <c:v>-11679.605167415848</c:v>
              </c:pt>
              <c:pt idx="34">
                <c:v>-29284.737921987289</c:v>
              </c:pt>
              <c:pt idx="35">
                <c:v>-22521.654318522189</c:v>
              </c:pt>
              <c:pt idx="36">
                <c:v>-21351.269234476331</c:v>
              </c:pt>
              <c:pt idx="37">
                <c:v>-18770.736175329632</c:v>
              </c:pt>
              <c:pt idx="38">
                <c:v>21655.30644464853</c:v>
              </c:pt>
              <c:pt idx="39">
                <c:v>-18011.884280723305</c:v>
              </c:pt>
              <c:pt idx="40">
                <c:v>7683.1563956868122</c:v>
              </c:pt>
              <c:pt idx="41">
                <c:v>-5456.9968899294181</c:v>
              </c:pt>
              <c:pt idx="42">
                <c:v>-15189.718195931715</c:v>
              </c:pt>
              <c:pt idx="43">
                <c:v>6322.5203450781319</c:v>
              </c:pt>
              <c:pt idx="44">
                <c:v>-25362.503213367192</c:v>
              </c:pt>
              <c:pt idx="45">
                <c:v>41188.286167289531</c:v>
              </c:pt>
              <c:pt idx="46">
                <c:v>-18630.695947567539</c:v>
              </c:pt>
              <c:pt idx="47">
                <c:v>1497.0256008401157</c:v>
              </c:pt>
              <c:pt idx="48">
                <c:v>-15861.579918790687</c:v>
              </c:pt>
              <c:pt idx="49">
                <c:v>-17256.832029153986</c:v>
              </c:pt>
              <c:pt idx="50">
                <c:v>-17685.31742332879</c:v>
              </c:pt>
              <c:pt idx="51">
                <c:v>16162.791911505432</c:v>
              </c:pt>
              <c:pt idx="52">
                <c:v>-32166.335634475243</c:v>
              </c:pt>
              <c:pt idx="53">
                <c:v>-14122.582387272672</c:v>
              </c:pt>
              <c:pt idx="54">
                <c:v>-11901.982989881615</c:v>
              </c:pt>
              <c:pt idx="55">
                <c:v>15928.209021474097</c:v>
              </c:pt>
              <c:pt idx="56">
                <c:v>-15162.503848318111</c:v>
              </c:pt>
              <c:pt idx="57">
                <c:v>-7002.9376107516673</c:v>
              </c:pt>
              <c:pt idx="58">
                <c:v>18844.954388662569</c:v>
              </c:pt>
              <c:pt idx="59">
                <c:v>-9716.6888645399886</c:v>
              </c:pt>
              <c:pt idx="60">
                <c:v>21956.77142897046</c:v>
              </c:pt>
              <c:pt idx="61">
                <c:v>-95.22219416686039</c:v>
              </c:pt>
              <c:pt idx="62">
                <c:v>-13351.809917141101</c:v>
              </c:pt>
              <c:pt idx="63">
                <c:v>3361.131755732154</c:v>
              </c:pt>
              <c:pt idx="64">
                <c:v>5070.4453026648071</c:v>
              </c:pt>
              <c:pt idx="65">
                <c:v>18304.025124650689</c:v>
              </c:pt>
              <c:pt idx="66">
                <c:v>-26109.814362880716</c:v>
              </c:pt>
              <c:pt idx="67">
                <c:v>-24467.267338541802</c:v>
              </c:pt>
              <c:pt idx="68">
                <c:v>-13822.993284593329</c:v>
              </c:pt>
              <c:pt idx="69">
                <c:v>-42371.63552278842</c:v>
              </c:pt>
              <c:pt idx="70">
                <c:v>-23326.835517335108</c:v>
              </c:pt>
              <c:pt idx="71">
                <c:v>-20099.224492619593</c:v>
              </c:pt>
              <c:pt idx="72">
                <c:v>39504.12055277302</c:v>
              </c:pt>
              <c:pt idx="73">
                <c:v>-6747.010579945636</c:v>
              </c:pt>
              <c:pt idx="74">
                <c:v>711181.2614437656</c:v>
              </c:pt>
              <c:pt idx="75">
                <c:v>-9025.3871247696916</c:v>
              </c:pt>
              <c:pt idx="76">
                <c:v>-18691.517424215956</c:v>
              </c:pt>
              <c:pt idx="77">
                <c:v>3838.1787931996423</c:v>
              </c:pt>
              <c:pt idx="78">
                <c:v>676.77922286130411</c:v>
              </c:pt>
              <c:pt idx="79">
                <c:v>-1433.8561101544819</c:v>
              </c:pt>
              <c:pt idx="80">
                <c:v>-792.36678230290363</c:v>
              </c:pt>
              <c:pt idx="81">
                <c:v>-23819.619574794535</c:v>
              </c:pt>
              <c:pt idx="82">
                <c:v>-14781.740534028866</c:v>
              </c:pt>
              <c:pt idx="83">
                <c:v>-19952.756770449545</c:v>
              </c:pt>
              <c:pt idx="84">
                <c:v>-11007.061722040587</c:v>
              </c:pt>
              <c:pt idx="85">
                <c:v>25095.649573711882</c:v>
              </c:pt>
              <c:pt idx="86">
                <c:v>-8184.0307964628983</c:v>
              </c:pt>
              <c:pt idx="87">
                <c:v>-31381.772549721689</c:v>
              </c:pt>
              <c:pt idx="88">
                <c:v>10845.980833742256</c:v>
              </c:pt>
              <c:pt idx="89">
                <c:v>133594.42074069494</c:v>
              </c:pt>
              <c:pt idx="90">
                <c:v>-15545.843703169685</c:v>
              </c:pt>
              <c:pt idx="91">
                <c:v>-14559.754846935895</c:v>
              </c:pt>
              <c:pt idx="92">
                <c:v>-13423.211017236008</c:v>
              </c:pt>
              <c:pt idx="93">
                <c:v>2579.1485933999184</c:v>
              </c:pt>
              <c:pt idx="94">
                <c:v>-37908.298689921088</c:v>
              </c:pt>
              <c:pt idx="95">
                <c:v>-8090.8738674507231</c:v>
              </c:pt>
              <c:pt idx="96">
                <c:v>2398.5872138625082</c:v>
              </c:pt>
              <c:pt idx="97">
                <c:v>-11751.048180122794</c:v>
              </c:pt>
              <c:pt idx="98">
                <c:v>-3147.5123399572917</c:v>
              </c:pt>
              <c:pt idx="99">
                <c:v>-11103.716124715413</c:v>
              </c:pt>
              <c:pt idx="100">
                <c:v>-25783.367993906773</c:v>
              </c:pt>
              <c:pt idx="101">
                <c:v>1657.7373752314393</c:v>
              </c:pt>
              <c:pt idx="102">
                <c:v>-20131.2667339285</c:v>
              </c:pt>
              <c:pt idx="103">
                <c:v>-6957.3483007473478</c:v>
              </c:pt>
              <c:pt idx="104">
                <c:v>-3969.8354682050422</c:v>
              </c:pt>
              <c:pt idx="105">
                <c:v>80477.647002860729</c:v>
              </c:pt>
              <c:pt idx="106">
                <c:v>-8591.0850129125938</c:v>
              </c:pt>
              <c:pt idx="107">
                <c:v>1527.9074135467031</c:v>
              </c:pt>
              <c:pt idx="108">
                <c:v>16105.594597377158</c:v>
              </c:pt>
              <c:pt idx="109">
                <c:v>10974.245746971566</c:v>
              </c:pt>
              <c:pt idx="110">
                <c:v>-9527.1808168739117</c:v>
              </c:pt>
              <c:pt idx="111">
                <c:v>14356.861442284926</c:v>
              </c:pt>
              <c:pt idx="112">
                <c:v>12057.35462241709</c:v>
              </c:pt>
              <c:pt idx="113">
                <c:v>-14691.501281441106</c:v>
              </c:pt>
              <c:pt idx="114">
                <c:v>-21929.254124523042</c:v>
              </c:pt>
              <c:pt idx="115">
                <c:v>-26467.037994667946</c:v>
              </c:pt>
              <c:pt idx="116">
                <c:v>-13238.148822832793</c:v>
              </c:pt>
              <c:pt idx="117">
                <c:v>-1654.1345610088911</c:v>
              </c:pt>
              <c:pt idx="118">
                <c:v>11218.76672570735</c:v>
              </c:pt>
              <c:pt idx="119">
                <c:v>-3731.0882534859561</c:v>
              </c:pt>
              <c:pt idx="120">
                <c:v>-7140.7912323472137</c:v>
              </c:pt>
              <c:pt idx="121">
                <c:v>-4733.1834499898723</c:v>
              </c:pt>
              <c:pt idx="122">
                <c:v>13586.695316494817</c:v>
              </c:pt>
              <c:pt idx="123">
                <c:v>-59745.866131808631</c:v>
              </c:pt>
              <c:pt idx="124">
                <c:v>-9352.1617617107458</c:v>
              </c:pt>
              <c:pt idx="125">
                <c:v>-12826.777809027564</c:v>
              </c:pt>
              <c:pt idx="126">
                <c:v>-1808.1341652045123</c:v>
              </c:pt>
              <c:pt idx="127">
                <c:v>-10920.573789642034</c:v>
              </c:pt>
              <c:pt idx="128">
                <c:v>17772.064709309801</c:v>
              </c:pt>
              <c:pt idx="129">
                <c:v>-1660.2592153722344</c:v>
              </c:pt>
              <c:pt idx="130">
                <c:v>13483.994099229474</c:v>
              </c:pt>
              <c:pt idx="131">
                <c:v>11355.382755503701</c:v>
              </c:pt>
              <c:pt idx="132">
                <c:v>18134.404017827172</c:v>
              </c:pt>
              <c:pt idx="133">
                <c:v>7609.5096269040032</c:v>
              </c:pt>
              <c:pt idx="134">
                <c:v>-17403.184795134843</c:v>
              </c:pt>
              <c:pt idx="135">
                <c:v>-1578.0517586977385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77F-4A5A-85D6-ACDA9C9EB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066168"/>
        <c:axId val="726066560"/>
      </c:scatterChart>
      <c:valAx>
        <c:axId val="726066168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R_D_Margin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6066560"/>
        <c:crossesAt val="-200000"/>
        <c:crossBetween val="midCat"/>
      </c:valAx>
      <c:valAx>
        <c:axId val="72606656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6066168"/>
        <c:crossesAt val="0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Rev_Growth
</a:t>
            </a:r>
            <a:r>
              <a:rPr lang="en-US" sz="1000"/>
              <a:t>Model 9 for EV    (6 variables, n=136)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36"/>
              <c:pt idx="0">
                <c:v>0.3669350534706135</c:v>
              </c:pt>
              <c:pt idx="1">
                <c:v>0.17939844250499792</c:v>
              </c:pt>
              <c:pt idx="2">
                <c:v>8.4287875513293642E-3</c:v>
              </c:pt>
              <c:pt idx="3">
                <c:v>4.5909889906875501E-2</c:v>
              </c:pt>
              <c:pt idx="4">
                <c:v>6.3792419977218628E-2</c:v>
              </c:pt>
              <c:pt idx="5">
                <c:v>0.20340544504430613</c:v>
              </c:pt>
              <c:pt idx="6">
                <c:v>0.13566846010258682</c:v>
              </c:pt>
              <c:pt idx="7">
                <c:v>9.2588012202160064E-2</c:v>
              </c:pt>
              <c:pt idx="8">
                <c:v>0.11687126928708191</c:v>
              </c:pt>
              <c:pt idx="9">
                <c:v>0.11455611954642619</c:v>
              </c:pt>
              <c:pt idx="10">
                <c:v>0.3814239960581427</c:v>
              </c:pt>
              <c:pt idx="11">
                <c:v>8.9157738796050046E-2</c:v>
              </c:pt>
              <c:pt idx="12">
                <c:v>6.0804126625211952E-2</c:v>
              </c:pt>
              <c:pt idx="13">
                <c:v>0.24470915467408383</c:v>
              </c:pt>
              <c:pt idx="14">
                <c:v>6.44086484290749E-2</c:v>
              </c:pt>
              <c:pt idx="15">
                <c:v>0.17218253183859034</c:v>
              </c:pt>
              <c:pt idx="16">
                <c:v>9.8193444027594667E-2</c:v>
              </c:pt>
              <c:pt idx="17">
                <c:v>9.9755926933540628E-2</c:v>
              </c:pt>
              <c:pt idx="18">
                <c:v>0.32427403147904221</c:v>
              </c:pt>
              <c:pt idx="19">
                <c:v>0.19284075768190023</c:v>
              </c:pt>
              <c:pt idx="20">
                <c:v>1.4443445708518534</c:v>
              </c:pt>
              <c:pt idx="21">
                <c:v>0.25282277859597468</c:v>
              </c:pt>
              <c:pt idx="22">
                <c:v>0.32675608348697449</c:v>
              </c:pt>
              <c:pt idx="23">
                <c:v>0.4558973541973701</c:v>
              </c:pt>
              <c:pt idx="24">
                <c:v>6.989213197969546E-2</c:v>
              </c:pt>
              <c:pt idx="25">
                <c:v>4.5615783060939163E-2</c:v>
              </c:pt>
              <c:pt idx="26">
                <c:v>0.21665138383569471</c:v>
              </c:pt>
              <c:pt idx="27">
                <c:v>8.4931082781860345E-2</c:v>
              </c:pt>
              <c:pt idx="28">
                <c:v>0.20546846268667451</c:v>
              </c:pt>
              <c:pt idx="29">
                <c:v>3.3148505303760789E-2</c:v>
              </c:pt>
              <c:pt idx="30">
                <c:v>6.3581033618146598E-2</c:v>
              </c:pt>
              <c:pt idx="31">
                <c:v>0.24161319405935378</c:v>
              </c:pt>
              <c:pt idx="32">
                <c:v>0.39882973076400785</c:v>
              </c:pt>
              <c:pt idx="33">
                <c:v>4.8298222232614041E-2</c:v>
              </c:pt>
              <c:pt idx="34">
                <c:v>3.3457797796119682E-2</c:v>
              </c:pt>
              <c:pt idx="35">
                <c:v>2.8465388663426294E-2</c:v>
              </c:pt>
              <c:pt idx="36">
                <c:v>0.18481063775957018</c:v>
              </c:pt>
              <c:pt idx="37">
                <c:v>7.2713000882189682E-2</c:v>
              </c:pt>
              <c:pt idx="38">
                <c:v>0.16425784080600758</c:v>
              </c:pt>
              <c:pt idx="39">
                <c:v>2.540134236457936E-2</c:v>
              </c:pt>
              <c:pt idx="40">
                <c:v>0.21314041853990284</c:v>
              </c:pt>
              <c:pt idx="41">
                <c:v>0.1779265510608794</c:v>
              </c:pt>
              <c:pt idx="42">
                <c:v>0.1851860649785193</c:v>
              </c:pt>
              <c:pt idx="43">
                <c:v>0.21000344730326859</c:v>
              </c:pt>
              <c:pt idx="44">
                <c:v>0.11651685176986892</c:v>
              </c:pt>
              <c:pt idx="45">
                <c:v>0.36518189524897715</c:v>
              </c:pt>
              <c:pt idx="46">
                <c:v>0.33777285869172391</c:v>
              </c:pt>
              <c:pt idx="47">
                <c:v>0.11512505167424569</c:v>
              </c:pt>
              <c:pt idx="48">
                <c:v>0.27187065021134593</c:v>
              </c:pt>
              <c:pt idx="49">
                <c:v>7.7772521897988778E-2</c:v>
              </c:pt>
              <c:pt idx="50">
                <c:v>0.15533940728225715</c:v>
              </c:pt>
              <c:pt idx="51">
                <c:v>0.32774285993421692</c:v>
              </c:pt>
              <c:pt idx="52">
                <c:v>1.2798168039962041</c:v>
              </c:pt>
              <c:pt idx="53">
                <c:v>7.4866249518044548E-2</c:v>
              </c:pt>
              <c:pt idx="54">
                <c:v>0.18003272596659103</c:v>
              </c:pt>
              <c:pt idx="55">
                <c:v>0.17472622601444865</c:v>
              </c:pt>
              <c:pt idx="56">
                <c:v>0.17074887275201789</c:v>
              </c:pt>
              <c:pt idx="57">
                <c:v>0.17845259402515357</c:v>
              </c:pt>
              <c:pt idx="58">
                <c:v>0.20755124106546718</c:v>
              </c:pt>
              <c:pt idx="59">
                <c:v>0.13407566857822273</c:v>
              </c:pt>
              <c:pt idx="60">
                <c:v>0.21536079842022415</c:v>
              </c:pt>
              <c:pt idx="61">
                <c:v>0.26431414661111607</c:v>
              </c:pt>
              <c:pt idx="62">
                <c:v>7.4856765799364622E-2</c:v>
              </c:pt>
              <c:pt idx="63">
                <c:v>0.33553348864665233</c:v>
              </c:pt>
              <c:pt idx="64">
                <c:v>0.25131331930295331</c:v>
              </c:pt>
              <c:pt idx="65">
                <c:v>0.10840677397719656</c:v>
              </c:pt>
              <c:pt idx="66">
                <c:v>8.0987787740784078E-2</c:v>
              </c:pt>
              <c:pt idx="67">
                <c:v>0.18090878735600224</c:v>
              </c:pt>
              <c:pt idx="68">
                <c:v>0.10723573897272698</c:v>
              </c:pt>
              <c:pt idx="69">
                <c:v>8.1155047470734543E-2</c:v>
              </c:pt>
              <c:pt idx="70">
                <c:v>0.10785176133707775</c:v>
              </c:pt>
              <c:pt idx="71">
                <c:v>4.5144101474923204E-3</c:v>
              </c:pt>
              <c:pt idx="72">
                <c:v>0.41248745064788483</c:v>
              </c:pt>
              <c:pt idx="73">
                <c:v>0.1806401563981197</c:v>
              </c:pt>
              <c:pt idx="74">
                <c:v>0.11360512866980788</c:v>
              </c:pt>
              <c:pt idx="75">
                <c:v>1.3954699502491508E-2</c:v>
              </c:pt>
              <c:pt idx="76">
                <c:v>0.23761000627341433</c:v>
              </c:pt>
              <c:pt idx="77">
                <c:v>0.31887370772507673</c:v>
              </c:pt>
              <c:pt idx="78">
                <c:v>0.39676325190343875</c:v>
              </c:pt>
              <c:pt idx="79">
                <c:v>0.12643285236175972</c:v>
              </c:pt>
              <c:pt idx="80">
                <c:v>-3.2419882822799839E-2</c:v>
              </c:pt>
              <c:pt idx="81">
                <c:v>1.7802077457975241E-2</c:v>
              </c:pt>
              <c:pt idx="82">
                <c:v>0.27870379794405276</c:v>
              </c:pt>
              <c:pt idx="83">
                <c:v>4.7487300909792252E-2</c:v>
              </c:pt>
              <c:pt idx="84">
                <c:v>0.18236074557512727</c:v>
              </c:pt>
              <c:pt idx="85">
                <c:v>0.30814478940144041</c:v>
              </c:pt>
              <c:pt idx="86">
                <c:v>0.1109023118563639</c:v>
              </c:pt>
              <c:pt idx="87">
                <c:v>2.8701272821758383E-2</c:v>
              </c:pt>
              <c:pt idx="88">
                <c:v>-3.982098141349466E-2</c:v>
              </c:pt>
              <c:pt idx="89">
                <c:v>1.3397856210463077E-2</c:v>
              </c:pt>
              <c:pt idx="90">
                <c:v>0.24844386259407103</c:v>
              </c:pt>
              <c:pt idx="91">
                <c:v>0.19889173489578238</c:v>
              </c:pt>
              <c:pt idx="92">
                <c:v>8.9842079791757845E-2</c:v>
              </c:pt>
              <c:pt idx="93">
                <c:v>0.44355718873420802</c:v>
              </c:pt>
              <c:pt idx="94">
                <c:v>-1.4085207919166232E-2</c:v>
              </c:pt>
              <c:pt idx="95">
                <c:v>0.29012158698208257</c:v>
              </c:pt>
              <c:pt idx="96">
                <c:v>0.12118158993992911</c:v>
              </c:pt>
              <c:pt idx="97">
                <c:v>7.5705500520764524E-2</c:v>
              </c:pt>
              <c:pt idx="98">
                <c:v>0.2349013248079701</c:v>
              </c:pt>
              <c:pt idx="99">
                <c:v>3.4475093708797866E-2</c:v>
              </c:pt>
              <c:pt idx="100">
                <c:v>0.18951518188509064</c:v>
              </c:pt>
              <c:pt idx="101">
                <c:v>0.17806318035514068</c:v>
              </c:pt>
              <c:pt idx="102">
                <c:v>0.21456790793125591</c:v>
              </c:pt>
              <c:pt idx="103">
                <c:v>0.14021314793477901</c:v>
              </c:pt>
              <c:pt idx="104">
                <c:v>0.24618641590165691</c:v>
              </c:pt>
              <c:pt idx="105">
                <c:v>0.2188899261151187</c:v>
              </c:pt>
              <c:pt idx="106">
                <c:v>9.5959012522825571E-2</c:v>
              </c:pt>
              <c:pt idx="107">
                <c:v>0.21729844335835513</c:v>
              </c:pt>
              <c:pt idx="108">
                <c:v>0.30594599654365151</c:v>
              </c:pt>
              <c:pt idx="109">
                <c:v>0.41861445945455178</c:v>
              </c:pt>
              <c:pt idx="110">
                <c:v>0.35823144628240677</c:v>
              </c:pt>
              <c:pt idx="111">
                <c:v>0.76024916182035529</c:v>
              </c:pt>
              <c:pt idx="112">
                <c:v>0.28899937720859659</c:v>
              </c:pt>
              <c:pt idx="113">
                <c:v>8.8234917900679388E-2</c:v>
              </c:pt>
              <c:pt idx="114">
                <c:v>1.003082767454107</c:v>
              </c:pt>
              <c:pt idx="115">
                <c:v>-1.180070437124503E-2</c:v>
              </c:pt>
              <c:pt idx="116">
                <c:v>7.1619985310756862E-2</c:v>
              </c:pt>
              <c:pt idx="117">
                <c:v>6.0124762155143952E-2</c:v>
              </c:pt>
              <c:pt idx="118">
                <c:v>0.31555089667677128</c:v>
              </c:pt>
              <c:pt idx="119">
                <c:v>0.56704682863946054</c:v>
              </c:pt>
              <c:pt idx="120">
                <c:v>0.2840470593780009</c:v>
              </c:pt>
              <c:pt idx="121">
                <c:v>0.70360160621062073</c:v>
              </c:pt>
              <c:pt idx="122">
                <c:v>0.35545257465776769</c:v>
              </c:pt>
              <c:pt idx="123">
                <c:v>0.30537113040322628</c:v>
              </c:pt>
              <c:pt idx="124">
                <c:v>0.20237266299744738</c:v>
              </c:pt>
              <c:pt idx="125">
                <c:v>0.34531610141587099</c:v>
              </c:pt>
              <c:pt idx="126">
                <c:v>0.1762724303997889</c:v>
              </c:pt>
              <c:pt idx="127">
                <c:v>0.19034512100899992</c:v>
              </c:pt>
              <c:pt idx="128">
                <c:v>7.2605999763788898E-2</c:v>
              </c:pt>
              <c:pt idx="129">
                <c:v>0.31412919220305247</c:v>
              </c:pt>
              <c:pt idx="130">
                <c:v>0.28482204336323713</c:v>
              </c:pt>
              <c:pt idx="131">
                <c:v>0.13434688178715493</c:v>
              </c:pt>
              <c:pt idx="132">
                <c:v>0.25507824501493381</c:v>
              </c:pt>
              <c:pt idx="133">
                <c:v>0.31519733798005456</c:v>
              </c:pt>
              <c:pt idx="134">
                <c:v>0.11091975107342789</c:v>
              </c:pt>
              <c:pt idx="135">
                <c:v>0.52388552100329933</c:v>
              </c:pt>
            </c:numLit>
          </c:xVal>
          <c:yVal>
            <c:numLit>
              <c:formatCode>General</c:formatCode>
              <c:ptCount val="136"/>
              <c:pt idx="0">
                <c:v>12425.663207525295</c:v>
              </c:pt>
              <c:pt idx="1">
                <c:v>-13371.762473682498</c:v>
              </c:pt>
              <c:pt idx="2">
                <c:v>-14781.977304862148</c:v>
              </c:pt>
              <c:pt idx="3">
                <c:v>-37448.772197139304</c:v>
              </c:pt>
              <c:pt idx="4">
                <c:v>-20693.231527622662</c:v>
              </c:pt>
              <c:pt idx="5">
                <c:v>86458.667197646122</c:v>
              </c:pt>
              <c:pt idx="6">
                <c:v>-13512.565415444358</c:v>
              </c:pt>
              <c:pt idx="7">
                <c:v>-14460.824151708552</c:v>
              </c:pt>
              <c:pt idx="8">
                <c:v>-11935.974514279678</c:v>
              </c:pt>
              <c:pt idx="9">
                <c:v>-1505.5839658984059</c:v>
              </c:pt>
              <c:pt idx="10">
                <c:v>14830.256465802737</c:v>
              </c:pt>
              <c:pt idx="11">
                <c:v>-7938.6799709128181</c:v>
              </c:pt>
              <c:pt idx="12">
                <c:v>-19206.179327226368</c:v>
              </c:pt>
              <c:pt idx="13">
                <c:v>-13816.201118848063</c:v>
              </c:pt>
              <c:pt idx="14">
                <c:v>2685.8023154129178</c:v>
              </c:pt>
              <c:pt idx="15">
                <c:v>-6952.3909049268095</c:v>
              </c:pt>
              <c:pt idx="16">
                <c:v>-29832.491106183377</c:v>
              </c:pt>
              <c:pt idx="17">
                <c:v>-35020.375986653278</c:v>
              </c:pt>
              <c:pt idx="18">
                <c:v>-1018.8298614003797</c:v>
              </c:pt>
              <c:pt idx="19">
                <c:v>-19486.852371700683</c:v>
              </c:pt>
              <c:pt idx="20">
                <c:v>8349.1014436418427</c:v>
              </c:pt>
              <c:pt idx="21">
                <c:v>13868.23954455169</c:v>
              </c:pt>
              <c:pt idx="22">
                <c:v>-7234.3612499359733</c:v>
              </c:pt>
              <c:pt idx="23">
                <c:v>-33444.330481777899</c:v>
              </c:pt>
              <c:pt idx="24">
                <c:v>-14020.446314317123</c:v>
              </c:pt>
              <c:pt idx="25">
                <c:v>-25111.370270814183</c:v>
              </c:pt>
              <c:pt idx="26">
                <c:v>-7226.4228147734211</c:v>
              </c:pt>
              <c:pt idx="27">
                <c:v>-22046.24538193077</c:v>
              </c:pt>
              <c:pt idx="28">
                <c:v>-6029.450292634825</c:v>
              </c:pt>
              <c:pt idx="29">
                <c:v>-15977.906266208993</c:v>
              </c:pt>
              <c:pt idx="30">
                <c:v>-18094.766064466421</c:v>
              </c:pt>
              <c:pt idx="31">
                <c:v>-25339.763012090531</c:v>
              </c:pt>
              <c:pt idx="32">
                <c:v>-5147.9152403280796</c:v>
              </c:pt>
              <c:pt idx="33">
                <c:v>-11679.605167415848</c:v>
              </c:pt>
              <c:pt idx="34">
                <c:v>-29284.737921987289</c:v>
              </c:pt>
              <c:pt idx="35">
                <c:v>-22521.654318522189</c:v>
              </c:pt>
              <c:pt idx="36">
                <c:v>-21351.269234476331</c:v>
              </c:pt>
              <c:pt idx="37">
                <c:v>-18770.736175329632</c:v>
              </c:pt>
              <c:pt idx="38">
                <c:v>21655.30644464853</c:v>
              </c:pt>
              <c:pt idx="39">
                <c:v>-18011.884280723305</c:v>
              </c:pt>
              <c:pt idx="40">
                <c:v>7683.1563956868122</c:v>
              </c:pt>
              <c:pt idx="41">
                <c:v>-5456.9968899294181</c:v>
              </c:pt>
              <c:pt idx="42">
                <c:v>-15189.718195931715</c:v>
              </c:pt>
              <c:pt idx="43">
                <c:v>6322.5203450781319</c:v>
              </c:pt>
              <c:pt idx="44">
                <c:v>-25362.503213367192</c:v>
              </c:pt>
              <c:pt idx="45">
                <c:v>41188.286167289531</c:v>
              </c:pt>
              <c:pt idx="46">
                <c:v>-18630.695947567539</c:v>
              </c:pt>
              <c:pt idx="47">
                <c:v>1497.0256008401157</c:v>
              </c:pt>
              <c:pt idx="48">
                <c:v>-15861.579918790687</c:v>
              </c:pt>
              <c:pt idx="49">
                <c:v>-17256.832029153986</c:v>
              </c:pt>
              <c:pt idx="50">
                <c:v>-17685.31742332879</c:v>
              </c:pt>
              <c:pt idx="51">
                <c:v>16162.791911505432</c:v>
              </c:pt>
              <c:pt idx="52">
                <c:v>-32166.335634475243</c:v>
              </c:pt>
              <c:pt idx="53">
                <c:v>-14122.582387272672</c:v>
              </c:pt>
              <c:pt idx="54">
                <c:v>-11901.982989881615</c:v>
              </c:pt>
              <c:pt idx="55">
                <c:v>15928.209021474097</c:v>
              </c:pt>
              <c:pt idx="56">
                <c:v>-15162.503848318111</c:v>
              </c:pt>
              <c:pt idx="57">
                <c:v>-7002.9376107516673</c:v>
              </c:pt>
              <c:pt idx="58">
                <c:v>18844.954388662569</c:v>
              </c:pt>
              <c:pt idx="59">
                <c:v>-9716.6888645399886</c:v>
              </c:pt>
              <c:pt idx="60">
                <c:v>21956.77142897046</c:v>
              </c:pt>
              <c:pt idx="61">
                <c:v>-95.22219416686039</c:v>
              </c:pt>
              <c:pt idx="62">
                <c:v>-13351.809917141101</c:v>
              </c:pt>
              <c:pt idx="63">
                <c:v>3361.131755732154</c:v>
              </c:pt>
              <c:pt idx="64">
                <c:v>5070.4453026648071</c:v>
              </c:pt>
              <c:pt idx="65">
                <c:v>18304.025124650689</c:v>
              </c:pt>
              <c:pt idx="66">
                <c:v>-26109.814362880716</c:v>
              </c:pt>
              <c:pt idx="67">
                <c:v>-24467.267338541802</c:v>
              </c:pt>
              <c:pt idx="68">
                <c:v>-13822.993284593329</c:v>
              </c:pt>
              <c:pt idx="69">
                <c:v>-42371.63552278842</c:v>
              </c:pt>
              <c:pt idx="70">
                <c:v>-23326.835517335108</c:v>
              </c:pt>
              <c:pt idx="71">
                <c:v>-20099.224492619593</c:v>
              </c:pt>
              <c:pt idx="72">
                <c:v>39504.12055277302</c:v>
              </c:pt>
              <c:pt idx="73">
                <c:v>-6747.010579945636</c:v>
              </c:pt>
              <c:pt idx="74">
                <c:v>711181.2614437656</c:v>
              </c:pt>
              <c:pt idx="75">
                <c:v>-9025.3871247696916</c:v>
              </c:pt>
              <c:pt idx="76">
                <c:v>-18691.517424215956</c:v>
              </c:pt>
              <c:pt idx="77">
                <c:v>3838.1787931996423</c:v>
              </c:pt>
              <c:pt idx="78">
                <c:v>676.77922286130411</c:v>
              </c:pt>
              <c:pt idx="79">
                <c:v>-1433.8561101544819</c:v>
              </c:pt>
              <c:pt idx="80">
                <c:v>-792.36678230290363</c:v>
              </c:pt>
              <c:pt idx="81">
                <c:v>-23819.619574794535</c:v>
              </c:pt>
              <c:pt idx="82">
                <c:v>-14781.740534028866</c:v>
              </c:pt>
              <c:pt idx="83">
                <c:v>-19952.756770449545</c:v>
              </c:pt>
              <c:pt idx="84">
                <c:v>-11007.061722040587</c:v>
              </c:pt>
              <c:pt idx="85">
                <c:v>25095.649573711882</c:v>
              </c:pt>
              <c:pt idx="86">
                <c:v>-8184.0307964628983</c:v>
              </c:pt>
              <c:pt idx="87">
                <c:v>-31381.772549721689</c:v>
              </c:pt>
              <c:pt idx="88">
                <c:v>10845.980833742256</c:v>
              </c:pt>
              <c:pt idx="89">
                <c:v>133594.42074069494</c:v>
              </c:pt>
              <c:pt idx="90">
                <c:v>-15545.843703169685</c:v>
              </c:pt>
              <c:pt idx="91">
                <c:v>-14559.754846935895</c:v>
              </c:pt>
              <c:pt idx="92">
                <c:v>-13423.211017236008</c:v>
              </c:pt>
              <c:pt idx="93">
                <c:v>2579.1485933999184</c:v>
              </c:pt>
              <c:pt idx="94">
                <c:v>-37908.298689921088</c:v>
              </c:pt>
              <c:pt idx="95">
                <c:v>-8090.8738674507231</c:v>
              </c:pt>
              <c:pt idx="96">
                <c:v>2398.5872138625082</c:v>
              </c:pt>
              <c:pt idx="97">
                <c:v>-11751.048180122794</c:v>
              </c:pt>
              <c:pt idx="98">
                <c:v>-3147.5123399572917</c:v>
              </c:pt>
              <c:pt idx="99">
                <c:v>-11103.716124715413</c:v>
              </c:pt>
              <c:pt idx="100">
                <c:v>-25783.367993906773</c:v>
              </c:pt>
              <c:pt idx="101">
                <c:v>1657.7373752314393</c:v>
              </c:pt>
              <c:pt idx="102">
                <c:v>-20131.2667339285</c:v>
              </c:pt>
              <c:pt idx="103">
                <c:v>-6957.3483007473478</c:v>
              </c:pt>
              <c:pt idx="104">
                <c:v>-3969.8354682050422</c:v>
              </c:pt>
              <c:pt idx="105">
                <c:v>80477.647002860729</c:v>
              </c:pt>
              <c:pt idx="106">
                <c:v>-8591.0850129125938</c:v>
              </c:pt>
              <c:pt idx="107">
                <c:v>1527.9074135467031</c:v>
              </c:pt>
              <c:pt idx="108">
                <c:v>16105.594597377158</c:v>
              </c:pt>
              <c:pt idx="109">
                <c:v>10974.245746971566</c:v>
              </c:pt>
              <c:pt idx="110">
                <c:v>-9527.1808168739117</c:v>
              </c:pt>
              <c:pt idx="111">
                <c:v>14356.861442284926</c:v>
              </c:pt>
              <c:pt idx="112">
                <c:v>12057.35462241709</c:v>
              </c:pt>
              <c:pt idx="113">
                <c:v>-14691.501281441106</c:v>
              </c:pt>
              <c:pt idx="114">
                <c:v>-21929.254124523042</c:v>
              </c:pt>
              <c:pt idx="115">
                <c:v>-26467.037994667946</c:v>
              </c:pt>
              <c:pt idx="116">
                <c:v>-13238.148822832793</c:v>
              </c:pt>
              <c:pt idx="117">
                <c:v>-1654.1345610088911</c:v>
              </c:pt>
              <c:pt idx="118">
                <c:v>11218.76672570735</c:v>
              </c:pt>
              <c:pt idx="119">
                <c:v>-3731.0882534859561</c:v>
              </c:pt>
              <c:pt idx="120">
                <c:v>-7140.7912323472137</c:v>
              </c:pt>
              <c:pt idx="121">
                <c:v>-4733.1834499898723</c:v>
              </c:pt>
              <c:pt idx="122">
                <c:v>13586.695316494817</c:v>
              </c:pt>
              <c:pt idx="123">
                <c:v>-59745.866131808631</c:v>
              </c:pt>
              <c:pt idx="124">
                <c:v>-9352.1617617107458</c:v>
              </c:pt>
              <c:pt idx="125">
                <c:v>-12826.777809027564</c:v>
              </c:pt>
              <c:pt idx="126">
                <c:v>-1808.1341652045123</c:v>
              </c:pt>
              <c:pt idx="127">
                <c:v>-10920.573789642034</c:v>
              </c:pt>
              <c:pt idx="128">
                <c:v>17772.064709309801</c:v>
              </c:pt>
              <c:pt idx="129">
                <c:v>-1660.2592153722344</c:v>
              </c:pt>
              <c:pt idx="130">
                <c:v>13483.994099229474</c:v>
              </c:pt>
              <c:pt idx="131">
                <c:v>11355.382755503701</c:v>
              </c:pt>
              <c:pt idx="132">
                <c:v>18134.404017827172</c:v>
              </c:pt>
              <c:pt idx="133">
                <c:v>7609.5096269040032</c:v>
              </c:pt>
              <c:pt idx="134">
                <c:v>-17403.184795134843</c:v>
              </c:pt>
              <c:pt idx="135">
                <c:v>-1578.0517586977385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1AE-43C7-9DA1-A7F45AD7B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067344"/>
        <c:axId val="726067736"/>
      </c:scatterChart>
      <c:valAx>
        <c:axId val="726067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Rev_Growth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6067736"/>
        <c:crossesAt val="-200000"/>
        <c:crossBetween val="midCat"/>
      </c:valAx>
      <c:valAx>
        <c:axId val="726067736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6067344"/>
        <c:crossesAt val="-0.2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S_M_Margin
</a:t>
            </a:r>
            <a:r>
              <a:rPr lang="en-US" sz="1000"/>
              <a:t>Model 9 for EV    (6 variables, n=136)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36"/>
              <c:pt idx="0">
                <c:v>0.4353895551279573</c:v>
              </c:pt>
              <c:pt idx="1">
                <c:v>0.5924919598103191</c:v>
              </c:pt>
              <c:pt idx="2">
                <c:v>0.43812405446293501</c:v>
              </c:pt>
              <c:pt idx="3">
                <c:v>0.43699714186323541</c:v>
              </c:pt>
              <c:pt idx="4">
                <c:v>0.10827098606532287</c:v>
              </c:pt>
              <c:pt idx="5">
                <c:v>0.25636930006119946</c:v>
              </c:pt>
              <c:pt idx="6">
                <c:v>0.14176248215714263</c:v>
              </c:pt>
              <c:pt idx="7">
                <c:v>0.11566520123723734</c:v>
              </c:pt>
              <c:pt idx="8">
                <c:v>0.43153508277959235</c:v>
              </c:pt>
              <c:pt idx="9">
                <c:v>0.22081623409978404</c:v>
              </c:pt>
              <c:pt idx="10">
                <c:v>0.40909090909090912</c:v>
              </c:pt>
              <c:pt idx="11">
                <c:v>0.27482441807348168</c:v>
              </c:pt>
              <c:pt idx="12">
                <c:v>0.18246537591859807</c:v>
              </c:pt>
              <c:pt idx="13">
                <c:v>0.17359414681339944</c:v>
              </c:pt>
              <c:pt idx="14">
                <c:v>0.3963750489629525</c:v>
              </c:pt>
              <c:pt idx="15">
                <c:v>0.41392050000470637</c:v>
              </c:pt>
              <c:pt idx="16">
                <c:v>0.20235068486568944</c:v>
              </c:pt>
              <c:pt idx="17">
                <c:v>0.19603575592693354</c:v>
              </c:pt>
              <c:pt idx="18">
                <c:v>0.19842224811699938</c:v>
              </c:pt>
              <c:pt idx="19">
                <c:v>0.49302894191013868</c:v>
              </c:pt>
              <c:pt idx="20">
                <c:v>0.20959295280444246</c:v>
              </c:pt>
              <c:pt idx="21">
                <c:v>0.48525014504395947</c:v>
              </c:pt>
              <c:pt idx="22">
                <c:v>0.62767230095843951</c:v>
              </c:pt>
              <c:pt idx="23">
                <c:v>0.2563865212843971</c:v>
              </c:pt>
              <c:pt idx="24">
                <c:v>0.27474619289340102</c:v>
              </c:pt>
              <c:pt idx="25">
                <c:v>0.20830207251709093</c:v>
              </c:pt>
              <c:pt idx="26">
                <c:v>0.54118476449650466</c:v>
              </c:pt>
              <c:pt idx="27">
                <c:v>0.2179976452437985</c:v>
              </c:pt>
              <c:pt idx="28">
                <c:v>0.54680841091168686</c:v>
              </c:pt>
              <c:pt idx="29">
                <c:v>0.25578592092574737</c:v>
              </c:pt>
              <c:pt idx="30">
                <c:v>0.20250360646487209</c:v>
              </c:pt>
              <c:pt idx="31">
                <c:v>0.34298669503449786</c:v>
              </c:pt>
              <c:pt idx="32">
                <c:v>0.66160949053785467</c:v>
              </c:pt>
              <c:pt idx="33">
                <c:v>0.49486777806355076</c:v>
              </c:pt>
              <c:pt idx="34">
                <c:v>0.22848902461718351</c:v>
              </c:pt>
              <c:pt idx="35">
                <c:v>0.34594041478658438</c:v>
              </c:pt>
              <c:pt idx="36">
                <c:v>0.72608401611427897</c:v>
              </c:pt>
              <c:pt idx="37">
                <c:v>0.57881645664164783</c:v>
              </c:pt>
              <c:pt idx="38">
                <c:v>6.4733952045345974E-2</c:v>
              </c:pt>
              <c:pt idx="39">
                <c:v>0.46260940887439295</c:v>
              </c:pt>
              <c:pt idx="40">
                <c:v>0.40494762545927565</c:v>
              </c:pt>
              <c:pt idx="41">
                <c:v>0.12311569027986936</c:v>
              </c:pt>
              <c:pt idx="42">
                <c:v>0.43008734839589802</c:v>
              </c:pt>
              <c:pt idx="43">
                <c:v>0.48735466482810497</c:v>
              </c:pt>
              <c:pt idx="44">
                <c:v>0.12753065270532982</c:v>
              </c:pt>
              <c:pt idx="45">
                <c:v>1.2144963326084552</c:v>
              </c:pt>
              <c:pt idx="46">
                <c:v>0.28370075894470548</c:v>
              </c:pt>
              <c:pt idx="47">
                <c:v>0.13249276560562215</c:v>
              </c:pt>
              <c:pt idx="48">
                <c:v>3.7884262798690331E-2</c:v>
              </c:pt>
              <c:pt idx="49">
                <c:v>0.28840099825468546</c:v>
              </c:pt>
              <c:pt idx="50">
                <c:v>0.14052470449453497</c:v>
              </c:pt>
              <c:pt idx="51">
                <c:v>0.38263262448301688</c:v>
              </c:pt>
              <c:pt idx="52">
                <c:v>0.17770238652316328</c:v>
              </c:pt>
              <c:pt idx="53">
                <c:v>0.46864329256768161</c:v>
              </c:pt>
              <c:pt idx="54">
                <c:v>0.29519886124278849</c:v>
              </c:pt>
              <c:pt idx="55">
                <c:v>0.58653431831151026</c:v>
              </c:pt>
              <c:pt idx="56">
                <c:v>0.42976486419382226</c:v>
              </c:pt>
              <c:pt idx="57">
                <c:v>0.31338514576751675</c:v>
              </c:pt>
              <c:pt idx="58">
                <c:v>0.28332800411495862</c:v>
              </c:pt>
              <c:pt idx="59">
                <c:v>0.18775252735350578</c:v>
              </c:pt>
              <c:pt idx="60">
                <c:v>0.64699703630446226</c:v>
              </c:pt>
              <c:pt idx="61">
                <c:v>0.48223715957670954</c:v>
              </c:pt>
              <c:pt idx="62">
                <c:v>0.44235604635817416</c:v>
              </c:pt>
              <c:pt idx="63">
                <c:v>7.164089431901971E-2</c:v>
              </c:pt>
              <c:pt idx="64">
                <c:v>0.45291797637918807</c:v>
              </c:pt>
              <c:pt idx="65">
                <c:v>0.27397719651240776</c:v>
              </c:pt>
              <c:pt idx="66">
                <c:v>0.28510463458172064</c:v>
              </c:pt>
              <c:pt idx="67">
                <c:v>0.20368412265568483</c:v>
              </c:pt>
              <c:pt idx="68">
                <c:v>0.38884183690928381</c:v>
              </c:pt>
              <c:pt idx="69">
                <c:v>0.30699894706106162</c:v>
              </c:pt>
              <c:pt idx="70">
                <c:v>0.10027346639823038</c:v>
              </c:pt>
              <c:pt idx="71">
                <c:v>8.4959660175673718E-2</c:v>
              </c:pt>
              <c:pt idx="72">
                <c:v>0.57193834821916245</c:v>
              </c:pt>
              <c:pt idx="73">
                <c:v>0.2070979423544346</c:v>
              </c:pt>
              <c:pt idx="74">
                <c:v>0.15829104748097136</c:v>
              </c:pt>
              <c:pt idx="75">
                <c:v>0.34445264200297476</c:v>
              </c:pt>
              <c:pt idx="76">
                <c:v>0.42973244064180216</c:v>
              </c:pt>
              <c:pt idx="77">
                <c:v>0.33921478801732324</c:v>
              </c:pt>
              <c:pt idx="78">
                <c:v>0.2613214015083174</c:v>
              </c:pt>
              <c:pt idx="79">
                <c:v>0.53193765196918985</c:v>
              </c:pt>
              <c:pt idx="80">
                <c:v>0.2658610466200616</c:v>
              </c:pt>
              <c:pt idx="81">
                <c:v>0.37674202220730935</c:v>
              </c:pt>
              <c:pt idx="82">
                <c:v>0.54026948100245054</c:v>
              </c:pt>
              <c:pt idx="83">
                <c:v>0.19828958856392076</c:v>
              </c:pt>
              <c:pt idx="84">
                <c:v>0.56225112661050991</c:v>
              </c:pt>
              <c:pt idx="85">
                <c:v>0.53354616820123701</c:v>
              </c:pt>
              <c:pt idx="86">
                <c:v>0.29406135042717996</c:v>
              </c:pt>
              <c:pt idx="87">
                <c:v>0.18804109488317342</c:v>
              </c:pt>
              <c:pt idx="88">
                <c:v>0.15005284263262289</c:v>
              </c:pt>
              <c:pt idx="89">
                <c:v>0.21164273521437896</c:v>
              </c:pt>
              <c:pt idx="90">
                <c:v>0.30221593966604288</c:v>
              </c:pt>
              <c:pt idx="91">
                <c:v>0.25291965872639571</c:v>
              </c:pt>
              <c:pt idx="92">
                <c:v>0.36086482575212958</c:v>
              </c:pt>
              <c:pt idx="93">
                <c:v>0.43418015216828026</c:v>
              </c:pt>
              <c:pt idx="94">
                <c:v>0.23971725083413989</c:v>
              </c:pt>
              <c:pt idx="95">
                <c:v>0.42152705171925225</c:v>
              </c:pt>
              <c:pt idx="96">
                <c:v>0.37096782977611004</c:v>
              </c:pt>
              <c:pt idx="97">
                <c:v>0.30181365285433243</c:v>
              </c:pt>
              <c:pt idx="98">
                <c:v>0.19130951993717502</c:v>
              </c:pt>
              <c:pt idx="99">
                <c:v>0.22949292197886184</c:v>
              </c:pt>
              <c:pt idx="100">
                <c:v>0.24998434050016441</c:v>
              </c:pt>
              <c:pt idx="101">
                <c:v>0.50447090521138471</c:v>
              </c:pt>
              <c:pt idx="102">
                <c:v>0.21320020509085089</c:v>
              </c:pt>
              <c:pt idx="103">
                <c:v>0.37970630937781852</c:v>
              </c:pt>
              <c:pt idx="104">
                <c:v>0.44725817491409769</c:v>
              </c:pt>
              <c:pt idx="105">
                <c:v>0.40864399631607928</c:v>
              </c:pt>
              <c:pt idx="106">
                <c:v>0.3067190359511896</c:v>
              </c:pt>
              <c:pt idx="107">
                <c:v>0.21969927273577627</c:v>
              </c:pt>
              <c:pt idx="108">
                <c:v>0.41796603523991765</c:v>
              </c:pt>
              <c:pt idx="109">
                <c:v>0.26441089397157597</c:v>
              </c:pt>
              <c:pt idx="110">
                <c:v>0.2116168361930203</c:v>
              </c:pt>
              <c:pt idx="111">
                <c:v>0.65548794189819592</c:v>
              </c:pt>
              <c:pt idx="112">
                <c:v>0.55817645019947282</c:v>
              </c:pt>
              <c:pt idx="113">
                <c:v>0.31251465678603868</c:v>
              </c:pt>
              <c:pt idx="114">
                <c:v>5.4475715675295321E-2</c:v>
              </c:pt>
              <c:pt idx="115">
                <c:v>0.33001864512119328</c:v>
              </c:pt>
              <c:pt idx="116">
                <c:v>0.18171255400943553</c:v>
              </c:pt>
              <c:pt idx="117">
                <c:v>0.52121490497789513</c:v>
              </c:pt>
              <c:pt idx="118">
                <c:v>0.49234779159701952</c:v>
              </c:pt>
              <c:pt idx="119">
                <c:v>0.61951131163870943</c:v>
              </c:pt>
              <c:pt idx="120">
                <c:v>3.2649358147316829E-2</c:v>
              </c:pt>
              <c:pt idx="121">
                <c:v>0.14528740118616318</c:v>
              </c:pt>
              <c:pt idx="122">
                <c:v>0.20434265439015278</c:v>
              </c:pt>
              <c:pt idx="123">
                <c:v>0.19589767041169956</c:v>
              </c:pt>
              <c:pt idx="124">
                <c:v>0.26054192287300054</c:v>
              </c:pt>
              <c:pt idx="125">
                <c:v>0.12600428054000659</c:v>
              </c:pt>
              <c:pt idx="126">
                <c:v>0.56033117825570655</c:v>
              </c:pt>
              <c:pt idx="127">
                <c:v>0.1708351604752657</c:v>
              </c:pt>
              <c:pt idx="128">
                <c:v>0.30624778552025511</c:v>
              </c:pt>
              <c:pt idx="129">
                <c:v>0.39813392069455072</c:v>
              </c:pt>
              <c:pt idx="130">
                <c:v>0.28142574515120466</c:v>
              </c:pt>
              <c:pt idx="131">
                <c:v>0.37303754266211603</c:v>
              </c:pt>
              <c:pt idx="132">
                <c:v>0.63955918868960371</c:v>
              </c:pt>
              <c:pt idx="133">
                <c:v>0.43462988668694685</c:v>
              </c:pt>
              <c:pt idx="134">
                <c:v>0.24008324727793176</c:v>
              </c:pt>
              <c:pt idx="135">
                <c:v>0.43523337660636235</c:v>
              </c:pt>
            </c:numLit>
          </c:xVal>
          <c:yVal>
            <c:numLit>
              <c:formatCode>General</c:formatCode>
              <c:ptCount val="136"/>
              <c:pt idx="0">
                <c:v>12425.663207525295</c:v>
              </c:pt>
              <c:pt idx="1">
                <c:v>-13371.762473682498</c:v>
              </c:pt>
              <c:pt idx="2">
                <c:v>-14781.977304862148</c:v>
              </c:pt>
              <c:pt idx="3">
                <c:v>-37448.772197139304</c:v>
              </c:pt>
              <c:pt idx="4">
                <c:v>-20693.231527622662</c:v>
              </c:pt>
              <c:pt idx="5">
                <c:v>86458.667197646122</c:v>
              </c:pt>
              <c:pt idx="6">
                <c:v>-13512.565415444358</c:v>
              </c:pt>
              <c:pt idx="7">
                <c:v>-14460.824151708552</c:v>
              </c:pt>
              <c:pt idx="8">
                <c:v>-11935.974514279678</c:v>
              </c:pt>
              <c:pt idx="9">
                <c:v>-1505.5839658984059</c:v>
              </c:pt>
              <c:pt idx="10">
                <c:v>14830.256465802737</c:v>
              </c:pt>
              <c:pt idx="11">
                <c:v>-7938.6799709128181</c:v>
              </c:pt>
              <c:pt idx="12">
                <c:v>-19206.179327226368</c:v>
              </c:pt>
              <c:pt idx="13">
                <c:v>-13816.201118848063</c:v>
              </c:pt>
              <c:pt idx="14">
                <c:v>2685.8023154129178</c:v>
              </c:pt>
              <c:pt idx="15">
                <c:v>-6952.3909049268095</c:v>
              </c:pt>
              <c:pt idx="16">
                <c:v>-29832.491106183377</c:v>
              </c:pt>
              <c:pt idx="17">
                <c:v>-35020.375986653278</c:v>
              </c:pt>
              <c:pt idx="18">
                <c:v>-1018.8298614003797</c:v>
              </c:pt>
              <c:pt idx="19">
                <c:v>-19486.852371700683</c:v>
              </c:pt>
              <c:pt idx="20">
                <c:v>8349.1014436418427</c:v>
              </c:pt>
              <c:pt idx="21">
                <c:v>13868.23954455169</c:v>
              </c:pt>
              <c:pt idx="22">
                <c:v>-7234.3612499359733</c:v>
              </c:pt>
              <c:pt idx="23">
                <c:v>-33444.330481777899</c:v>
              </c:pt>
              <c:pt idx="24">
                <c:v>-14020.446314317123</c:v>
              </c:pt>
              <c:pt idx="25">
                <c:v>-25111.370270814183</c:v>
              </c:pt>
              <c:pt idx="26">
                <c:v>-7226.4228147734211</c:v>
              </c:pt>
              <c:pt idx="27">
                <c:v>-22046.24538193077</c:v>
              </c:pt>
              <c:pt idx="28">
                <c:v>-6029.450292634825</c:v>
              </c:pt>
              <c:pt idx="29">
                <c:v>-15977.906266208993</c:v>
              </c:pt>
              <c:pt idx="30">
                <c:v>-18094.766064466421</c:v>
              </c:pt>
              <c:pt idx="31">
                <c:v>-25339.763012090531</c:v>
              </c:pt>
              <c:pt idx="32">
                <c:v>-5147.9152403280796</c:v>
              </c:pt>
              <c:pt idx="33">
                <c:v>-11679.605167415848</c:v>
              </c:pt>
              <c:pt idx="34">
                <c:v>-29284.737921987289</c:v>
              </c:pt>
              <c:pt idx="35">
                <c:v>-22521.654318522189</c:v>
              </c:pt>
              <c:pt idx="36">
                <c:v>-21351.269234476331</c:v>
              </c:pt>
              <c:pt idx="37">
                <c:v>-18770.736175329632</c:v>
              </c:pt>
              <c:pt idx="38">
                <c:v>21655.30644464853</c:v>
              </c:pt>
              <c:pt idx="39">
                <c:v>-18011.884280723305</c:v>
              </c:pt>
              <c:pt idx="40">
                <c:v>7683.1563956868122</c:v>
              </c:pt>
              <c:pt idx="41">
                <c:v>-5456.9968899294181</c:v>
              </c:pt>
              <c:pt idx="42">
                <c:v>-15189.718195931715</c:v>
              </c:pt>
              <c:pt idx="43">
                <c:v>6322.5203450781319</c:v>
              </c:pt>
              <c:pt idx="44">
                <c:v>-25362.503213367192</c:v>
              </c:pt>
              <c:pt idx="45">
                <c:v>41188.286167289531</c:v>
              </c:pt>
              <c:pt idx="46">
                <c:v>-18630.695947567539</c:v>
              </c:pt>
              <c:pt idx="47">
                <c:v>1497.0256008401157</c:v>
              </c:pt>
              <c:pt idx="48">
                <c:v>-15861.579918790687</c:v>
              </c:pt>
              <c:pt idx="49">
                <c:v>-17256.832029153986</c:v>
              </c:pt>
              <c:pt idx="50">
                <c:v>-17685.31742332879</c:v>
              </c:pt>
              <c:pt idx="51">
                <c:v>16162.791911505432</c:v>
              </c:pt>
              <c:pt idx="52">
                <c:v>-32166.335634475243</c:v>
              </c:pt>
              <c:pt idx="53">
                <c:v>-14122.582387272672</c:v>
              </c:pt>
              <c:pt idx="54">
                <c:v>-11901.982989881615</c:v>
              </c:pt>
              <c:pt idx="55">
                <c:v>15928.209021474097</c:v>
              </c:pt>
              <c:pt idx="56">
                <c:v>-15162.503848318111</c:v>
              </c:pt>
              <c:pt idx="57">
                <c:v>-7002.9376107516673</c:v>
              </c:pt>
              <c:pt idx="58">
                <c:v>18844.954388662569</c:v>
              </c:pt>
              <c:pt idx="59">
                <c:v>-9716.6888645399886</c:v>
              </c:pt>
              <c:pt idx="60">
                <c:v>21956.77142897046</c:v>
              </c:pt>
              <c:pt idx="61">
                <c:v>-95.22219416686039</c:v>
              </c:pt>
              <c:pt idx="62">
                <c:v>-13351.809917141101</c:v>
              </c:pt>
              <c:pt idx="63">
                <c:v>3361.131755732154</c:v>
              </c:pt>
              <c:pt idx="64">
                <c:v>5070.4453026648071</c:v>
              </c:pt>
              <c:pt idx="65">
                <c:v>18304.025124650689</c:v>
              </c:pt>
              <c:pt idx="66">
                <c:v>-26109.814362880716</c:v>
              </c:pt>
              <c:pt idx="67">
                <c:v>-24467.267338541802</c:v>
              </c:pt>
              <c:pt idx="68">
                <c:v>-13822.993284593329</c:v>
              </c:pt>
              <c:pt idx="69">
                <c:v>-42371.63552278842</c:v>
              </c:pt>
              <c:pt idx="70">
                <c:v>-23326.835517335108</c:v>
              </c:pt>
              <c:pt idx="71">
                <c:v>-20099.224492619593</c:v>
              </c:pt>
              <c:pt idx="72">
                <c:v>39504.12055277302</c:v>
              </c:pt>
              <c:pt idx="73">
                <c:v>-6747.010579945636</c:v>
              </c:pt>
              <c:pt idx="74">
                <c:v>711181.2614437656</c:v>
              </c:pt>
              <c:pt idx="75">
                <c:v>-9025.3871247696916</c:v>
              </c:pt>
              <c:pt idx="76">
                <c:v>-18691.517424215956</c:v>
              </c:pt>
              <c:pt idx="77">
                <c:v>3838.1787931996423</c:v>
              </c:pt>
              <c:pt idx="78">
                <c:v>676.77922286130411</c:v>
              </c:pt>
              <c:pt idx="79">
                <c:v>-1433.8561101544819</c:v>
              </c:pt>
              <c:pt idx="80">
                <c:v>-792.36678230290363</c:v>
              </c:pt>
              <c:pt idx="81">
                <c:v>-23819.619574794535</c:v>
              </c:pt>
              <c:pt idx="82">
                <c:v>-14781.740534028866</c:v>
              </c:pt>
              <c:pt idx="83">
                <c:v>-19952.756770449545</c:v>
              </c:pt>
              <c:pt idx="84">
                <c:v>-11007.061722040587</c:v>
              </c:pt>
              <c:pt idx="85">
                <c:v>25095.649573711882</c:v>
              </c:pt>
              <c:pt idx="86">
                <c:v>-8184.0307964628983</c:v>
              </c:pt>
              <c:pt idx="87">
                <c:v>-31381.772549721689</c:v>
              </c:pt>
              <c:pt idx="88">
                <c:v>10845.980833742256</c:v>
              </c:pt>
              <c:pt idx="89">
                <c:v>133594.42074069494</c:v>
              </c:pt>
              <c:pt idx="90">
                <c:v>-15545.843703169685</c:v>
              </c:pt>
              <c:pt idx="91">
                <c:v>-14559.754846935895</c:v>
              </c:pt>
              <c:pt idx="92">
                <c:v>-13423.211017236008</c:v>
              </c:pt>
              <c:pt idx="93">
                <c:v>2579.1485933999184</c:v>
              </c:pt>
              <c:pt idx="94">
                <c:v>-37908.298689921088</c:v>
              </c:pt>
              <c:pt idx="95">
                <c:v>-8090.8738674507231</c:v>
              </c:pt>
              <c:pt idx="96">
                <c:v>2398.5872138625082</c:v>
              </c:pt>
              <c:pt idx="97">
                <c:v>-11751.048180122794</c:v>
              </c:pt>
              <c:pt idx="98">
                <c:v>-3147.5123399572917</c:v>
              </c:pt>
              <c:pt idx="99">
                <c:v>-11103.716124715413</c:v>
              </c:pt>
              <c:pt idx="100">
                <c:v>-25783.367993906773</c:v>
              </c:pt>
              <c:pt idx="101">
                <c:v>1657.7373752314393</c:v>
              </c:pt>
              <c:pt idx="102">
                <c:v>-20131.2667339285</c:v>
              </c:pt>
              <c:pt idx="103">
                <c:v>-6957.3483007473478</c:v>
              </c:pt>
              <c:pt idx="104">
                <c:v>-3969.8354682050422</c:v>
              </c:pt>
              <c:pt idx="105">
                <c:v>80477.647002860729</c:v>
              </c:pt>
              <c:pt idx="106">
                <c:v>-8591.0850129125938</c:v>
              </c:pt>
              <c:pt idx="107">
                <c:v>1527.9074135467031</c:v>
              </c:pt>
              <c:pt idx="108">
                <c:v>16105.594597377158</c:v>
              </c:pt>
              <c:pt idx="109">
                <c:v>10974.245746971566</c:v>
              </c:pt>
              <c:pt idx="110">
                <c:v>-9527.1808168739117</c:v>
              </c:pt>
              <c:pt idx="111">
                <c:v>14356.861442284926</c:v>
              </c:pt>
              <c:pt idx="112">
                <c:v>12057.35462241709</c:v>
              </c:pt>
              <c:pt idx="113">
                <c:v>-14691.501281441106</c:v>
              </c:pt>
              <c:pt idx="114">
                <c:v>-21929.254124523042</c:v>
              </c:pt>
              <c:pt idx="115">
                <c:v>-26467.037994667946</c:v>
              </c:pt>
              <c:pt idx="116">
                <c:v>-13238.148822832793</c:v>
              </c:pt>
              <c:pt idx="117">
                <c:v>-1654.1345610088911</c:v>
              </c:pt>
              <c:pt idx="118">
                <c:v>11218.76672570735</c:v>
              </c:pt>
              <c:pt idx="119">
                <c:v>-3731.0882534859561</c:v>
              </c:pt>
              <c:pt idx="120">
                <c:v>-7140.7912323472137</c:v>
              </c:pt>
              <c:pt idx="121">
                <c:v>-4733.1834499898723</c:v>
              </c:pt>
              <c:pt idx="122">
                <c:v>13586.695316494817</c:v>
              </c:pt>
              <c:pt idx="123">
                <c:v>-59745.866131808631</c:v>
              </c:pt>
              <c:pt idx="124">
                <c:v>-9352.1617617107458</c:v>
              </c:pt>
              <c:pt idx="125">
                <c:v>-12826.777809027564</c:v>
              </c:pt>
              <c:pt idx="126">
                <c:v>-1808.1341652045123</c:v>
              </c:pt>
              <c:pt idx="127">
                <c:v>-10920.573789642034</c:v>
              </c:pt>
              <c:pt idx="128">
                <c:v>17772.064709309801</c:v>
              </c:pt>
              <c:pt idx="129">
                <c:v>-1660.2592153722344</c:v>
              </c:pt>
              <c:pt idx="130">
                <c:v>13483.994099229474</c:v>
              </c:pt>
              <c:pt idx="131">
                <c:v>11355.382755503701</c:v>
              </c:pt>
              <c:pt idx="132">
                <c:v>18134.404017827172</c:v>
              </c:pt>
              <c:pt idx="133">
                <c:v>7609.5096269040032</c:v>
              </c:pt>
              <c:pt idx="134">
                <c:v>-17403.184795134843</c:v>
              </c:pt>
              <c:pt idx="135">
                <c:v>-1578.0517586977385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1A64-4EBD-8418-9A81BDDD0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068520"/>
        <c:axId val="726068912"/>
      </c:scatterChart>
      <c:valAx>
        <c:axId val="726068520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S_M_Margin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6068912"/>
        <c:crossesAt val="-200000"/>
        <c:crossBetween val="midCat"/>
      </c:valAx>
      <c:valAx>
        <c:axId val="72606891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6068520"/>
        <c:crossesAt val="0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'Model 13'!$AA$3</c:f>
          <c:strCache>
            <c:ptCount val="1"/>
            <c:pt idx="0">
              <c:v>Actual and Predicted -vs- Observation #
Model 13 for EV    (3 variables, n=126)</c:v>
            </c:pt>
          </c:strCache>
        </c:strRef>
      </c:tx>
      <c:overlay val="0"/>
      <c:txPr>
        <a:bodyPr/>
        <a:lstStyle/>
        <a:p>
          <a:pPr>
            <a:defRPr sz="1000"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2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  <c:pt idx="31">
                <c:v>32</c:v>
              </c:pt>
              <c:pt idx="32">
                <c:v>33</c:v>
              </c:pt>
              <c:pt idx="33">
                <c:v>34</c:v>
              </c:pt>
              <c:pt idx="34">
                <c:v>35</c:v>
              </c:pt>
              <c:pt idx="35">
                <c:v>36</c:v>
              </c:pt>
              <c:pt idx="36">
                <c:v>37</c:v>
              </c:pt>
              <c:pt idx="37">
                <c:v>38</c:v>
              </c:pt>
              <c:pt idx="38">
                <c:v>39</c:v>
              </c:pt>
              <c:pt idx="39">
                <c:v>40</c:v>
              </c:pt>
              <c:pt idx="40">
                <c:v>41</c:v>
              </c:pt>
              <c:pt idx="41">
                <c:v>42</c:v>
              </c:pt>
              <c:pt idx="42">
                <c:v>43</c:v>
              </c:pt>
              <c:pt idx="43">
                <c:v>44</c:v>
              </c:pt>
              <c:pt idx="44">
                <c:v>45</c:v>
              </c:pt>
              <c:pt idx="45">
                <c:v>46</c:v>
              </c:pt>
              <c:pt idx="46">
                <c:v>47</c:v>
              </c:pt>
              <c:pt idx="47">
                <c:v>48</c:v>
              </c:pt>
              <c:pt idx="48">
                <c:v>49</c:v>
              </c:pt>
              <c:pt idx="49">
                <c:v>50</c:v>
              </c:pt>
              <c:pt idx="50">
                <c:v>51</c:v>
              </c:pt>
              <c:pt idx="51">
                <c:v>52</c:v>
              </c:pt>
              <c:pt idx="52">
                <c:v>53</c:v>
              </c:pt>
              <c:pt idx="53">
                <c:v>54</c:v>
              </c:pt>
              <c:pt idx="54">
                <c:v>55</c:v>
              </c:pt>
              <c:pt idx="55">
                <c:v>56</c:v>
              </c:pt>
              <c:pt idx="56">
                <c:v>57</c:v>
              </c:pt>
              <c:pt idx="57">
                <c:v>58</c:v>
              </c:pt>
              <c:pt idx="58">
                <c:v>59</c:v>
              </c:pt>
              <c:pt idx="59">
                <c:v>60</c:v>
              </c:pt>
              <c:pt idx="60">
                <c:v>61</c:v>
              </c:pt>
              <c:pt idx="61">
                <c:v>62</c:v>
              </c:pt>
              <c:pt idx="62">
                <c:v>63</c:v>
              </c:pt>
              <c:pt idx="63">
                <c:v>64</c:v>
              </c:pt>
              <c:pt idx="64">
                <c:v>65</c:v>
              </c:pt>
              <c:pt idx="65">
                <c:v>66</c:v>
              </c:pt>
              <c:pt idx="66">
                <c:v>67</c:v>
              </c:pt>
              <c:pt idx="67">
                <c:v>68</c:v>
              </c:pt>
              <c:pt idx="68">
                <c:v>69</c:v>
              </c:pt>
              <c:pt idx="69">
                <c:v>70</c:v>
              </c:pt>
              <c:pt idx="70">
                <c:v>71</c:v>
              </c:pt>
              <c:pt idx="71">
                <c:v>72</c:v>
              </c:pt>
              <c:pt idx="72">
                <c:v>73</c:v>
              </c:pt>
              <c:pt idx="73">
                <c:v>74</c:v>
              </c:pt>
              <c:pt idx="74">
                <c:v>75</c:v>
              </c:pt>
              <c:pt idx="75">
                <c:v>76</c:v>
              </c:pt>
              <c:pt idx="76">
                <c:v>77</c:v>
              </c:pt>
              <c:pt idx="77">
                <c:v>78</c:v>
              </c:pt>
              <c:pt idx="78">
                <c:v>79</c:v>
              </c:pt>
              <c:pt idx="79">
                <c:v>80</c:v>
              </c:pt>
              <c:pt idx="80">
                <c:v>81</c:v>
              </c:pt>
              <c:pt idx="81">
                <c:v>82</c:v>
              </c:pt>
              <c:pt idx="82">
                <c:v>83</c:v>
              </c:pt>
              <c:pt idx="83">
                <c:v>84</c:v>
              </c:pt>
              <c:pt idx="84">
                <c:v>85</c:v>
              </c:pt>
              <c:pt idx="85">
                <c:v>86</c:v>
              </c:pt>
              <c:pt idx="86">
                <c:v>87</c:v>
              </c:pt>
              <c:pt idx="87">
                <c:v>88</c:v>
              </c:pt>
              <c:pt idx="88">
                <c:v>89</c:v>
              </c:pt>
              <c:pt idx="89">
                <c:v>90</c:v>
              </c:pt>
              <c:pt idx="90">
                <c:v>91</c:v>
              </c:pt>
              <c:pt idx="91">
                <c:v>92</c:v>
              </c:pt>
              <c:pt idx="92">
                <c:v>93</c:v>
              </c:pt>
              <c:pt idx="93">
                <c:v>94</c:v>
              </c:pt>
              <c:pt idx="94">
                <c:v>95</c:v>
              </c:pt>
              <c:pt idx="95">
                <c:v>96</c:v>
              </c:pt>
              <c:pt idx="96">
                <c:v>97</c:v>
              </c:pt>
              <c:pt idx="97">
                <c:v>98</c:v>
              </c:pt>
              <c:pt idx="98">
                <c:v>99</c:v>
              </c:pt>
              <c:pt idx="99">
                <c:v>100</c:v>
              </c:pt>
              <c:pt idx="100">
                <c:v>101</c:v>
              </c:pt>
              <c:pt idx="101">
                <c:v>102</c:v>
              </c:pt>
              <c:pt idx="102">
                <c:v>103</c:v>
              </c:pt>
              <c:pt idx="103">
                <c:v>104</c:v>
              </c:pt>
              <c:pt idx="104">
                <c:v>105</c:v>
              </c:pt>
              <c:pt idx="105">
                <c:v>106</c:v>
              </c:pt>
              <c:pt idx="106">
                <c:v>107</c:v>
              </c:pt>
              <c:pt idx="107">
                <c:v>108</c:v>
              </c:pt>
              <c:pt idx="108">
                <c:v>109</c:v>
              </c:pt>
              <c:pt idx="109">
                <c:v>110</c:v>
              </c:pt>
              <c:pt idx="110">
                <c:v>111</c:v>
              </c:pt>
              <c:pt idx="111">
                <c:v>112</c:v>
              </c:pt>
              <c:pt idx="112">
                <c:v>113</c:v>
              </c:pt>
              <c:pt idx="113">
                <c:v>114</c:v>
              </c:pt>
              <c:pt idx="114">
                <c:v>115</c:v>
              </c:pt>
              <c:pt idx="115">
                <c:v>116</c:v>
              </c:pt>
              <c:pt idx="116">
                <c:v>117</c:v>
              </c:pt>
              <c:pt idx="117">
                <c:v>118</c:v>
              </c:pt>
              <c:pt idx="118">
                <c:v>119</c:v>
              </c:pt>
              <c:pt idx="119">
                <c:v>120</c:v>
              </c:pt>
              <c:pt idx="120">
                <c:v>121</c:v>
              </c:pt>
              <c:pt idx="121">
                <c:v>122</c:v>
              </c:pt>
              <c:pt idx="122">
                <c:v>123</c:v>
              </c:pt>
              <c:pt idx="123">
                <c:v>124</c:v>
              </c:pt>
              <c:pt idx="124">
                <c:v>125</c:v>
              </c:pt>
              <c:pt idx="125">
                <c:v>126</c:v>
              </c:pt>
            </c:numLit>
          </c:xVal>
          <c:yVal>
            <c:numLit>
              <c:formatCode>General</c:formatCode>
              <c:ptCount val="126"/>
              <c:pt idx="0">
                <c:v>19172.8344</c:v>
              </c:pt>
              <c:pt idx="1">
                <c:v>18277.499500000002</c:v>
              </c:pt>
              <c:pt idx="2">
                <c:v>17761.393199999999</c:v>
              </c:pt>
              <c:pt idx="3">
                <c:v>15390.5118</c:v>
              </c:pt>
              <c:pt idx="4">
                <c:v>14628.111500000001</c:v>
              </c:pt>
              <c:pt idx="5">
                <c:v>14433.059600000001</c:v>
              </c:pt>
              <c:pt idx="6">
                <c:v>14085.412700000001</c:v>
              </c:pt>
              <c:pt idx="7">
                <c:v>13254.6572</c:v>
              </c:pt>
              <c:pt idx="8">
                <c:v>12991.4501</c:v>
              </c:pt>
              <c:pt idx="9">
                <c:v>12778.339900000001</c:v>
              </c:pt>
              <c:pt idx="10">
                <c:v>12773.614</c:v>
              </c:pt>
              <c:pt idx="11">
                <c:v>12362.801600000001</c:v>
              </c:pt>
              <c:pt idx="12">
                <c:v>11763.517900000001</c:v>
              </c:pt>
              <c:pt idx="13">
                <c:v>11492.5267</c:v>
              </c:pt>
              <c:pt idx="14">
                <c:v>11310.248799999999</c:v>
              </c:pt>
              <c:pt idx="15">
                <c:v>11155.011</c:v>
              </c:pt>
              <c:pt idx="16">
                <c:v>11136.6034</c:v>
              </c:pt>
              <c:pt idx="17">
                <c:v>10635.886500000001</c:v>
              </c:pt>
              <c:pt idx="18">
                <c:v>9553.6566000000003</c:v>
              </c:pt>
              <c:pt idx="19">
                <c:v>8730.4277999999995</c:v>
              </c:pt>
              <c:pt idx="20">
                <c:v>7440.2691999999997</c:v>
              </c:pt>
              <c:pt idx="21">
                <c:v>7407.2659999999996</c:v>
              </c:pt>
              <c:pt idx="22">
                <c:v>6894.6152000000002</c:v>
              </c:pt>
              <c:pt idx="23">
                <c:v>6727.3046000000004</c:v>
              </c:pt>
              <c:pt idx="24">
                <c:v>6390.3563999999997</c:v>
              </c:pt>
              <c:pt idx="25">
                <c:v>6236.2366000000002</c:v>
              </c:pt>
              <c:pt idx="26">
                <c:v>6079.7704000000003</c:v>
              </c:pt>
              <c:pt idx="27">
                <c:v>5688.8769000000002</c:v>
              </c:pt>
              <c:pt idx="28">
                <c:v>5616.1094999999996</c:v>
              </c:pt>
              <c:pt idx="29">
                <c:v>5590.6315999999997</c:v>
              </c:pt>
              <c:pt idx="30">
                <c:v>5264.8521000000001</c:v>
              </c:pt>
              <c:pt idx="31">
                <c:v>5177.2318999999998</c:v>
              </c:pt>
              <c:pt idx="32">
                <c:v>5116.1342000000004</c:v>
              </c:pt>
              <c:pt idx="33">
                <c:v>4868.8302000000003</c:v>
              </c:pt>
              <c:pt idx="34">
                <c:v>4738.1673000000001</c:v>
              </c:pt>
              <c:pt idx="35">
                <c:v>4485.9957999999997</c:v>
              </c:pt>
              <c:pt idx="36">
                <c:v>4436.8191999999999</c:v>
              </c:pt>
              <c:pt idx="37">
                <c:v>4272.2191999999995</c:v>
              </c:pt>
              <c:pt idx="38">
                <c:v>4154.2816999999995</c:v>
              </c:pt>
              <c:pt idx="39">
                <c:v>4083.6496999999999</c:v>
              </c:pt>
              <c:pt idx="40">
                <c:v>4064.2968000000001</c:v>
              </c:pt>
              <c:pt idx="41">
                <c:v>3887.6603</c:v>
              </c:pt>
              <c:pt idx="42">
                <c:v>3579.8489</c:v>
              </c:pt>
              <c:pt idx="43">
                <c:v>3540.5491000000002</c:v>
              </c:pt>
              <c:pt idx="44">
                <c:v>3256.0626999999999</c:v>
              </c:pt>
              <c:pt idx="45">
                <c:v>3220.2809999999999</c:v>
              </c:pt>
              <c:pt idx="46">
                <c:v>3202.2395999999999</c:v>
              </c:pt>
              <c:pt idx="47">
                <c:v>3196.73</c:v>
              </c:pt>
              <c:pt idx="48">
                <c:v>3162.8121999999998</c:v>
              </c:pt>
              <c:pt idx="49">
                <c:v>2961.8824</c:v>
              </c:pt>
              <c:pt idx="50">
                <c:v>2858.7084</c:v>
              </c:pt>
              <c:pt idx="51">
                <c:v>2833.0971</c:v>
              </c:pt>
              <c:pt idx="52">
                <c:v>2781.2797</c:v>
              </c:pt>
              <c:pt idx="53">
                <c:v>2710.8598999999999</c:v>
              </c:pt>
              <c:pt idx="54">
                <c:v>2584.7898</c:v>
              </c:pt>
              <c:pt idx="55">
                <c:v>2538.9832999999999</c:v>
              </c:pt>
              <c:pt idx="56">
                <c:v>2532.3746999999998</c:v>
              </c:pt>
              <c:pt idx="57">
                <c:v>2527.3155999999999</c:v>
              </c:pt>
              <c:pt idx="58">
                <c:v>2499.6136000000001</c:v>
              </c:pt>
              <c:pt idx="59">
                <c:v>2404.9515999999999</c:v>
              </c:pt>
              <c:pt idx="60">
                <c:v>2399.3838999999998</c:v>
              </c:pt>
              <c:pt idx="61">
                <c:v>2363.1176</c:v>
              </c:pt>
              <c:pt idx="62">
                <c:v>2344.0949000000001</c:v>
              </c:pt>
              <c:pt idx="63">
                <c:v>2277.1129999999998</c:v>
              </c:pt>
              <c:pt idx="64">
                <c:v>2249.4695999999999</c:v>
              </c:pt>
              <c:pt idx="65">
                <c:v>2202.7654000000002</c:v>
              </c:pt>
              <c:pt idx="66">
                <c:v>2165.1192999999998</c:v>
              </c:pt>
              <c:pt idx="67">
                <c:v>2121.9027000000001</c:v>
              </c:pt>
              <c:pt idx="68">
                <c:v>2086.6887999999999</c:v>
              </c:pt>
              <c:pt idx="69">
                <c:v>2066.1927000000001</c:v>
              </c:pt>
              <c:pt idx="70">
                <c:v>2059.2656000000002</c:v>
              </c:pt>
              <c:pt idx="71">
                <c:v>2014.3187</c:v>
              </c:pt>
              <c:pt idx="72">
                <c:v>1905.4384</c:v>
              </c:pt>
              <c:pt idx="73">
                <c:v>1797.1029000000001</c:v>
              </c:pt>
              <c:pt idx="74">
                <c:v>1708.3059000000001</c:v>
              </c:pt>
              <c:pt idx="75">
                <c:v>1642.0148999999999</c:v>
              </c:pt>
              <c:pt idx="76">
                <c:v>1637.1987999999999</c:v>
              </c:pt>
              <c:pt idx="77">
                <c:v>1563.4879000000001</c:v>
              </c:pt>
              <c:pt idx="78">
                <c:v>1544.9141</c:v>
              </c:pt>
              <c:pt idx="79">
                <c:v>1498.6233999999999</c:v>
              </c:pt>
              <c:pt idx="80">
                <c:v>1478.7066</c:v>
              </c:pt>
              <c:pt idx="81">
                <c:v>1455.3159000000001</c:v>
              </c:pt>
              <c:pt idx="82">
                <c:v>1454.999</c:v>
              </c:pt>
              <c:pt idx="83">
                <c:v>1444.5420999999999</c:v>
              </c:pt>
              <c:pt idx="84">
                <c:v>1443.3649</c:v>
              </c:pt>
              <c:pt idx="85">
                <c:v>1409.3098</c:v>
              </c:pt>
              <c:pt idx="86">
                <c:v>1403.5246</c:v>
              </c:pt>
              <c:pt idx="87">
                <c:v>1375.7365</c:v>
              </c:pt>
              <c:pt idx="88">
                <c:v>1360.3652</c:v>
              </c:pt>
              <c:pt idx="89">
                <c:v>1346.6967</c:v>
              </c:pt>
              <c:pt idx="90">
                <c:v>1335.0657000000001</c:v>
              </c:pt>
              <c:pt idx="91">
                <c:v>1234.2756999999999</c:v>
              </c:pt>
              <c:pt idx="92">
                <c:v>1214.4014</c:v>
              </c:pt>
              <c:pt idx="93">
                <c:v>1209.0925</c:v>
              </c:pt>
              <c:pt idx="94">
                <c:v>1157.5277000000001</c:v>
              </c:pt>
              <c:pt idx="95">
                <c:v>1118.7239</c:v>
              </c:pt>
              <c:pt idx="96">
                <c:v>1106.0070000000001</c:v>
              </c:pt>
              <c:pt idx="97">
                <c:v>1016.1319</c:v>
              </c:pt>
              <c:pt idx="98">
                <c:v>1011.2338999999999</c:v>
              </c:pt>
              <c:pt idx="99">
                <c:v>949.03020000000004</c:v>
              </c:pt>
              <c:pt idx="100">
                <c:v>877.18060000000003</c:v>
              </c:pt>
              <c:pt idx="101">
                <c:v>789.97940000000006</c:v>
              </c:pt>
              <c:pt idx="102">
                <c:v>759.31349999999998</c:v>
              </c:pt>
              <c:pt idx="103">
                <c:v>751.91750000000002</c:v>
              </c:pt>
              <c:pt idx="104">
                <c:v>748.60599999999999</c:v>
              </c:pt>
              <c:pt idx="105">
                <c:v>719.44939999999997</c:v>
              </c:pt>
              <c:pt idx="106">
                <c:v>684.58810000000005</c:v>
              </c:pt>
              <c:pt idx="107">
                <c:v>599.29819999999995</c:v>
              </c:pt>
              <c:pt idx="108">
                <c:v>498.00700000000001</c:v>
              </c:pt>
              <c:pt idx="109">
                <c:v>471.51530000000002</c:v>
              </c:pt>
              <c:pt idx="110">
                <c:v>388.22890000000001</c:v>
              </c:pt>
              <c:pt idx="111">
                <c:v>374.9058</c:v>
              </c:pt>
              <c:pt idx="112">
                <c:v>343.18979999999999</c:v>
              </c:pt>
              <c:pt idx="113">
                <c:v>328.06920000000002</c:v>
              </c:pt>
              <c:pt idx="114">
                <c:v>305.15159999999997</c:v>
              </c:pt>
              <c:pt idx="115">
                <c:v>304.52499999999998</c:v>
              </c:pt>
              <c:pt idx="116">
                <c:v>290.68</c:v>
              </c:pt>
              <c:pt idx="117">
                <c:v>268.75810000000001</c:v>
              </c:pt>
              <c:pt idx="118">
                <c:v>265.0127</c:v>
              </c:pt>
              <c:pt idx="119">
                <c:v>259.96980000000002</c:v>
              </c:pt>
              <c:pt idx="120">
                <c:v>205.81890000000001</c:v>
              </c:pt>
              <c:pt idx="121">
                <c:v>198.11580000000001</c:v>
              </c:pt>
              <c:pt idx="122">
                <c:v>194.5496</c:v>
              </c:pt>
              <c:pt idx="123">
                <c:v>151.4391</c:v>
              </c:pt>
              <c:pt idx="124">
                <c:v>124.41030000000001</c:v>
              </c:pt>
              <c:pt idx="125">
                <c:v>117.0865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7EF-4A33-AC90-01662726ABA8}"/>
            </c:ext>
          </c:extLst>
        </c:ser>
        <c:ser>
          <c:idx val="1"/>
          <c:order val="1"/>
          <c:tx>
            <c:v>Predicted</c:v>
          </c:tx>
          <c:spPr>
            <a:ln w="25400">
              <a:noFill/>
            </a:ln>
          </c:spPr>
          <c:marker>
            <c:symbol val="circle"/>
            <c:size val="6"/>
            <c:spPr>
              <a:noFill/>
              <a:ln w="9525">
                <a:solidFill>
                  <a:srgbClr val="FF0000"/>
                </a:solidFill>
                <a:prstDash val="solid"/>
              </a:ln>
            </c:spPr>
          </c:marker>
          <c:xVal>
            <c:numLit>
              <c:formatCode>General</c:formatCode>
              <c:ptCount val="12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  <c:pt idx="31">
                <c:v>32</c:v>
              </c:pt>
              <c:pt idx="32">
                <c:v>33</c:v>
              </c:pt>
              <c:pt idx="33">
                <c:v>34</c:v>
              </c:pt>
              <c:pt idx="34">
                <c:v>35</c:v>
              </c:pt>
              <c:pt idx="35">
                <c:v>36</c:v>
              </c:pt>
              <c:pt idx="36">
                <c:v>37</c:v>
              </c:pt>
              <c:pt idx="37">
                <c:v>38</c:v>
              </c:pt>
              <c:pt idx="38">
                <c:v>39</c:v>
              </c:pt>
              <c:pt idx="39">
                <c:v>40</c:v>
              </c:pt>
              <c:pt idx="40">
                <c:v>41</c:v>
              </c:pt>
              <c:pt idx="41">
                <c:v>42</c:v>
              </c:pt>
              <c:pt idx="42">
                <c:v>43</c:v>
              </c:pt>
              <c:pt idx="43">
                <c:v>44</c:v>
              </c:pt>
              <c:pt idx="44">
                <c:v>45</c:v>
              </c:pt>
              <c:pt idx="45">
                <c:v>46</c:v>
              </c:pt>
              <c:pt idx="46">
                <c:v>47</c:v>
              </c:pt>
              <c:pt idx="47">
                <c:v>48</c:v>
              </c:pt>
              <c:pt idx="48">
                <c:v>49</c:v>
              </c:pt>
              <c:pt idx="49">
                <c:v>50</c:v>
              </c:pt>
              <c:pt idx="50">
                <c:v>51</c:v>
              </c:pt>
              <c:pt idx="51">
                <c:v>52</c:v>
              </c:pt>
              <c:pt idx="52">
                <c:v>53</c:v>
              </c:pt>
              <c:pt idx="53">
                <c:v>54</c:v>
              </c:pt>
              <c:pt idx="54">
                <c:v>55</c:v>
              </c:pt>
              <c:pt idx="55">
                <c:v>56</c:v>
              </c:pt>
              <c:pt idx="56">
                <c:v>57</c:v>
              </c:pt>
              <c:pt idx="57">
                <c:v>58</c:v>
              </c:pt>
              <c:pt idx="58">
                <c:v>59</c:v>
              </c:pt>
              <c:pt idx="59">
                <c:v>60</c:v>
              </c:pt>
              <c:pt idx="60">
                <c:v>61</c:v>
              </c:pt>
              <c:pt idx="61">
                <c:v>62</c:v>
              </c:pt>
              <c:pt idx="62">
                <c:v>63</c:v>
              </c:pt>
              <c:pt idx="63">
                <c:v>64</c:v>
              </c:pt>
              <c:pt idx="64">
                <c:v>65</c:v>
              </c:pt>
              <c:pt idx="65">
                <c:v>66</c:v>
              </c:pt>
              <c:pt idx="66">
                <c:v>67</c:v>
              </c:pt>
              <c:pt idx="67">
                <c:v>68</c:v>
              </c:pt>
              <c:pt idx="68">
                <c:v>69</c:v>
              </c:pt>
              <c:pt idx="69">
                <c:v>70</c:v>
              </c:pt>
              <c:pt idx="70">
                <c:v>71</c:v>
              </c:pt>
              <c:pt idx="71">
                <c:v>72</c:v>
              </c:pt>
              <c:pt idx="72">
                <c:v>73</c:v>
              </c:pt>
              <c:pt idx="73">
                <c:v>74</c:v>
              </c:pt>
              <c:pt idx="74">
                <c:v>75</c:v>
              </c:pt>
              <c:pt idx="75">
                <c:v>76</c:v>
              </c:pt>
              <c:pt idx="76">
                <c:v>77</c:v>
              </c:pt>
              <c:pt idx="77">
                <c:v>78</c:v>
              </c:pt>
              <c:pt idx="78">
                <c:v>79</c:v>
              </c:pt>
              <c:pt idx="79">
                <c:v>80</c:v>
              </c:pt>
              <c:pt idx="80">
                <c:v>81</c:v>
              </c:pt>
              <c:pt idx="81">
                <c:v>82</c:v>
              </c:pt>
              <c:pt idx="82">
                <c:v>83</c:v>
              </c:pt>
              <c:pt idx="83">
                <c:v>84</c:v>
              </c:pt>
              <c:pt idx="84">
                <c:v>85</c:v>
              </c:pt>
              <c:pt idx="85">
                <c:v>86</c:v>
              </c:pt>
              <c:pt idx="86">
                <c:v>87</c:v>
              </c:pt>
              <c:pt idx="87">
                <c:v>88</c:v>
              </c:pt>
              <c:pt idx="88">
                <c:v>89</c:v>
              </c:pt>
              <c:pt idx="89">
                <c:v>90</c:v>
              </c:pt>
              <c:pt idx="90">
                <c:v>91</c:v>
              </c:pt>
              <c:pt idx="91">
                <c:v>92</c:v>
              </c:pt>
              <c:pt idx="92">
                <c:v>93</c:v>
              </c:pt>
              <c:pt idx="93">
                <c:v>94</c:v>
              </c:pt>
              <c:pt idx="94">
                <c:v>95</c:v>
              </c:pt>
              <c:pt idx="95">
                <c:v>96</c:v>
              </c:pt>
              <c:pt idx="96">
                <c:v>97</c:v>
              </c:pt>
              <c:pt idx="97">
                <c:v>98</c:v>
              </c:pt>
              <c:pt idx="98">
                <c:v>99</c:v>
              </c:pt>
              <c:pt idx="99">
                <c:v>100</c:v>
              </c:pt>
              <c:pt idx="100">
                <c:v>101</c:v>
              </c:pt>
              <c:pt idx="101">
                <c:v>102</c:v>
              </c:pt>
              <c:pt idx="102">
                <c:v>103</c:v>
              </c:pt>
              <c:pt idx="103">
                <c:v>104</c:v>
              </c:pt>
              <c:pt idx="104">
                <c:v>105</c:v>
              </c:pt>
              <c:pt idx="105">
                <c:v>106</c:v>
              </c:pt>
              <c:pt idx="106">
                <c:v>107</c:v>
              </c:pt>
              <c:pt idx="107">
                <c:v>108</c:v>
              </c:pt>
              <c:pt idx="108">
                <c:v>109</c:v>
              </c:pt>
              <c:pt idx="109">
                <c:v>110</c:v>
              </c:pt>
              <c:pt idx="110">
                <c:v>111</c:v>
              </c:pt>
              <c:pt idx="111">
                <c:v>112</c:v>
              </c:pt>
              <c:pt idx="112">
                <c:v>113</c:v>
              </c:pt>
              <c:pt idx="113">
                <c:v>114</c:v>
              </c:pt>
              <c:pt idx="114">
                <c:v>115</c:v>
              </c:pt>
              <c:pt idx="115">
                <c:v>116</c:v>
              </c:pt>
              <c:pt idx="116">
                <c:v>117</c:v>
              </c:pt>
              <c:pt idx="117">
                <c:v>118</c:v>
              </c:pt>
              <c:pt idx="118">
                <c:v>119</c:v>
              </c:pt>
              <c:pt idx="119">
                <c:v>120</c:v>
              </c:pt>
              <c:pt idx="120">
                <c:v>121</c:v>
              </c:pt>
              <c:pt idx="121">
                <c:v>122</c:v>
              </c:pt>
              <c:pt idx="122">
                <c:v>123</c:v>
              </c:pt>
              <c:pt idx="123">
                <c:v>124</c:v>
              </c:pt>
              <c:pt idx="124">
                <c:v>125</c:v>
              </c:pt>
              <c:pt idx="125">
                <c:v>126</c:v>
              </c:pt>
            </c:numLit>
          </c:xVal>
          <c:yVal>
            <c:numLit>
              <c:formatCode>General</c:formatCode>
              <c:ptCount val="126"/>
              <c:pt idx="0">
                <c:v>16102.081472492438</c:v>
              </c:pt>
              <c:pt idx="1">
                <c:v>11344.665335858148</c:v>
              </c:pt>
              <c:pt idx="2">
                <c:v>18796.375078994326</c:v>
              </c:pt>
              <c:pt idx="3">
                <c:v>5819.2097559792446</c:v>
              </c:pt>
              <c:pt idx="4">
                <c:v>23455.30520902108</c:v>
              </c:pt>
              <c:pt idx="5">
                <c:v>13802.327503280723</c:v>
              </c:pt>
              <c:pt idx="6">
                <c:v>13672.832510438035</c:v>
              </c:pt>
              <c:pt idx="7">
                <c:v>15521.963728610943</c:v>
              </c:pt>
              <c:pt idx="8">
                <c:v>7927.27327790652</c:v>
              </c:pt>
              <c:pt idx="9">
                <c:v>9624.1346540527375</c:v>
              </c:pt>
              <c:pt idx="10">
                <c:v>10321.086949474044</c:v>
              </c:pt>
              <c:pt idx="11">
                <c:v>9179.3468160794364</c:v>
              </c:pt>
              <c:pt idx="12">
                <c:v>5826.923694395211</c:v>
              </c:pt>
              <c:pt idx="13">
                <c:v>4440.6116091823624</c:v>
              </c:pt>
              <c:pt idx="14">
                <c:v>10142.246113194011</c:v>
              </c:pt>
              <c:pt idx="15">
                <c:v>13576.604965543671</c:v>
              </c:pt>
              <c:pt idx="16">
                <c:v>8823.9688204098529</c:v>
              </c:pt>
              <c:pt idx="17">
                <c:v>7118.9606591751626</c:v>
              </c:pt>
              <c:pt idx="18">
                <c:v>6814.1275205688535</c:v>
              </c:pt>
              <c:pt idx="19">
                <c:v>6302.8948347441428</c:v>
              </c:pt>
              <c:pt idx="20">
                <c:v>6552.763012041396</c:v>
              </c:pt>
              <c:pt idx="21">
                <c:v>2964.9256824651338</c:v>
              </c:pt>
              <c:pt idx="22">
                <c:v>2704.6332476746657</c:v>
              </c:pt>
              <c:pt idx="23">
                <c:v>11307.56717653962</c:v>
              </c:pt>
              <c:pt idx="24">
                <c:v>4482.7512228765363</c:v>
              </c:pt>
              <c:pt idx="25">
                <c:v>8047.8284062770481</c:v>
              </c:pt>
              <c:pt idx="26">
                <c:v>3826.1504272525026</c:v>
              </c:pt>
              <c:pt idx="27">
                <c:v>3957.4133732413729</c:v>
              </c:pt>
              <c:pt idx="28">
                <c:v>3870.6592574862616</c:v>
              </c:pt>
              <c:pt idx="29">
                <c:v>2925.3693411824679</c:v>
              </c:pt>
              <c:pt idx="30">
                <c:v>4688.6382277366338</c:v>
              </c:pt>
              <c:pt idx="31">
                <c:v>4256.189597827125</c:v>
              </c:pt>
              <c:pt idx="32">
                <c:v>3930.3991212678384</c:v>
              </c:pt>
              <c:pt idx="33">
                <c:v>7185.8059586773134</c:v>
              </c:pt>
              <c:pt idx="34">
                <c:v>3237.4276012774435</c:v>
              </c:pt>
              <c:pt idx="35">
                <c:v>4166.7073592349752</c:v>
              </c:pt>
              <c:pt idx="36">
                <c:v>2827.2300773772085</c:v>
              </c:pt>
              <c:pt idx="37">
                <c:v>5737.9979884728336</c:v>
              </c:pt>
              <c:pt idx="38">
                <c:v>3641.6863849705951</c:v>
              </c:pt>
              <c:pt idx="39">
                <c:v>3856.9859785499539</c:v>
              </c:pt>
              <c:pt idx="40">
                <c:v>5737.0819004086907</c:v>
              </c:pt>
              <c:pt idx="41">
                <c:v>5531.321288447908</c:v>
              </c:pt>
              <c:pt idx="42">
                <c:v>5047.9186288086285</c:v>
              </c:pt>
              <c:pt idx="43">
                <c:v>5835.7805637070733</c:v>
              </c:pt>
              <c:pt idx="44">
                <c:v>2063.7845825952936</c:v>
              </c:pt>
              <c:pt idx="45">
                <c:v>2142.5948384844178</c:v>
              </c:pt>
              <c:pt idx="46">
                <c:v>2736.4303679408276</c:v>
              </c:pt>
              <c:pt idx="47">
                <c:v>5676.3104420659829</c:v>
              </c:pt>
              <c:pt idx="48">
                <c:v>2705.918564009231</c:v>
              </c:pt>
              <c:pt idx="49">
                <c:v>1849.7554945064021</c:v>
              </c:pt>
              <c:pt idx="50">
                <c:v>5462.0463517156331</c:v>
              </c:pt>
              <c:pt idx="51">
                <c:v>3459.921772519192</c:v>
              </c:pt>
              <c:pt idx="52">
                <c:v>2826.8748137838902</c:v>
              </c:pt>
              <c:pt idx="53">
                <c:v>3591.4891966929335</c:v>
              </c:pt>
              <c:pt idx="54">
                <c:v>4179.2203894937138</c:v>
              </c:pt>
              <c:pt idx="55">
                <c:v>3108.8994288996291</c:v>
              </c:pt>
              <c:pt idx="56">
                <c:v>1911.2974849626155</c:v>
              </c:pt>
              <c:pt idx="57">
                <c:v>2047.4434561430742</c:v>
              </c:pt>
              <c:pt idx="58">
                <c:v>1466.3682056773159</c:v>
              </c:pt>
              <c:pt idx="59">
                <c:v>3082.3821886449778</c:v>
              </c:pt>
              <c:pt idx="60">
                <c:v>1894.7031044826931</c:v>
              </c:pt>
              <c:pt idx="61">
                <c:v>1636.1252494583487</c:v>
              </c:pt>
              <c:pt idx="62">
                <c:v>2773.9024298199365</c:v>
              </c:pt>
              <c:pt idx="63">
                <c:v>2702.4111230769222</c:v>
              </c:pt>
              <c:pt idx="64">
                <c:v>4540.7904576004803</c:v>
              </c:pt>
              <c:pt idx="65">
                <c:v>1820.3808060023184</c:v>
              </c:pt>
              <c:pt idx="66">
                <c:v>1879.4094418665825</c:v>
              </c:pt>
              <c:pt idx="67">
                <c:v>2213.5229377664846</c:v>
              </c:pt>
              <c:pt idx="68">
                <c:v>2593.0179636928469</c:v>
              </c:pt>
              <c:pt idx="69">
                <c:v>1976.5558272796786</c:v>
              </c:pt>
              <c:pt idx="70">
                <c:v>2000.8100000586767</c:v>
              </c:pt>
              <c:pt idx="71">
                <c:v>1553.6738980264415</c:v>
              </c:pt>
              <c:pt idx="72">
                <c:v>2235.6019619586486</c:v>
              </c:pt>
              <c:pt idx="73">
                <c:v>2042.2045957560449</c:v>
              </c:pt>
              <c:pt idx="74">
                <c:v>1790.6173455835863</c:v>
              </c:pt>
              <c:pt idx="75">
                <c:v>3627.6198524444326</c:v>
              </c:pt>
              <c:pt idx="76">
                <c:v>2088.7764200603879</c:v>
              </c:pt>
              <c:pt idx="77">
                <c:v>1399.9017956851167</c:v>
              </c:pt>
              <c:pt idx="78">
                <c:v>2593.3966927901656</c:v>
              </c:pt>
              <c:pt idx="79">
                <c:v>1687.0435367495215</c:v>
              </c:pt>
              <c:pt idx="80">
                <c:v>2490.2352908554394</c:v>
              </c:pt>
              <c:pt idx="81">
                <c:v>1480.5965626260841</c:v>
              </c:pt>
              <c:pt idx="82">
                <c:v>1939.7753849123842</c:v>
              </c:pt>
              <c:pt idx="83">
                <c:v>1764.1039769422728</c:v>
              </c:pt>
              <c:pt idx="84">
                <c:v>2112.4491420110198</c:v>
              </c:pt>
              <c:pt idx="85">
                <c:v>1995.2873888593283</c:v>
              </c:pt>
              <c:pt idx="86">
                <c:v>2455.5154774045714</c:v>
              </c:pt>
              <c:pt idx="87">
                <c:v>2991.354339652301</c:v>
              </c:pt>
              <c:pt idx="88">
                <c:v>2139.5077189892813</c:v>
              </c:pt>
              <c:pt idx="89">
                <c:v>1408.1973408546405</c:v>
              </c:pt>
              <c:pt idx="90">
                <c:v>1960.9830215234495</c:v>
              </c:pt>
              <c:pt idx="91">
                <c:v>2086.167325748394</c:v>
              </c:pt>
              <c:pt idx="92">
                <c:v>1984.4017164791271</c:v>
              </c:pt>
              <c:pt idx="93">
                <c:v>1912.0797110888989</c:v>
              </c:pt>
              <c:pt idx="94">
                <c:v>1853.2744691854616</c:v>
              </c:pt>
              <c:pt idx="95">
                <c:v>3721.9765844807798</c:v>
              </c:pt>
              <c:pt idx="96">
                <c:v>2230.2943444370953</c:v>
              </c:pt>
              <c:pt idx="97">
                <c:v>1957.1542320012429</c:v>
              </c:pt>
              <c:pt idx="98">
                <c:v>1882.0440125246578</c:v>
              </c:pt>
              <c:pt idx="99">
                <c:v>2421.0247138713694</c:v>
              </c:pt>
              <c:pt idx="100">
                <c:v>992.89029698803301</c:v>
              </c:pt>
              <c:pt idx="101">
                <c:v>1310.9002558430232</c:v>
              </c:pt>
              <c:pt idx="102">
                <c:v>1917.4046771796384</c:v>
              </c:pt>
              <c:pt idx="103">
                <c:v>2796.4964688727323</c:v>
              </c:pt>
              <c:pt idx="104">
                <c:v>1002.798694257924</c:v>
              </c:pt>
              <c:pt idx="105">
                <c:v>3364.1695694301561</c:v>
              </c:pt>
              <c:pt idx="106">
                <c:v>2617.1866715373508</c:v>
              </c:pt>
              <c:pt idx="107">
                <c:v>1776.6176286805019</c:v>
              </c:pt>
              <c:pt idx="108">
                <c:v>918.0348231028629</c:v>
              </c:pt>
              <c:pt idx="109">
                <c:v>1646.9872707823286</c:v>
              </c:pt>
              <c:pt idx="110">
                <c:v>868.18300486389364</c:v>
              </c:pt>
              <c:pt idx="111">
                <c:v>2228.3681240104861</c:v>
              </c:pt>
              <c:pt idx="112">
                <c:v>1858.1047150301185</c:v>
              </c:pt>
              <c:pt idx="113">
                <c:v>1430.8992356342874</c:v>
              </c:pt>
              <c:pt idx="114">
                <c:v>982.61178624976424</c:v>
              </c:pt>
              <c:pt idx="115">
                <c:v>1088.837192490807</c:v>
              </c:pt>
              <c:pt idx="116">
                <c:v>2024.899363656978</c:v>
              </c:pt>
              <c:pt idx="117">
                <c:v>1430.1184061742547</c:v>
              </c:pt>
              <c:pt idx="118">
                <c:v>1309.2222251657086</c:v>
              </c:pt>
              <c:pt idx="119">
                <c:v>1195.6148631236215</c:v>
              </c:pt>
              <c:pt idx="120">
                <c:v>1156.1022443974307</c:v>
              </c:pt>
              <c:pt idx="121">
                <c:v>1047.7008058825927</c:v>
              </c:pt>
              <c:pt idx="122">
                <c:v>1159.0506953627741</c:v>
              </c:pt>
              <c:pt idx="123">
                <c:v>926.10113709937104</c:v>
              </c:pt>
              <c:pt idx="124">
                <c:v>1525.6593269331722</c:v>
              </c:pt>
              <c:pt idx="125">
                <c:v>1235.0968113053709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7EF-4A33-AC90-01662726A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069696"/>
        <c:axId val="726070088"/>
      </c:scatterChart>
      <c:valAx>
        <c:axId val="726069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26070088"/>
        <c:crossesAt val="0"/>
        <c:crossBetween val="midCat"/>
      </c:valAx>
      <c:valAx>
        <c:axId val="726070088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26069696"/>
        <c:crossesAt val="0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3F3"/>
    </a:solidFill>
    <a:ln w="6350">
      <a:solidFill>
        <a:srgbClr val="808080"/>
      </a:solidFill>
      <a:prstDash val="solid"/>
    </a:ln>
  </c:spPr>
  <c:txPr>
    <a:bodyPr/>
    <a:lstStyle/>
    <a:p>
      <a:pPr>
        <a:defRPr sz="1000">
          <a:latin typeface="+mn-lt"/>
          <a:ea typeface="+mn-lt"/>
          <a:cs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Observation #
</a:t>
            </a:r>
            <a:r>
              <a:rPr lang="en-US" sz="1000"/>
              <a:t>Model 13 for EV    (3 variables, n=126)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Actual</c:v>
          </c:tx>
          <c:spPr>
            <a:solidFill>
              <a:srgbClr val="0000FF"/>
            </a:solidFill>
            <a:ln w="3175">
              <a:solidFill>
                <a:srgbClr val="0000FF"/>
              </a:solidFill>
              <a:prstDash val="solid"/>
            </a:ln>
            <a:effectLst/>
          </c:spPr>
          <c:invertIfNegative val="0"/>
          <c:trendline>
            <c:spPr>
              <a:ln w="12700">
                <a:solidFill>
                  <a:srgbClr val="FF0000"/>
                </a:solidFill>
                <a:prstDash val="sysDash"/>
              </a:ln>
            </c:spPr>
            <c:trendlineType val="linear"/>
            <c:dispRSqr val="0"/>
            <c:dispEq val="0"/>
          </c:trendline>
          <c:cat>
            <c:numLit>
              <c:formatCode>General</c:formatCode>
              <c:ptCount val="12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  <c:pt idx="31">
                <c:v>32</c:v>
              </c:pt>
              <c:pt idx="32">
                <c:v>33</c:v>
              </c:pt>
              <c:pt idx="33">
                <c:v>34</c:v>
              </c:pt>
              <c:pt idx="34">
                <c:v>35</c:v>
              </c:pt>
              <c:pt idx="35">
                <c:v>36</c:v>
              </c:pt>
              <c:pt idx="36">
                <c:v>37</c:v>
              </c:pt>
              <c:pt idx="37">
                <c:v>38</c:v>
              </c:pt>
              <c:pt idx="38">
                <c:v>39</c:v>
              </c:pt>
              <c:pt idx="39">
                <c:v>40</c:v>
              </c:pt>
              <c:pt idx="40">
                <c:v>41</c:v>
              </c:pt>
              <c:pt idx="41">
                <c:v>42</c:v>
              </c:pt>
              <c:pt idx="42">
                <c:v>43</c:v>
              </c:pt>
              <c:pt idx="43">
                <c:v>44</c:v>
              </c:pt>
              <c:pt idx="44">
                <c:v>45</c:v>
              </c:pt>
              <c:pt idx="45">
                <c:v>46</c:v>
              </c:pt>
              <c:pt idx="46">
                <c:v>47</c:v>
              </c:pt>
              <c:pt idx="47">
                <c:v>48</c:v>
              </c:pt>
              <c:pt idx="48">
                <c:v>49</c:v>
              </c:pt>
              <c:pt idx="49">
                <c:v>50</c:v>
              </c:pt>
              <c:pt idx="50">
                <c:v>51</c:v>
              </c:pt>
              <c:pt idx="51">
                <c:v>52</c:v>
              </c:pt>
              <c:pt idx="52">
                <c:v>53</c:v>
              </c:pt>
              <c:pt idx="53">
                <c:v>54</c:v>
              </c:pt>
              <c:pt idx="54">
                <c:v>55</c:v>
              </c:pt>
              <c:pt idx="55">
                <c:v>56</c:v>
              </c:pt>
              <c:pt idx="56">
                <c:v>57</c:v>
              </c:pt>
              <c:pt idx="57">
                <c:v>58</c:v>
              </c:pt>
              <c:pt idx="58">
                <c:v>59</c:v>
              </c:pt>
              <c:pt idx="59">
                <c:v>60</c:v>
              </c:pt>
              <c:pt idx="60">
                <c:v>61</c:v>
              </c:pt>
              <c:pt idx="61">
                <c:v>62</c:v>
              </c:pt>
              <c:pt idx="62">
                <c:v>63</c:v>
              </c:pt>
              <c:pt idx="63">
                <c:v>64</c:v>
              </c:pt>
              <c:pt idx="64">
                <c:v>65</c:v>
              </c:pt>
              <c:pt idx="65">
                <c:v>66</c:v>
              </c:pt>
              <c:pt idx="66">
                <c:v>67</c:v>
              </c:pt>
              <c:pt idx="67">
                <c:v>68</c:v>
              </c:pt>
              <c:pt idx="68">
                <c:v>69</c:v>
              </c:pt>
              <c:pt idx="69">
                <c:v>70</c:v>
              </c:pt>
              <c:pt idx="70">
                <c:v>71</c:v>
              </c:pt>
              <c:pt idx="71">
                <c:v>72</c:v>
              </c:pt>
              <c:pt idx="72">
                <c:v>73</c:v>
              </c:pt>
              <c:pt idx="73">
                <c:v>74</c:v>
              </c:pt>
              <c:pt idx="74">
                <c:v>75</c:v>
              </c:pt>
              <c:pt idx="75">
                <c:v>76</c:v>
              </c:pt>
              <c:pt idx="76">
                <c:v>77</c:v>
              </c:pt>
              <c:pt idx="77">
                <c:v>78</c:v>
              </c:pt>
              <c:pt idx="78">
                <c:v>79</c:v>
              </c:pt>
              <c:pt idx="79">
                <c:v>80</c:v>
              </c:pt>
              <c:pt idx="80">
                <c:v>81</c:v>
              </c:pt>
              <c:pt idx="81">
                <c:v>82</c:v>
              </c:pt>
              <c:pt idx="82">
                <c:v>83</c:v>
              </c:pt>
              <c:pt idx="83">
                <c:v>84</c:v>
              </c:pt>
              <c:pt idx="84">
                <c:v>85</c:v>
              </c:pt>
              <c:pt idx="85">
                <c:v>86</c:v>
              </c:pt>
              <c:pt idx="86">
                <c:v>87</c:v>
              </c:pt>
              <c:pt idx="87">
                <c:v>88</c:v>
              </c:pt>
              <c:pt idx="88">
                <c:v>89</c:v>
              </c:pt>
              <c:pt idx="89">
                <c:v>90</c:v>
              </c:pt>
              <c:pt idx="90">
                <c:v>91</c:v>
              </c:pt>
              <c:pt idx="91">
                <c:v>92</c:v>
              </c:pt>
              <c:pt idx="92">
                <c:v>93</c:v>
              </c:pt>
              <c:pt idx="93">
                <c:v>94</c:v>
              </c:pt>
              <c:pt idx="94">
                <c:v>95</c:v>
              </c:pt>
              <c:pt idx="95">
                <c:v>96</c:v>
              </c:pt>
              <c:pt idx="96">
                <c:v>97</c:v>
              </c:pt>
              <c:pt idx="97">
                <c:v>98</c:v>
              </c:pt>
              <c:pt idx="98">
                <c:v>99</c:v>
              </c:pt>
              <c:pt idx="99">
                <c:v>100</c:v>
              </c:pt>
              <c:pt idx="100">
                <c:v>101</c:v>
              </c:pt>
              <c:pt idx="101">
                <c:v>102</c:v>
              </c:pt>
              <c:pt idx="102">
                <c:v>103</c:v>
              </c:pt>
              <c:pt idx="103">
                <c:v>104</c:v>
              </c:pt>
              <c:pt idx="104">
                <c:v>105</c:v>
              </c:pt>
              <c:pt idx="105">
                <c:v>106</c:v>
              </c:pt>
              <c:pt idx="106">
                <c:v>107</c:v>
              </c:pt>
              <c:pt idx="107">
                <c:v>108</c:v>
              </c:pt>
              <c:pt idx="108">
                <c:v>109</c:v>
              </c:pt>
              <c:pt idx="109">
                <c:v>110</c:v>
              </c:pt>
              <c:pt idx="110">
                <c:v>111</c:v>
              </c:pt>
              <c:pt idx="111">
                <c:v>112</c:v>
              </c:pt>
              <c:pt idx="112">
                <c:v>113</c:v>
              </c:pt>
              <c:pt idx="113">
                <c:v>114</c:v>
              </c:pt>
              <c:pt idx="114">
                <c:v>115</c:v>
              </c:pt>
              <c:pt idx="115">
                <c:v>116</c:v>
              </c:pt>
              <c:pt idx="116">
                <c:v>117</c:v>
              </c:pt>
              <c:pt idx="117">
                <c:v>118</c:v>
              </c:pt>
              <c:pt idx="118">
                <c:v>119</c:v>
              </c:pt>
              <c:pt idx="119">
                <c:v>120</c:v>
              </c:pt>
              <c:pt idx="120">
                <c:v>121</c:v>
              </c:pt>
              <c:pt idx="121">
                <c:v>122</c:v>
              </c:pt>
              <c:pt idx="122">
                <c:v>123</c:v>
              </c:pt>
              <c:pt idx="123">
                <c:v>124</c:v>
              </c:pt>
              <c:pt idx="124">
                <c:v>125</c:v>
              </c:pt>
              <c:pt idx="125">
                <c:v>126</c:v>
              </c:pt>
            </c:numLit>
          </c:cat>
          <c:val>
            <c:numLit>
              <c:formatCode>General</c:formatCode>
              <c:ptCount val="126"/>
              <c:pt idx="0">
                <c:v>3070.7529275075613</c:v>
              </c:pt>
              <c:pt idx="1">
                <c:v>6932.8341641418538</c:v>
              </c:pt>
              <c:pt idx="2">
                <c:v>-1034.9818789943274</c:v>
              </c:pt>
              <c:pt idx="3">
                <c:v>9571.3020440207547</c:v>
              </c:pt>
              <c:pt idx="4">
                <c:v>-8827.1937090210795</c:v>
              </c:pt>
              <c:pt idx="5">
                <c:v>630.73209671927725</c:v>
              </c:pt>
              <c:pt idx="6">
                <c:v>412.58018956196611</c:v>
              </c:pt>
              <c:pt idx="7">
                <c:v>-2267.3065286109431</c:v>
              </c:pt>
              <c:pt idx="8">
                <c:v>5064.17682209348</c:v>
              </c:pt>
              <c:pt idx="9">
                <c:v>3154.2052459472634</c:v>
              </c:pt>
              <c:pt idx="10">
                <c:v>2452.5270505259559</c:v>
              </c:pt>
              <c:pt idx="11">
                <c:v>3183.4547839205643</c:v>
              </c:pt>
              <c:pt idx="12">
                <c:v>5936.5942056047897</c:v>
              </c:pt>
              <c:pt idx="13">
                <c:v>7051.915090817638</c:v>
              </c:pt>
              <c:pt idx="14">
                <c:v>1168.0026868059886</c:v>
              </c:pt>
              <c:pt idx="15">
                <c:v>-2421.5939655436705</c:v>
              </c:pt>
              <c:pt idx="16">
                <c:v>2312.634579590147</c:v>
              </c:pt>
              <c:pt idx="17">
                <c:v>3516.9258408248379</c:v>
              </c:pt>
              <c:pt idx="18">
                <c:v>2739.5290794311468</c:v>
              </c:pt>
              <c:pt idx="19">
                <c:v>2427.5329652558567</c:v>
              </c:pt>
              <c:pt idx="20">
                <c:v>887.50618795860373</c:v>
              </c:pt>
              <c:pt idx="21">
                <c:v>4442.3403175348658</c:v>
              </c:pt>
              <c:pt idx="22">
                <c:v>4189.9819523253345</c:v>
              </c:pt>
              <c:pt idx="23">
                <c:v>-4580.2625765396197</c:v>
              </c:pt>
              <c:pt idx="24">
                <c:v>1907.6051771234634</c:v>
              </c:pt>
              <c:pt idx="25">
                <c:v>-1811.5918062770479</c:v>
              </c:pt>
              <c:pt idx="26">
                <c:v>2253.6199727474977</c:v>
              </c:pt>
              <c:pt idx="27">
                <c:v>1731.4635267586273</c:v>
              </c:pt>
              <c:pt idx="28">
                <c:v>1745.450242513738</c:v>
              </c:pt>
              <c:pt idx="29">
                <c:v>2665.2622588175318</c:v>
              </c:pt>
              <c:pt idx="30">
                <c:v>576.21387226336628</c:v>
              </c:pt>
              <c:pt idx="31">
                <c:v>921.04230217287477</c:v>
              </c:pt>
              <c:pt idx="32">
                <c:v>1185.735078732162</c:v>
              </c:pt>
              <c:pt idx="33">
                <c:v>-2316.975758677313</c:v>
              </c:pt>
              <c:pt idx="34">
                <c:v>1500.7396987225566</c:v>
              </c:pt>
              <c:pt idx="35">
                <c:v>319.28844076502446</c:v>
              </c:pt>
              <c:pt idx="36">
                <c:v>1609.5891226227914</c:v>
              </c:pt>
              <c:pt idx="37">
                <c:v>-1465.7787884728341</c:v>
              </c:pt>
              <c:pt idx="38">
                <c:v>512.59531502940445</c:v>
              </c:pt>
              <c:pt idx="39">
                <c:v>226.66372145004607</c:v>
              </c:pt>
              <c:pt idx="40">
                <c:v>-1672.7851004086906</c:v>
              </c:pt>
              <c:pt idx="41">
                <c:v>-1643.660988447908</c:v>
              </c:pt>
              <c:pt idx="42">
                <c:v>-1468.0697288086285</c:v>
              </c:pt>
              <c:pt idx="43">
                <c:v>-2295.2314637070731</c:v>
              </c:pt>
              <c:pt idx="44">
                <c:v>1192.2781174047063</c:v>
              </c:pt>
              <c:pt idx="45">
                <c:v>1077.6861615155822</c:v>
              </c:pt>
              <c:pt idx="46">
                <c:v>465.80923205917225</c:v>
              </c:pt>
              <c:pt idx="47">
                <c:v>-2479.5804420659829</c:v>
              </c:pt>
              <c:pt idx="48">
                <c:v>456.89363599076887</c:v>
              </c:pt>
              <c:pt idx="49">
                <c:v>1112.1269054935979</c:v>
              </c:pt>
              <c:pt idx="50">
                <c:v>-2603.3379517156332</c:v>
              </c:pt>
              <c:pt idx="51">
                <c:v>-626.82467251919206</c:v>
              </c:pt>
              <c:pt idx="52">
                <c:v>-45.595113783890156</c:v>
              </c:pt>
              <c:pt idx="53">
                <c:v>-880.62929669293362</c:v>
              </c:pt>
              <c:pt idx="54">
                <c:v>-1594.4305894937138</c:v>
              </c:pt>
              <c:pt idx="55">
                <c:v>-569.91612889962926</c:v>
              </c:pt>
              <c:pt idx="56">
                <c:v>621.07721503738435</c:v>
              </c:pt>
              <c:pt idx="57">
                <c:v>479.87214385692573</c:v>
              </c:pt>
              <c:pt idx="58">
                <c:v>1033.2453943226842</c:v>
              </c:pt>
              <c:pt idx="59">
                <c:v>-677.43058864497789</c:v>
              </c:pt>
              <c:pt idx="60">
                <c:v>504.68079551730671</c:v>
              </c:pt>
              <c:pt idx="61">
                <c:v>726.99235054165138</c:v>
              </c:pt>
              <c:pt idx="62">
                <c:v>-429.80752981993646</c:v>
              </c:pt>
              <c:pt idx="63">
                <c:v>-425.29812307692237</c:v>
              </c:pt>
              <c:pt idx="64">
                <c:v>-2291.3208576004804</c:v>
              </c:pt>
              <c:pt idx="65">
                <c:v>382.3845939976818</c:v>
              </c:pt>
              <c:pt idx="66">
                <c:v>285.70985813341736</c:v>
              </c:pt>
              <c:pt idx="67">
                <c:v>-91.620237766484479</c:v>
              </c:pt>
              <c:pt idx="68">
                <c:v>-506.32916369284703</c:v>
              </c:pt>
              <c:pt idx="69">
                <c:v>89.636872720321435</c:v>
              </c:pt>
              <c:pt idx="70">
                <c:v>58.455599941323499</c:v>
              </c:pt>
              <c:pt idx="71">
                <c:v>460.64480197355851</c:v>
              </c:pt>
              <c:pt idx="72">
                <c:v>-330.16356195864864</c:v>
              </c:pt>
              <c:pt idx="73">
                <c:v>-245.10169575604482</c:v>
              </c:pt>
              <c:pt idx="74">
                <c:v>-82.311445583586192</c:v>
              </c:pt>
              <c:pt idx="75">
                <c:v>-1985.6049524444327</c:v>
              </c:pt>
              <c:pt idx="76">
                <c:v>-451.57762006038797</c:v>
              </c:pt>
              <c:pt idx="77">
                <c:v>163.58610431488341</c:v>
              </c:pt>
              <c:pt idx="78">
                <c:v>-1048.4825927901657</c:v>
              </c:pt>
              <c:pt idx="79">
                <c:v>-188.42013674952159</c:v>
              </c:pt>
              <c:pt idx="80">
                <c:v>-1011.5286908554394</c:v>
              </c:pt>
              <c:pt idx="81">
                <c:v>-25.280662626083995</c:v>
              </c:pt>
              <c:pt idx="82">
                <c:v>-484.77638491238417</c:v>
              </c:pt>
              <c:pt idx="83">
                <c:v>-319.56187694227287</c:v>
              </c:pt>
              <c:pt idx="84">
                <c:v>-669.0842420110198</c:v>
              </c:pt>
              <c:pt idx="85">
                <c:v>-585.97758885932831</c:v>
              </c:pt>
              <c:pt idx="86">
                <c:v>-1051.9908774045714</c:v>
              </c:pt>
              <c:pt idx="87">
                <c:v>-1615.617839652301</c:v>
              </c:pt>
              <c:pt idx="88">
                <c:v>-779.14251898928137</c:v>
              </c:pt>
              <c:pt idx="89">
                <c:v>-61.500640854640551</c:v>
              </c:pt>
              <c:pt idx="90">
                <c:v>-625.91732152344935</c:v>
              </c:pt>
              <c:pt idx="91">
                <c:v>-851.89162574839406</c:v>
              </c:pt>
              <c:pt idx="92">
                <c:v>-770.00031647912715</c:v>
              </c:pt>
              <c:pt idx="93">
                <c:v>-702.9872110888989</c:v>
              </c:pt>
              <c:pt idx="94">
                <c:v>-695.74676918546152</c:v>
              </c:pt>
              <c:pt idx="95">
                <c:v>-2603.2526844807799</c:v>
              </c:pt>
              <c:pt idx="96">
                <c:v>-1124.2873444370953</c:v>
              </c:pt>
              <c:pt idx="97">
                <c:v>-941.02233200124294</c:v>
              </c:pt>
              <c:pt idx="98">
                <c:v>-870.81011252465782</c:v>
              </c:pt>
              <c:pt idx="99">
                <c:v>-1471.9945138713692</c:v>
              </c:pt>
              <c:pt idx="100">
                <c:v>-115.70969698803299</c:v>
              </c:pt>
              <c:pt idx="101">
                <c:v>-520.92085584302311</c:v>
              </c:pt>
              <c:pt idx="102">
                <c:v>-1158.0911771796384</c:v>
              </c:pt>
              <c:pt idx="103">
                <c:v>-2044.5789688727323</c:v>
              </c:pt>
              <c:pt idx="104">
                <c:v>-254.19269425792402</c:v>
              </c:pt>
              <c:pt idx="105">
                <c:v>-2644.7201694301561</c:v>
              </c:pt>
              <c:pt idx="106">
                <c:v>-1932.5985715373508</c:v>
              </c:pt>
              <c:pt idx="107">
                <c:v>-1177.3194286805019</c:v>
              </c:pt>
              <c:pt idx="108">
                <c:v>-420.0278231028629</c:v>
              </c:pt>
              <c:pt idx="109">
                <c:v>-1175.4719707823285</c:v>
              </c:pt>
              <c:pt idx="110">
                <c:v>-479.95410486389363</c:v>
              </c:pt>
              <c:pt idx="111">
                <c:v>-1853.4623240104861</c:v>
              </c:pt>
              <c:pt idx="112">
                <c:v>-1514.9149150301187</c:v>
              </c:pt>
              <c:pt idx="113">
                <c:v>-1102.8300356342875</c:v>
              </c:pt>
              <c:pt idx="114">
                <c:v>-677.46018624976432</c:v>
              </c:pt>
              <c:pt idx="115">
                <c:v>-784.31219249080698</c:v>
              </c:pt>
              <c:pt idx="116">
                <c:v>-1734.219363656978</c:v>
              </c:pt>
              <c:pt idx="117">
                <c:v>-1161.3603061742547</c:v>
              </c:pt>
              <c:pt idx="118">
                <c:v>-1044.2095251657086</c:v>
              </c:pt>
              <c:pt idx="119">
                <c:v>-935.64506312362141</c:v>
              </c:pt>
              <c:pt idx="120">
                <c:v>-950.28334439743071</c:v>
              </c:pt>
              <c:pt idx="121">
                <c:v>-849.58500588259267</c:v>
              </c:pt>
              <c:pt idx="122">
                <c:v>-964.50109536277409</c:v>
              </c:pt>
              <c:pt idx="123">
                <c:v>-774.66203709937099</c:v>
              </c:pt>
              <c:pt idx="124">
                <c:v>-1401.2490269331722</c:v>
              </c:pt>
              <c:pt idx="125">
                <c:v>-1118.010311305371</c:v>
              </c:pt>
            </c:numLit>
          </c:val>
          <c:extLst>
            <c:ext xmlns:c16="http://schemas.microsoft.com/office/drawing/2014/chart" uri="{C3380CC4-5D6E-409C-BE32-E72D297353CC}">
              <c16:uniqueId val="{00000000-A60F-4B45-8134-661E443A1C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axId val="726070872"/>
        <c:axId val="726071264"/>
      </c:barChart>
      <c:catAx>
        <c:axId val="726070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txPr>
          <a:bodyPr rot="-5400000" vert="horz"/>
          <a:lstStyle/>
          <a:p>
            <a:pPr>
              <a:defRPr sz="900"/>
            </a:pPr>
            <a:endParaRPr lang="en-US"/>
          </a:p>
        </c:txPr>
        <c:crossAx val="726071264"/>
        <c:crossesAt val="0"/>
        <c:auto val="1"/>
        <c:lblAlgn val="ctr"/>
        <c:lblOffset val="100"/>
        <c:noMultiLvlLbl val="0"/>
      </c:catAx>
      <c:valAx>
        <c:axId val="72607126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26070872"/>
        <c:crosses val="autoZero"/>
        <c:crossBetween val="between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Predicted
</a:t>
            </a:r>
            <a:r>
              <a:rPr lang="en-US" sz="1000"/>
              <a:t>Model 13 for EV    (3 variables, n=126)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26"/>
              <c:pt idx="0">
                <c:v>16102.081472492438</c:v>
              </c:pt>
              <c:pt idx="1">
                <c:v>11344.665335858148</c:v>
              </c:pt>
              <c:pt idx="2">
                <c:v>18796.375078994326</c:v>
              </c:pt>
              <c:pt idx="3">
                <c:v>5819.2097559792446</c:v>
              </c:pt>
              <c:pt idx="4">
                <c:v>23455.30520902108</c:v>
              </c:pt>
              <c:pt idx="5">
                <c:v>13802.327503280723</c:v>
              </c:pt>
              <c:pt idx="6">
                <c:v>13672.832510438035</c:v>
              </c:pt>
              <c:pt idx="7">
                <c:v>15521.963728610943</c:v>
              </c:pt>
              <c:pt idx="8">
                <c:v>7927.27327790652</c:v>
              </c:pt>
              <c:pt idx="9">
                <c:v>9624.1346540527375</c:v>
              </c:pt>
              <c:pt idx="10">
                <c:v>10321.086949474044</c:v>
              </c:pt>
              <c:pt idx="11">
                <c:v>9179.3468160794364</c:v>
              </c:pt>
              <c:pt idx="12">
                <c:v>5826.923694395211</c:v>
              </c:pt>
              <c:pt idx="13">
                <c:v>4440.6116091823624</c:v>
              </c:pt>
              <c:pt idx="14">
                <c:v>10142.246113194011</c:v>
              </c:pt>
              <c:pt idx="15">
                <c:v>13576.604965543671</c:v>
              </c:pt>
              <c:pt idx="16">
                <c:v>8823.9688204098529</c:v>
              </c:pt>
              <c:pt idx="17">
                <c:v>7118.9606591751626</c:v>
              </c:pt>
              <c:pt idx="18">
                <c:v>6814.1275205688535</c:v>
              </c:pt>
              <c:pt idx="19">
                <c:v>6302.8948347441428</c:v>
              </c:pt>
              <c:pt idx="20">
                <c:v>6552.763012041396</c:v>
              </c:pt>
              <c:pt idx="21">
                <c:v>2964.9256824651338</c:v>
              </c:pt>
              <c:pt idx="22">
                <c:v>2704.6332476746657</c:v>
              </c:pt>
              <c:pt idx="23">
                <c:v>11307.56717653962</c:v>
              </c:pt>
              <c:pt idx="24">
                <c:v>4482.7512228765363</c:v>
              </c:pt>
              <c:pt idx="25">
                <c:v>8047.8284062770481</c:v>
              </c:pt>
              <c:pt idx="26">
                <c:v>3826.1504272525026</c:v>
              </c:pt>
              <c:pt idx="27">
                <c:v>3957.4133732413729</c:v>
              </c:pt>
              <c:pt idx="28">
                <c:v>3870.6592574862616</c:v>
              </c:pt>
              <c:pt idx="29">
                <c:v>2925.3693411824679</c:v>
              </c:pt>
              <c:pt idx="30">
                <c:v>4688.6382277366338</c:v>
              </c:pt>
              <c:pt idx="31">
                <c:v>4256.189597827125</c:v>
              </c:pt>
              <c:pt idx="32">
                <c:v>3930.3991212678384</c:v>
              </c:pt>
              <c:pt idx="33">
                <c:v>7185.8059586773134</c:v>
              </c:pt>
              <c:pt idx="34">
                <c:v>3237.4276012774435</c:v>
              </c:pt>
              <c:pt idx="35">
                <c:v>4166.7073592349752</c:v>
              </c:pt>
              <c:pt idx="36">
                <c:v>2827.2300773772085</c:v>
              </c:pt>
              <c:pt idx="37">
                <c:v>5737.9979884728336</c:v>
              </c:pt>
              <c:pt idx="38">
                <c:v>3641.6863849705951</c:v>
              </c:pt>
              <c:pt idx="39">
                <c:v>3856.9859785499539</c:v>
              </c:pt>
              <c:pt idx="40">
                <c:v>5737.0819004086907</c:v>
              </c:pt>
              <c:pt idx="41">
                <c:v>5531.321288447908</c:v>
              </c:pt>
              <c:pt idx="42">
                <c:v>5047.9186288086285</c:v>
              </c:pt>
              <c:pt idx="43">
                <c:v>5835.7805637070733</c:v>
              </c:pt>
              <c:pt idx="44">
                <c:v>2063.7845825952936</c:v>
              </c:pt>
              <c:pt idx="45">
                <c:v>2142.5948384844178</c:v>
              </c:pt>
              <c:pt idx="46">
                <c:v>2736.4303679408276</c:v>
              </c:pt>
              <c:pt idx="47">
                <c:v>5676.3104420659829</c:v>
              </c:pt>
              <c:pt idx="48">
                <c:v>2705.918564009231</c:v>
              </c:pt>
              <c:pt idx="49">
                <c:v>1849.7554945064021</c:v>
              </c:pt>
              <c:pt idx="50">
                <c:v>5462.0463517156331</c:v>
              </c:pt>
              <c:pt idx="51">
                <c:v>3459.921772519192</c:v>
              </c:pt>
              <c:pt idx="52">
                <c:v>2826.8748137838902</c:v>
              </c:pt>
              <c:pt idx="53">
                <c:v>3591.4891966929335</c:v>
              </c:pt>
              <c:pt idx="54">
                <c:v>4179.2203894937138</c:v>
              </c:pt>
              <c:pt idx="55">
                <c:v>3108.8994288996291</c:v>
              </c:pt>
              <c:pt idx="56">
                <c:v>1911.2974849626155</c:v>
              </c:pt>
              <c:pt idx="57">
                <c:v>2047.4434561430742</c:v>
              </c:pt>
              <c:pt idx="58">
                <c:v>1466.3682056773159</c:v>
              </c:pt>
              <c:pt idx="59">
                <c:v>3082.3821886449778</c:v>
              </c:pt>
              <c:pt idx="60">
                <c:v>1894.7031044826931</c:v>
              </c:pt>
              <c:pt idx="61">
                <c:v>1636.1252494583487</c:v>
              </c:pt>
              <c:pt idx="62">
                <c:v>2773.9024298199365</c:v>
              </c:pt>
              <c:pt idx="63">
                <c:v>2702.4111230769222</c:v>
              </c:pt>
              <c:pt idx="64">
                <c:v>4540.7904576004803</c:v>
              </c:pt>
              <c:pt idx="65">
                <c:v>1820.3808060023184</c:v>
              </c:pt>
              <c:pt idx="66">
                <c:v>1879.4094418665825</c:v>
              </c:pt>
              <c:pt idx="67">
                <c:v>2213.5229377664846</c:v>
              </c:pt>
              <c:pt idx="68">
                <c:v>2593.0179636928469</c:v>
              </c:pt>
              <c:pt idx="69">
                <c:v>1976.5558272796786</c:v>
              </c:pt>
              <c:pt idx="70">
                <c:v>2000.8100000586767</c:v>
              </c:pt>
              <c:pt idx="71">
                <c:v>1553.6738980264415</c:v>
              </c:pt>
              <c:pt idx="72">
                <c:v>2235.6019619586486</c:v>
              </c:pt>
              <c:pt idx="73">
                <c:v>2042.2045957560449</c:v>
              </c:pt>
              <c:pt idx="74">
                <c:v>1790.6173455835863</c:v>
              </c:pt>
              <c:pt idx="75">
                <c:v>3627.6198524444326</c:v>
              </c:pt>
              <c:pt idx="76">
                <c:v>2088.7764200603879</c:v>
              </c:pt>
              <c:pt idx="77">
                <c:v>1399.9017956851167</c:v>
              </c:pt>
              <c:pt idx="78">
                <c:v>2593.3966927901656</c:v>
              </c:pt>
              <c:pt idx="79">
                <c:v>1687.0435367495215</c:v>
              </c:pt>
              <c:pt idx="80">
                <c:v>2490.2352908554394</c:v>
              </c:pt>
              <c:pt idx="81">
                <c:v>1480.5965626260841</c:v>
              </c:pt>
              <c:pt idx="82">
                <c:v>1939.7753849123842</c:v>
              </c:pt>
              <c:pt idx="83">
                <c:v>1764.1039769422728</c:v>
              </c:pt>
              <c:pt idx="84">
                <c:v>2112.4491420110198</c:v>
              </c:pt>
              <c:pt idx="85">
                <c:v>1995.2873888593283</c:v>
              </c:pt>
              <c:pt idx="86">
                <c:v>2455.5154774045714</c:v>
              </c:pt>
              <c:pt idx="87">
                <c:v>2991.354339652301</c:v>
              </c:pt>
              <c:pt idx="88">
                <c:v>2139.5077189892813</c:v>
              </c:pt>
              <c:pt idx="89">
                <c:v>1408.1973408546405</c:v>
              </c:pt>
              <c:pt idx="90">
                <c:v>1960.9830215234495</c:v>
              </c:pt>
              <c:pt idx="91">
                <c:v>2086.167325748394</c:v>
              </c:pt>
              <c:pt idx="92">
                <c:v>1984.4017164791271</c:v>
              </c:pt>
              <c:pt idx="93">
                <c:v>1912.0797110888989</c:v>
              </c:pt>
              <c:pt idx="94">
                <c:v>1853.2744691854616</c:v>
              </c:pt>
              <c:pt idx="95">
                <c:v>3721.9765844807798</c:v>
              </c:pt>
              <c:pt idx="96">
                <c:v>2230.2943444370953</c:v>
              </c:pt>
              <c:pt idx="97">
                <c:v>1957.1542320012429</c:v>
              </c:pt>
              <c:pt idx="98">
                <c:v>1882.0440125246578</c:v>
              </c:pt>
              <c:pt idx="99">
                <c:v>2421.0247138713694</c:v>
              </c:pt>
              <c:pt idx="100">
                <c:v>992.89029698803301</c:v>
              </c:pt>
              <c:pt idx="101">
                <c:v>1310.9002558430232</c:v>
              </c:pt>
              <c:pt idx="102">
                <c:v>1917.4046771796384</c:v>
              </c:pt>
              <c:pt idx="103">
                <c:v>2796.4964688727323</c:v>
              </c:pt>
              <c:pt idx="104">
                <c:v>1002.798694257924</c:v>
              </c:pt>
              <c:pt idx="105">
                <c:v>3364.1695694301561</c:v>
              </c:pt>
              <c:pt idx="106">
                <c:v>2617.1866715373508</c:v>
              </c:pt>
              <c:pt idx="107">
                <c:v>1776.6176286805019</c:v>
              </c:pt>
              <c:pt idx="108">
                <c:v>918.0348231028629</c:v>
              </c:pt>
              <c:pt idx="109">
                <c:v>1646.9872707823286</c:v>
              </c:pt>
              <c:pt idx="110">
                <c:v>868.18300486389364</c:v>
              </c:pt>
              <c:pt idx="111">
                <c:v>2228.3681240104861</c:v>
              </c:pt>
              <c:pt idx="112">
                <c:v>1858.1047150301185</c:v>
              </c:pt>
              <c:pt idx="113">
                <c:v>1430.8992356342874</c:v>
              </c:pt>
              <c:pt idx="114">
                <c:v>982.61178624976424</c:v>
              </c:pt>
              <c:pt idx="115">
                <c:v>1088.837192490807</c:v>
              </c:pt>
              <c:pt idx="116">
                <c:v>2024.899363656978</c:v>
              </c:pt>
              <c:pt idx="117">
                <c:v>1430.1184061742547</c:v>
              </c:pt>
              <c:pt idx="118">
                <c:v>1309.2222251657086</c:v>
              </c:pt>
              <c:pt idx="119">
                <c:v>1195.6148631236215</c:v>
              </c:pt>
              <c:pt idx="120">
                <c:v>1156.1022443974307</c:v>
              </c:pt>
              <c:pt idx="121">
                <c:v>1047.7008058825927</c:v>
              </c:pt>
              <c:pt idx="122">
                <c:v>1159.0506953627741</c:v>
              </c:pt>
              <c:pt idx="123">
                <c:v>926.10113709937104</c:v>
              </c:pt>
              <c:pt idx="124">
                <c:v>1525.6593269331722</c:v>
              </c:pt>
              <c:pt idx="125">
                <c:v>1235.0968113053709</c:v>
              </c:pt>
            </c:numLit>
          </c:xVal>
          <c:yVal>
            <c:numLit>
              <c:formatCode>General</c:formatCode>
              <c:ptCount val="126"/>
              <c:pt idx="0">
                <c:v>3070.7529275075613</c:v>
              </c:pt>
              <c:pt idx="1">
                <c:v>6932.8341641418538</c:v>
              </c:pt>
              <c:pt idx="2">
                <c:v>-1034.9818789943274</c:v>
              </c:pt>
              <c:pt idx="3">
                <c:v>9571.3020440207547</c:v>
              </c:pt>
              <c:pt idx="4">
                <c:v>-8827.1937090210795</c:v>
              </c:pt>
              <c:pt idx="5">
                <c:v>630.73209671927725</c:v>
              </c:pt>
              <c:pt idx="6">
                <c:v>412.58018956196611</c:v>
              </c:pt>
              <c:pt idx="7">
                <c:v>-2267.3065286109431</c:v>
              </c:pt>
              <c:pt idx="8">
                <c:v>5064.17682209348</c:v>
              </c:pt>
              <c:pt idx="9">
                <c:v>3154.2052459472634</c:v>
              </c:pt>
              <c:pt idx="10">
                <c:v>2452.5270505259559</c:v>
              </c:pt>
              <c:pt idx="11">
                <c:v>3183.4547839205643</c:v>
              </c:pt>
              <c:pt idx="12">
                <c:v>5936.5942056047897</c:v>
              </c:pt>
              <c:pt idx="13">
                <c:v>7051.915090817638</c:v>
              </c:pt>
              <c:pt idx="14">
                <c:v>1168.0026868059886</c:v>
              </c:pt>
              <c:pt idx="15">
                <c:v>-2421.5939655436705</c:v>
              </c:pt>
              <c:pt idx="16">
                <c:v>2312.634579590147</c:v>
              </c:pt>
              <c:pt idx="17">
                <c:v>3516.9258408248379</c:v>
              </c:pt>
              <c:pt idx="18">
                <c:v>2739.5290794311468</c:v>
              </c:pt>
              <c:pt idx="19">
                <c:v>2427.5329652558567</c:v>
              </c:pt>
              <c:pt idx="20">
                <c:v>887.50618795860373</c:v>
              </c:pt>
              <c:pt idx="21">
                <c:v>4442.3403175348658</c:v>
              </c:pt>
              <c:pt idx="22">
                <c:v>4189.9819523253345</c:v>
              </c:pt>
              <c:pt idx="23">
                <c:v>-4580.2625765396197</c:v>
              </c:pt>
              <c:pt idx="24">
                <c:v>1907.6051771234634</c:v>
              </c:pt>
              <c:pt idx="25">
                <c:v>-1811.5918062770479</c:v>
              </c:pt>
              <c:pt idx="26">
                <c:v>2253.6199727474977</c:v>
              </c:pt>
              <c:pt idx="27">
                <c:v>1731.4635267586273</c:v>
              </c:pt>
              <c:pt idx="28">
                <c:v>1745.450242513738</c:v>
              </c:pt>
              <c:pt idx="29">
                <c:v>2665.2622588175318</c:v>
              </c:pt>
              <c:pt idx="30">
                <c:v>576.21387226336628</c:v>
              </c:pt>
              <c:pt idx="31">
                <c:v>921.04230217287477</c:v>
              </c:pt>
              <c:pt idx="32">
                <c:v>1185.735078732162</c:v>
              </c:pt>
              <c:pt idx="33">
                <c:v>-2316.975758677313</c:v>
              </c:pt>
              <c:pt idx="34">
                <c:v>1500.7396987225566</c:v>
              </c:pt>
              <c:pt idx="35">
                <c:v>319.28844076502446</c:v>
              </c:pt>
              <c:pt idx="36">
                <c:v>1609.5891226227914</c:v>
              </c:pt>
              <c:pt idx="37">
                <c:v>-1465.7787884728341</c:v>
              </c:pt>
              <c:pt idx="38">
                <c:v>512.59531502940445</c:v>
              </c:pt>
              <c:pt idx="39">
                <c:v>226.66372145004607</c:v>
              </c:pt>
              <c:pt idx="40">
                <c:v>-1672.7851004086906</c:v>
              </c:pt>
              <c:pt idx="41">
                <c:v>-1643.660988447908</c:v>
              </c:pt>
              <c:pt idx="42">
                <c:v>-1468.0697288086285</c:v>
              </c:pt>
              <c:pt idx="43">
                <c:v>-2295.2314637070731</c:v>
              </c:pt>
              <c:pt idx="44">
                <c:v>1192.2781174047063</c:v>
              </c:pt>
              <c:pt idx="45">
                <c:v>1077.6861615155822</c:v>
              </c:pt>
              <c:pt idx="46">
                <c:v>465.80923205917225</c:v>
              </c:pt>
              <c:pt idx="47">
                <c:v>-2479.5804420659829</c:v>
              </c:pt>
              <c:pt idx="48">
                <c:v>456.89363599076887</c:v>
              </c:pt>
              <c:pt idx="49">
                <c:v>1112.1269054935979</c:v>
              </c:pt>
              <c:pt idx="50">
                <c:v>-2603.3379517156332</c:v>
              </c:pt>
              <c:pt idx="51">
                <c:v>-626.82467251919206</c:v>
              </c:pt>
              <c:pt idx="52">
                <c:v>-45.595113783890156</c:v>
              </c:pt>
              <c:pt idx="53">
                <c:v>-880.62929669293362</c:v>
              </c:pt>
              <c:pt idx="54">
                <c:v>-1594.4305894937138</c:v>
              </c:pt>
              <c:pt idx="55">
                <c:v>-569.91612889962926</c:v>
              </c:pt>
              <c:pt idx="56">
                <c:v>621.07721503738435</c:v>
              </c:pt>
              <c:pt idx="57">
                <c:v>479.87214385692573</c:v>
              </c:pt>
              <c:pt idx="58">
                <c:v>1033.2453943226842</c:v>
              </c:pt>
              <c:pt idx="59">
                <c:v>-677.43058864497789</c:v>
              </c:pt>
              <c:pt idx="60">
                <c:v>504.68079551730671</c:v>
              </c:pt>
              <c:pt idx="61">
                <c:v>726.99235054165138</c:v>
              </c:pt>
              <c:pt idx="62">
                <c:v>-429.80752981993646</c:v>
              </c:pt>
              <c:pt idx="63">
                <c:v>-425.29812307692237</c:v>
              </c:pt>
              <c:pt idx="64">
                <c:v>-2291.3208576004804</c:v>
              </c:pt>
              <c:pt idx="65">
                <c:v>382.3845939976818</c:v>
              </c:pt>
              <c:pt idx="66">
                <c:v>285.70985813341736</c:v>
              </c:pt>
              <c:pt idx="67">
                <c:v>-91.620237766484479</c:v>
              </c:pt>
              <c:pt idx="68">
                <c:v>-506.32916369284703</c:v>
              </c:pt>
              <c:pt idx="69">
                <c:v>89.636872720321435</c:v>
              </c:pt>
              <c:pt idx="70">
                <c:v>58.455599941323499</c:v>
              </c:pt>
              <c:pt idx="71">
                <c:v>460.64480197355851</c:v>
              </c:pt>
              <c:pt idx="72">
                <c:v>-330.16356195864864</c:v>
              </c:pt>
              <c:pt idx="73">
                <c:v>-245.10169575604482</c:v>
              </c:pt>
              <c:pt idx="74">
                <c:v>-82.311445583586192</c:v>
              </c:pt>
              <c:pt idx="75">
                <c:v>-1985.6049524444327</c:v>
              </c:pt>
              <c:pt idx="76">
                <c:v>-451.57762006038797</c:v>
              </c:pt>
              <c:pt idx="77">
                <c:v>163.58610431488341</c:v>
              </c:pt>
              <c:pt idx="78">
                <c:v>-1048.4825927901657</c:v>
              </c:pt>
              <c:pt idx="79">
                <c:v>-188.42013674952159</c:v>
              </c:pt>
              <c:pt idx="80">
                <c:v>-1011.5286908554394</c:v>
              </c:pt>
              <c:pt idx="81">
                <c:v>-25.280662626083995</c:v>
              </c:pt>
              <c:pt idx="82">
                <c:v>-484.77638491238417</c:v>
              </c:pt>
              <c:pt idx="83">
                <c:v>-319.56187694227287</c:v>
              </c:pt>
              <c:pt idx="84">
                <c:v>-669.0842420110198</c:v>
              </c:pt>
              <c:pt idx="85">
                <c:v>-585.97758885932831</c:v>
              </c:pt>
              <c:pt idx="86">
                <c:v>-1051.9908774045714</c:v>
              </c:pt>
              <c:pt idx="87">
                <c:v>-1615.617839652301</c:v>
              </c:pt>
              <c:pt idx="88">
                <c:v>-779.14251898928137</c:v>
              </c:pt>
              <c:pt idx="89">
                <c:v>-61.500640854640551</c:v>
              </c:pt>
              <c:pt idx="90">
                <c:v>-625.91732152344935</c:v>
              </c:pt>
              <c:pt idx="91">
                <c:v>-851.89162574839406</c:v>
              </c:pt>
              <c:pt idx="92">
                <c:v>-770.00031647912715</c:v>
              </c:pt>
              <c:pt idx="93">
                <c:v>-702.9872110888989</c:v>
              </c:pt>
              <c:pt idx="94">
                <c:v>-695.74676918546152</c:v>
              </c:pt>
              <c:pt idx="95">
                <c:v>-2603.2526844807799</c:v>
              </c:pt>
              <c:pt idx="96">
                <c:v>-1124.2873444370953</c:v>
              </c:pt>
              <c:pt idx="97">
                <c:v>-941.02233200124294</c:v>
              </c:pt>
              <c:pt idx="98">
                <c:v>-870.81011252465782</c:v>
              </c:pt>
              <c:pt idx="99">
                <c:v>-1471.9945138713692</c:v>
              </c:pt>
              <c:pt idx="100">
                <c:v>-115.70969698803299</c:v>
              </c:pt>
              <c:pt idx="101">
                <c:v>-520.92085584302311</c:v>
              </c:pt>
              <c:pt idx="102">
                <c:v>-1158.0911771796384</c:v>
              </c:pt>
              <c:pt idx="103">
                <c:v>-2044.5789688727323</c:v>
              </c:pt>
              <c:pt idx="104">
                <c:v>-254.19269425792402</c:v>
              </c:pt>
              <c:pt idx="105">
                <c:v>-2644.7201694301561</c:v>
              </c:pt>
              <c:pt idx="106">
                <c:v>-1932.5985715373508</c:v>
              </c:pt>
              <c:pt idx="107">
                <c:v>-1177.3194286805019</c:v>
              </c:pt>
              <c:pt idx="108">
                <c:v>-420.0278231028629</c:v>
              </c:pt>
              <c:pt idx="109">
                <c:v>-1175.4719707823285</c:v>
              </c:pt>
              <c:pt idx="110">
                <c:v>-479.95410486389363</c:v>
              </c:pt>
              <c:pt idx="111">
                <c:v>-1853.4623240104861</c:v>
              </c:pt>
              <c:pt idx="112">
                <c:v>-1514.9149150301187</c:v>
              </c:pt>
              <c:pt idx="113">
                <c:v>-1102.8300356342875</c:v>
              </c:pt>
              <c:pt idx="114">
                <c:v>-677.46018624976432</c:v>
              </c:pt>
              <c:pt idx="115">
                <c:v>-784.31219249080698</c:v>
              </c:pt>
              <c:pt idx="116">
                <c:v>-1734.219363656978</c:v>
              </c:pt>
              <c:pt idx="117">
                <c:v>-1161.3603061742547</c:v>
              </c:pt>
              <c:pt idx="118">
                <c:v>-1044.2095251657086</c:v>
              </c:pt>
              <c:pt idx="119">
                <c:v>-935.64506312362141</c:v>
              </c:pt>
              <c:pt idx="120">
                <c:v>-950.28334439743071</c:v>
              </c:pt>
              <c:pt idx="121">
                <c:v>-849.58500588259267</c:v>
              </c:pt>
              <c:pt idx="122">
                <c:v>-964.50109536277409</c:v>
              </c:pt>
              <c:pt idx="123">
                <c:v>-774.66203709937099</c:v>
              </c:pt>
              <c:pt idx="124">
                <c:v>-1401.2490269331722</c:v>
              </c:pt>
              <c:pt idx="125">
                <c:v>-1118.010311305371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AA05-4C28-A18A-82400E9ED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828656"/>
        <c:axId val="725829048"/>
      </c:scatterChart>
      <c:valAx>
        <c:axId val="725828656"/>
        <c:scaling>
          <c:orientation val="minMax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725829048"/>
        <c:crossesAt val="-10000"/>
        <c:crossBetween val="midCat"/>
      </c:valAx>
      <c:valAx>
        <c:axId val="72582904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25828656"/>
        <c:crossesAt val="0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Histogram of Residuals
</a:t>
            </a:r>
            <a:r>
              <a:rPr lang="en-US" sz="1000"/>
              <a:t>Model 13 for EV    (3 variables, n=126)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Actual</c:v>
          </c:tx>
          <c:spPr>
            <a:solidFill>
              <a:srgbClr val="9999FF"/>
            </a:solidFill>
            <a:ln w="9525" cap="flat" cmpd="sng" algn="ctr">
              <a:solidFill>
                <a:srgbClr val="0000FF"/>
              </a:solidFill>
              <a:prstDash val="solid"/>
              <a:round/>
              <a:headEnd type="none" w="med" len="med"/>
              <a:tailEnd type="none" w="med" len="med"/>
            </a:ln>
          </c:spPr>
          <c:invertIfNegative val="0"/>
          <c:cat>
            <c:strLit>
              <c:ptCount val="21"/>
              <c:pt idx="0">
                <c:v>-9,600</c:v>
              </c:pt>
              <c:pt idx="1">
                <c:v>-8,640</c:v>
              </c:pt>
              <c:pt idx="2">
                <c:v>-7,680</c:v>
              </c:pt>
              <c:pt idx="3">
                <c:v>-6,720</c:v>
              </c:pt>
              <c:pt idx="4">
                <c:v>-5,760</c:v>
              </c:pt>
              <c:pt idx="5">
                <c:v>-4,800</c:v>
              </c:pt>
              <c:pt idx="6">
                <c:v>-3,840</c:v>
              </c:pt>
              <c:pt idx="7">
                <c:v>-2,880</c:v>
              </c:pt>
              <c:pt idx="8">
                <c:v>-1,920</c:v>
              </c:pt>
              <c:pt idx="9">
                <c:v>-960</c:v>
              </c:pt>
              <c:pt idx="10">
                <c:v>0</c:v>
              </c:pt>
              <c:pt idx="11">
                <c:v>960</c:v>
              </c:pt>
              <c:pt idx="12">
                <c:v>1,920</c:v>
              </c:pt>
              <c:pt idx="13">
                <c:v>2,880</c:v>
              </c:pt>
              <c:pt idx="14">
                <c:v>3,840</c:v>
              </c:pt>
              <c:pt idx="15">
                <c:v>4,800</c:v>
              </c:pt>
              <c:pt idx="16">
                <c:v>5,760</c:v>
              </c:pt>
              <c:pt idx="17">
                <c:v>6,720</c:v>
              </c:pt>
              <c:pt idx="18">
                <c:v>7,680</c:v>
              </c:pt>
              <c:pt idx="19">
                <c:v>8,640</c:v>
              </c:pt>
              <c:pt idx="20">
                <c:v>9,600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1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1</c:v>
              </c:pt>
              <c:pt idx="6">
                <c:v>0</c:v>
              </c:pt>
              <c:pt idx="7">
                <c:v>5</c:v>
              </c:pt>
              <c:pt idx="8">
                <c:v>18</c:v>
              </c:pt>
              <c:pt idx="9">
                <c:v>37</c:v>
              </c:pt>
              <c:pt idx="10">
                <c:v>28</c:v>
              </c:pt>
              <c:pt idx="11">
                <c:v>14</c:v>
              </c:pt>
              <c:pt idx="12">
                <c:v>7</c:v>
              </c:pt>
              <c:pt idx="13">
                <c:v>7</c:v>
              </c:pt>
              <c:pt idx="14">
                <c:v>2</c:v>
              </c:pt>
              <c:pt idx="15">
                <c:v>2</c:v>
              </c:pt>
              <c:pt idx="16">
                <c:v>1</c:v>
              </c:pt>
              <c:pt idx="17">
                <c:v>2</c:v>
              </c:pt>
              <c:pt idx="18">
                <c:v>0</c:v>
              </c:pt>
              <c:pt idx="19">
                <c:v>0</c:v>
              </c:pt>
              <c:pt idx="2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A72B-4ECC-B8ED-AA31E266EFAB}"/>
            </c:ext>
          </c:extLst>
        </c:ser>
        <c:ser>
          <c:idx val="1"/>
          <c:order val="1"/>
          <c:tx>
            <c:v>Normal</c:v>
          </c:tx>
          <c:spPr>
            <a:solidFill>
              <a:srgbClr val="FFD2D2"/>
            </a:solidFill>
            <a:ln w="9525">
              <a:solidFill>
                <a:srgbClr val="FF0000"/>
              </a:solidFill>
              <a:prstDash val="solid"/>
            </a:ln>
          </c:spPr>
          <c:invertIfNegative val="0"/>
          <c:cat>
            <c:strLit>
              <c:ptCount val="21"/>
              <c:pt idx="0">
                <c:v>-9,600</c:v>
              </c:pt>
              <c:pt idx="1">
                <c:v>-8,640</c:v>
              </c:pt>
              <c:pt idx="2">
                <c:v>-7,680</c:v>
              </c:pt>
              <c:pt idx="3">
                <c:v>-6,720</c:v>
              </c:pt>
              <c:pt idx="4">
                <c:v>-5,760</c:v>
              </c:pt>
              <c:pt idx="5">
                <c:v>-4,800</c:v>
              </c:pt>
              <c:pt idx="6">
                <c:v>-3,840</c:v>
              </c:pt>
              <c:pt idx="7">
                <c:v>-2,880</c:v>
              </c:pt>
              <c:pt idx="8">
                <c:v>-1,920</c:v>
              </c:pt>
              <c:pt idx="9">
                <c:v>-960</c:v>
              </c:pt>
              <c:pt idx="10">
                <c:v>0</c:v>
              </c:pt>
              <c:pt idx="11">
                <c:v>960</c:v>
              </c:pt>
              <c:pt idx="12">
                <c:v>1,920</c:v>
              </c:pt>
              <c:pt idx="13">
                <c:v>2,880</c:v>
              </c:pt>
              <c:pt idx="14">
                <c:v>3,840</c:v>
              </c:pt>
              <c:pt idx="15">
                <c:v>4,800</c:v>
              </c:pt>
              <c:pt idx="16">
                <c:v>5,760</c:v>
              </c:pt>
              <c:pt idx="17">
                <c:v>6,720</c:v>
              </c:pt>
              <c:pt idx="18">
                <c:v>7,680</c:v>
              </c:pt>
              <c:pt idx="19">
                <c:v>8,640</c:v>
              </c:pt>
              <c:pt idx="20">
                <c:v>9,600</c:v>
              </c:pt>
            </c:strLit>
          </c:cat>
          <c:val>
            <c:numLit>
              <c:formatCode>General</c:formatCode>
              <c:ptCount val="21"/>
              <c:pt idx="0">
                <c:v>2.2439341720248999E-3</c:v>
              </c:pt>
              <c:pt idx="1">
                <c:v>1.2817771524175632E-2</c:v>
              </c:pt>
              <c:pt idx="2">
                <c:v>6.093344821797364E-2</c:v>
              </c:pt>
              <c:pt idx="3">
                <c:v>0.24108475549774139</c:v>
              </c:pt>
              <c:pt idx="4">
                <c:v>0.79392968977342293</c:v>
              </c:pt>
              <c:pt idx="5">
                <c:v>2.1762931030551154</c:v>
              </c:pt>
              <c:pt idx="6">
                <c:v>4.9658933846070212</c:v>
              </c:pt>
              <c:pt idx="7">
                <c:v>9.4327911703692244</c:v>
              </c:pt>
              <c:pt idx="8">
                <c:v>14.916272270173295</c:v>
              </c:pt>
              <c:pt idx="9">
                <c:v>19.636682277866498</c:v>
              </c:pt>
              <c:pt idx="10">
                <c:v>21.521374617587696</c:v>
              </c:pt>
              <c:pt idx="11">
                <c:v>19.636682277866498</c:v>
              </c:pt>
              <c:pt idx="12">
                <c:v>14.916272270173295</c:v>
              </c:pt>
              <c:pt idx="13">
                <c:v>9.432791170369228</c:v>
              </c:pt>
              <c:pt idx="14">
                <c:v>4.9658933846070141</c:v>
              </c:pt>
              <c:pt idx="15">
                <c:v>2.1762931030551158</c:v>
              </c:pt>
              <c:pt idx="16">
                <c:v>0.79392968977342093</c:v>
              </c:pt>
              <c:pt idx="17">
                <c:v>0.24108475549775221</c:v>
              </c:pt>
              <c:pt idx="18">
                <c:v>6.0933448217966202E-2</c:v>
              </c:pt>
              <c:pt idx="19">
                <c:v>1.2817771524183286E-2</c:v>
              </c:pt>
              <c:pt idx="20">
                <c:v>2.2439341720286166E-3</c:v>
              </c:pt>
            </c:numLit>
          </c:val>
          <c:extLst>
            <c:ext xmlns:c16="http://schemas.microsoft.com/office/drawing/2014/chart" uri="{C3380CC4-5D6E-409C-BE32-E72D297353CC}">
              <c16:uniqueId val="{00000001-A72B-4ECC-B8ED-AA31E266E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725829832"/>
        <c:axId val="725830224"/>
      </c:barChart>
      <c:catAx>
        <c:axId val="725829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</a:t>
                </a:r>
                <a:r>
                  <a:rPr lang="en-US" sz="900"/>
                  <a:t>ormality test (A-D*):  P &lt; 0.001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5830224"/>
        <c:crosses val="autoZero"/>
        <c:auto val="1"/>
        <c:lblAlgn val="ctr"/>
        <c:lblOffset val="100"/>
        <c:noMultiLvlLbl val="0"/>
      </c:catAx>
      <c:valAx>
        <c:axId val="72583022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25829832"/>
        <c:crosses val="autoZero"/>
        <c:crossBetween val="between"/>
      </c:valAx>
      <c:spPr>
        <a:ln w="6350">
          <a:solidFill>
            <a:srgbClr val="808080"/>
          </a:solidFill>
          <a:prstDash val="solid"/>
        </a:ln>
      </c:spPr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Normal Quantile Plot
</a:t>
            </a:r>
            <a:r>
              <a:rPr lang="en-US" sz="1000"/>
              <a:t>Model 13 for EV    (3 variables, n=126)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26"/>
              <c:pt idx="0">
                <c:v>-2.4147033084749885</c:v>
              </c:pt>
              <c:pt idx="1">
                <c:v>-2.1507484113299649</c:v>
              </c:pt>
              <c:pt idx="2">
                <c:v>-1.9841053711891627</c:v>
              </c:pt>
              <c:pt idx="3">
                <c:v>-1.8592470680409914</c:v>
              </c:pt>
              <c:pt idx="4">
                <c:v>-1.758043209566341</c:v>
              </c:pt>
              <c:pt idx="5">
                <c:v>-1.6721832673139114</c:v>
              </c:pt>
              <c:pt idx="6">
                <c:v>-1.5971322960951122</c:v>
              </c:pt>
              <c:pt idx="7">
                <c:v>-1.5301312196497687</c:v>
              </c:pt>
              <c:pt idx="8">
                <c:v>-1.4693706503384085</c:v>
              </c:pt>
              <c:pt idx="9">
                <c:v>-1.4135968218888988</c:v>
              </c:pt>
              <c:pt idx="10">
                <c:v>-1.3619034842735753</c:v>
              </c:pt>
              <c:pt idx="11">
                <c:v>-1.3136132783500947</c:v>
              </c:pt>
              <c:pt idx="12">
                <c:v>-1.2682059593000188</c:v>
              </c:pt>
              <c:pt idx="13">
                <c:v>-1.2252728323431181</c:v>
              </c:pt>
              <c:pt idx="14">
                <c:v>-1.1844866635486271</c:v>
              </c:pt>
              <c:pt idx="15">
                <c:v>-1.1455811416199235</c:v>
              </c:pt>
              <c:pt idx="16">
                <c:v>-1.1083364588623483</c:v>
              </c:pt>
              <c:pt idx="17">
                <c:v>-1.0725689397727689</c:v>
              </c:pt>
              <c:pt idx="18">
                <c:v>-1.038123421873907</c:v>
              </c:pt>
              <c:pt idx="19">
                <c:v>-1.0048675536162863</c:v>
              </c:pt>
              <c:pt idx="20">
                <c:v>-0.97268745625892783</c:v>
              </c:pt>
              <c:pt idx="21">
                <c:v>-0.94148437467935364</c:v>
              </c:pt>
              <c:pt idx="22">
                <c:v>-0.91117205737809315</c:v>
              </c:pt>
              <c:pt idx="23">
                <c:v>-0.8816746823750875</c:v>
              </c:pt>
              <c:pt idx="24">
                <c:v>-0.85292519741621597</c:v>
              </c:pt>
              <c:pt idx="25">
                <c:v>-0.82486397856790794</c:v>
              </c:pt>
              <c:pt idx="26">
                <c:v>-0.79743773628504444</c:v>
              </c:pt>
              <c:pt idx="27">
                <c:v>-0.77059861584764477</c:v>
              </c:pt>
              <c:pt idx="28">
                <c:v>-0.74430345192775693</c:v>
              </c:pt>
              <c:pt idx="29">
                <c:v>-0.71851314646370745</c:v>
              </c:pt>
              <c:pt idx="30">
                <c:v>-0.69319214599312395</c:v>
              </c:pt>
              <c:pt idx="31">
                <c:v>-0.66830799981969857</c:v>
              </c:pt>
              <c:pt idx="32">
                <c:v>-0.64383098434143737</c:v>
              </c:pt>
              <c:pt idx="33">
                <c:v>-0.61973378188829564</c:v>
              </c:pt>
              <c:pt idx="34">
                <c:v>-0.59599120474529932</c:v>
              </c:pt>
              <c:pt idx="35">
                <c:v>-0.57257995684716423</c:v>
              </c:pt>
              <c:pt idx="36">
                <c:v>-0.54947842704850169</c:v>
              </c:pt>
              <c:pt idx="37">
                <c:v>-0.52666650899293688</c:v>
              </c:pt>
              <c:pt idx="38">
                <c:v>-0.5041254434940029</c:v>
              </c:pt>
              <c:pt idx="39">
                <c:v>-0.48183768005222494</c:v>
              </c:pt>
              <c:pt idx="40">
                <c:v>-0.45978675470552149</c:v>
              </c:pt>
              <c:pt idx="41">
                <c:v>-0.43795718187363897</c:v>
              </c:pt>
              <c:pt idx="42">
                <c:v>-0.41633435823467929</c:v>
              </c:pt>
              <c:pt idx="43">
                <c:v>-0.3949044769804721</c:v>
              </c:pt>
              <c:pt idx="44">
                <c:v>-0.37365445105130612</c:v>
              </c:pt>
              <c:pt idx="45">
                <c:v>-0.35257184416008275</c:v>
              </c:pt>
              <c:pt idx="46">
                <c:v>-0.33164480858973305</c:v>
              </c:pt>
              <c:pt idx="47">
                <c:v>-0.31086202889240749</c:v>
              </c:pt>
              <c:pt idx="48">
                <c:v>-0.29021267073983703</c:v>
              </c:pt>
              <c:pt idx="49">
                <c:v>-0.26968633427559657</c:v>
              </c:pt>
              <c:pt idx="50">
                <c:v>-0.24927301140521096</c:v>
              </c:pt>
              <c:pt idx="51">
                <c:v>-0.22896304653185373</c:v>
              </c:pt>
              <c:pt idx="52">
                <c:v>-0.20874710030605939</c:v>
              </c:pt>
              <c:pt idx="53">
                <c:v>-0.1886161160091753</c:v>
              </c:pt>
              <c:pt idx="54">
                <c:v>-0.16856128823372668</c:v>
              </c:pt>
              <c:pt idx="55">
                <c:v>-0.14857403356064353</c:v>
              </c:pt>
              <c:pt idx="56">
                <c:v>-0.12864596296440176</c:v>
              </c:pt>
              <c:pt idx="57">
                <c:v>-0.10876885570336012</c:v>
              </c:pt>
              <c:pt idx="58">
                <c:v>-8.8934634474604979E-2</c:v>
              </c:pt>
              <c:pt idx="59">
                <c:v>-6.9135341630974609E-2</c:v>
              </c:pt>
              <c:pt idx="60">
                <c:v>-4.9363116273080293E-2</c:v>
              </c:pt>
              <c:pt idx="61">
                <c:v>-2.9610172041407933E-2</c:v>
              </c:pt>
              <c:pt idx="62">
                <c:v>-9.8687754432741897E-3</c:v>
              </c:pt>
              <c:pt idx="63">
                <c:v>9.8687754432741897E-3</c:v>
              </c:pt>
              <c:pt idx="64">
                <c:v>2.9610172041407933E-2</c:v>
              </c:pt>
              <c:pt idx="65">
                <c:v>4.9363116273080154E-2</c:v>
              </c:pt>
              <c:pt idx="66">
                <c:v>6.9135341630974456E-2</c:v>
              </c:pt>
              <c:pt idx="67">
                <c:v>8.8934634474605118E-2</c:v>
              </c:pt>
              <c:pt idx="68">
                <c:v>0.10876885570336027</c:v>
              </c:pt>
              <c:pt idx="69">
                <c:v>0.12864596296440176</c:v>
              </c:pt>
              <c:pt idx="70">
                <c:v>0.14857403356064353</c:v>
              </c:pt>
              <c:pt idx="71">
                <c:v>0.16856128823372668</c:v>
              </c:pt>
              <c:pt idx="72">
                <c:v>0.1886161160091753</c:v>
              </c:pt>
              <c:pt idx="73">
                <c:v>0.20874710030605928</c:v>
              </c:pt>
              <c:pt idx="74">
                <c:v>0.22896304653185359</c:v>
              </c:pt>
              <c:pt idx="75">
                <c:v>0.24927301140521113</c:v>
              </c:pt>
              <c:pt idx="76">
                <c:v>0.26968633427559674</c:v>
              </c:pt>
              <c:pt idx="77">
                <c:v>0.29021267073983703</c:v>
              </c:pt>
              <c:pt idx="78">
                <c:v>0.31086202889240749</c:v>
              </c:pt>
              <c:pt idx="79">
                <c:v>0.33164480858973305</c:v>
              </c:pt>
              <c:pt idx="80">
                <c:v>0.35257184416008275</c:v>
              </c:pt>
              <c:pt idx="81">
                <c:v>0.3736544510513059</c:v>
              </c:pt>
              <c:pt idx="82">
                <c:v>0.39490447698047187</c:v>
              </c:pt>
              <c:pt idx="83">
                <c:v>0.41633435823467946</c:v>
              </c:pt>
              <c:pt idx="84">
                <c:v>0.43795718187363902</c:v>
              </c:pt>
              <c:pt idx="85">
                <c:v>0.45978675470552149</c:v>
              </c:pt>
              <c:pt idx="86">
                <c:v>0.48183768005222494</c:v>
              </c:pt>
              <c:pt idx="87">
                <c:v>0.5041254434940029</c:v>
              </c:pt>
              <c:pt idx="88">
                <c:v>0.52666650899293688</c:v>
              </c:pt>
              <c:pt idx="89">
                <c:v>0.54947842704850158</c:v>
              </c:pt>
              <c:pt idx="90">
                <c:v>0.57257995684716423</c:v>
              </c:pt>
              <c:pt idx="91">
                <c:v>0.59599120474529954</c:v>
              </c:pt>
              <c:pt idx="92">
                <c:v>0.61973378188829586</c:v>
              </c:pt>
              <c:pt idx="93">
                <c:v>0.64383098434143737</c:v>
              </c:pt>
              <c:pt idx="94">
                <c:v>0.66830799981969857</c:v>
              </c:pt>
              <c:pt idx="95">
                <c:v>0.69319214599312395</c:v>
              </c:pt>
              <c:pt idx="96">
                <c:v>0.71851314646370745</c:v>
              </c:pt>
              <c:pt idx="97">
                <c:v>0.74430345192775693</c:v>
              </c:pt>
              <c:pt idx="98">
                <c:v>0.77059861584764389</c:v>
              </c:pt>
              <c:pt idx="99">
                <c:v>0.79743773628504411</c:v>
              </c:pt>
              <c:pt idx="100">
                <c:v>0.82486397856790794</c:v>
              </c:pt>
              <c:pt idx="101">
                <c:v>0.85292519741621597</c:v>
              </c:pt>
              <c:pt idx="102">
                <c:v>0.8816746823750875</c:v>
              </c:pt>
              <c:pt idx="103">
                <c:v>0.91117205737809315</c:v>
              </c:pt>
              <c:pt idx="104">
                <c:v>0.94148437467935364</c:v>
              </c:pt>
              <c:pt idx="105">
                <c:v>0.97268745625892783</c:v>
              </c:pt>
              <c:pt idx="106">
                <c:v>1.0048675536162885</c:v>
              </c:pt>
              <c:pt idx="107">
                <c:v>1.0381234218739044</c:v>
              </c:pt>
              <c:pt idx="108">
                <c:v>1.0725689397727689</c:v>
              </c:pt>
              <c:pt idx="109">
                <c:v>1.1083364588623483</c:v>
              </c:pt>
              <c:pt idx="110">
                <c:v>1.1455811416199235</c:v>
              </c:pt>
              <c:pt idx="111">
                <c:v>1.1844866635486271</c:v>
              </c:pt>
              <c:pt idx="112">
                <c:v>1.2252728323431181</c:v>
              </c:pt>
              <c:pt idx="113">
                <c:v>1.2682059593000177</c:v>
              </c:pt>
              <c:pt idx="114">
                <c:v>1.3136132783500938</c:v>
              </c:pt>
              <c:pt idx="115">
                <c:v>1.3619034842735758</c:v>
              </c:pt>
              <c:pt idx="116">
                <c:v>1.4135968218888988</c:v>
              </c:pt>
              <c:pt idx="117">
                <c:v>1.4693706503384087</c:v>
              </c:pt>
              <c:pt idx="118">
                <c:v>1.5301312196497692</c:v>
              </c:pt>
              <c:pt idx="119">
                <c:v>1.5971322960951115</c:v>
              </c:pt>
              <c:pt idx="120">
                <c:v>1.672183267313911</c:v>
              </c:pt>
              <c:pt idx="121">
                <c:v>1.7580432095663405</c:v>
              </c:pt>
              <c:pt idx="122">
                <c:v>1.8592470680409907</c:v>
              </c:pt>
              <c:pt idx="123">
                <c:v>1.9841053711891634</c:v>
              </c:pt>
              <c:pt idx="124">
                <c:v>2.1507484113299653</c:v>
              </c:pt>
              <c:pt idx="125">
                <c:v>2.4147033084749885</c:v>
              </c:pt>
            </c:numLit>
          </c:xVal>
          <c:yVal>
            <c:numLit>
              <c:formatCode>General</c:formatCode>
              <c:ptCount val="126"/>
              <c:pt idx="0">
                <c:v>-3.9673373526190305</c:v>
              </c:pt>
              <c:pt idx="1">
                <c:v>-2.0585757380783587</c:v>
              </c:pt>
              <c:pt idx="2">
                <c:v>-1.188656039651903</c:v>
              </c:pt>
              <c:pt idx="3">
                <c:v>-1.1700570122050196</c:v>
              </c:pt>
              <c:pt idx="4">
                <c:v>-1.170018689279644</c:v>
              </c:pt>
              <c:pt idx="5">
                <c:v>-1.1144348284300793</c:v>
              </c:pt>
              <c:pt idx="6">
                <c:v>-1.0883731012450701</c:v>
              </c:pt>
              <c:pt idx="7">
                <c:v>-1.0413529798399228</c:v>
              </c:pt>
              <c:pt idx="8">
                <c:v>-1.0315801169703069</c:v>
              </c:pt>
              <c:pt idx="9">
                <c:v>-1.0298225149294442</c:v>
              </c:pt>
              <c:pt idx="10">
                <c:v>-1.0190293968061943</c:v>
              </c:pt>
              <c:pt idx="11">
                <c:v>-0.91892562698588931</c:v>
              </c:pt>
              <c:pt idx="12">
                <c:v>-0.89242005500882349</c:v>
              </c:pt>
              <c:pt idx="13">
                <c:v>-0.86859660648917614</c:v>
              </c:pt>
              <c:pt idx="14">
                <c:v>-0.83302922220955178</c:v>
              </c:pt>
              <c:pt idx="15">
                <c:v>-0.81421073080071316</c:v>
              </c:pt>
              <c:pt idx="16">
                <c:v>-0.77943607967277073</c:v>
              </c:pt>
              <c:pt idx="17">
                <c:v>-0.75182476226546413</c:v>
              </c:pt>
              <c:pt idx="18">
                <c:v>-0.73873507815376416</c:v>
              </c:pt>
              <c:pt idx="19">
                <c:v>-0.72613122744318503</c:v>
              </c:pt>
              <c:pt idx="20">
                <c:v>-0.71660872553325827</c:v>
              </c:pt>
              <c:pt idx="21">
                <c:v>-0.68087080974517245</c:v>
              </c:pt>
              <c:pt idx="22">
                <c:v>-0.66158045356634754</c:v>
              </c:pt>
              <c:pt idx="23">
                <c:v>-0.65981647886570172</c:v>
              </c:pt>
              <c:pt idx="24">
                <c:v>-0.65878682737436423</c:v>
              </c:pt>
              <c:pt idx="25">
                <c:v>-0.62978425399135751</c:v>
              </c:pt>
              <c:pt idx="26">
                <c:v>-0.52914023406950228</c:v>
              </c:pt>
              <c:pt idx="27">
                <c:v>-0.52830990350597062</c:v>
              </c:pt>
              <c:pt idx="28">
                <c:v>-0.52196748756351463</c:v>
              </c:pt>
              <c:pt idx="29">
                <c:v>-0.5204981941506357</c:v>
              </c:pt>
              <c:pt idx="30">
                <c:v>-0.50530523331596855</c:v>
              </c:pt>
              <c:pt idx="31">
                <c:v>-0.50248405267486995</c:v>
              </c:pt>
              <c:pt idx="32">
                <c:v>-0.49566135492083796</c:v>
              </c:pt>
              <c:pt idx="33">
                <c:v>-0.47281195361968203</c:v>
              </c:pt>
              <c:pt idx="34">
                <c:v>-0.47123517292888034</c:v>
              </c:pt>
              <c:pt idx="35">
                <c:v>-0.46931466440084718</c:v>
              </c:pt>
              <c:pt idx="36">
                <c:v>-0.46516734572412444</c:v>
              </c:pt>
              <c:pt idx="37">
                <c:v>-0.45462642950447457</c:v>
              </c:pt>
              <c:pt idx="38">
                <c:v>-0.43349011570508017</c:v>
              </c:pt>
              <c:pt idx="39">
                <c:v>-0.42710001978848139</c:v>
              </c:pt>
              <c:pt idx="40">
                <c:v>-0.42293770483158688</c:v>
              </c:pt>
              <c:pt idx="41">
                <c:v>-0.42052091866188246</c:v>
              </c:pt>
              <c:pt idx="42">
                <c:v>-0.39579436203037099</c:v>
              </c:pt>
              <c:pt idx="43">
                <c:v>-0.39138117960714691</c:v>
              </c:pt>
              <c:pt idx="44">
                <c:v>-0.38287836186952368</c:v>
              </c:pt>
              <c:pt idx="45">
                <c:v>-0.38184166329310809</c:v>
              </c:pt>
              <c:pt idx="46">
                <c:v>-0.35250512903136239</c:v>
              </c:pt>
              <c:pt idx="47">
                <c:v>-0.35018164554844217</c:v>
              </c:pt>
              <c:pt idx="48">
                <c:v>-0.34816791573288275</c:v>
              </c:pt>
              <c:pt idx="49">
                <c:v>-0.34607272909103226</c:v>
              </c:pt>
              <c:pt idx="50">
                <c:v>-0.31595402943477058</c:v>
              </c:pt>
              <c:pt idx="51">
                <c:v>-0.31269984961728015</c:v>
              </c:pt>
              <c:pt idx="52">
                <c:v>-0.30448103784945696</c:v>
              </c:pt>
              <c:pt idx="53">
                <c:v>-0.30446773535640104</c:v>
              </c:pt>
              <c:pt idx="54">
                <c:v>-0.30071651227799867</c:v>
              </c:pt>
              <c:pt idx="55">
                <c:v>-0.28172316353351751</c:v>
              </c:pt>
              <c:pt idx="56">
                <c:v>-0.28131535923964918</c:v>
              </c:pt>
              <c:pt idx="57">
                <c:v>-0.26336464936794318</c:v>
              </c:pt>
              <c:pt idx="58">
                <c:v>-0.25614590781358165</c:v>
              </c:pt>
              <c:pt idx="59">
                <c:v>-0.23412523133283419</c:v>
              </c:pt>
              <c:pt idx="60">
                <c:v>-0.22756706945108579</c:v>
              </c:pt>
              <c:pt idx="61">
                <c:v>-0.21788028255967773</c:v>
              </c:pt>
              <c:pt idx="62">
                <c:v>-0.21571293329876662</c:v>
              </c:pt>
              <c:pt idx="63">
                <c:v>-0.20295926641345488</c:v>
              </c:pt>
              <c:pt idx="64">
                <c:v>-0.19317480999073425</c:v>
              </c:pt>
              <c:pt idx="65">
                <c:v>-0.19114808004694378</c:v>
              </c:pt>
              <c:pt idx="66">
                <c:v>-0.18877937050732815</c:v>
              </c:pt>
              <c:pt idx="67">
                <c:v>-0.14839033502727525</c:v>
              </c:pt>
              <c:pt idx="68">
                <c:v>-0.143625461574551</c:v>
              </c:pt>
              <c:pt idx="69">
                <c:v>-0.11424561462401263</c:v>
              </c:pt>
              <c:pt idx="70">
                <c:v>-0.11015971154790254</c:v>
              </c:pt>
              <c:pt idx="71">
                <c:v>-8.4684472908758912E-2</c:v>
              </c:pt>
              <c:pt idx="72">
                <c:v>-5.2005135273253442E-2</c:v>
              </c:pt>
              <c:pt idx="73">
                <c:v>-4.1178250249038761E-2</c:v>
              </c:pt>
              <c:pt idx="74">
                <c:v>-3.6994460909824632E-2</c:v>
              </c:pt>
              <c:pt idx="75">
                <c:v>-2.7641150485150274E-2</c:v>
              </c:pt>
              <c:pt idx="76">
                <c:v>-2.0492492175273987E-2</c:v>
              </c:pt>
              <c:pt idx="77">
                <c:v>-1.1362265340673678E-2</c:v>
              </c:pt>
              <c:pt idx="78">
                <c:v>2.6272572321593052E-2</c:v>
              </c:pt>
              <c:pt idx="79">
                <c:v>4.028683690852488E-2</c:v>
              </c:pt>
              <c:pt idx="80">
                <c:v>7.352294323785076E-2</c:v>
              </c:pt>
              <c:pt idx="81">
                <c:v>0.10187285769807</c:v>
              </c:pt>
              <c:pt idx="82">
                <c:v>0.12841084375726189</c:v>
              </c:pt>
              <c:pt idx="83">
                <c:v>0.14350256707429251</c:v>
              </c:pt>
              <c:pt idx="84">
                <c:v>0.17186081248933008</c:v>
              </c:pt>
              <c:pt idx="85">
                <c:v>0.18543206946133187</c:v>
              </c:pt>
              <c:pt idx="86">
                <c:v>0.20534852275731014</c:v>
              </c:pt>
              <c:pt idx="87">
                <c:v>0.20703446524480604</c:v>
              </c:pt>
              <c:pt idx="88">
                <c:v>0.20935559210109173</c:v>
              </c:pt>
              <c:pt idx="89">
                <c:v>0.21567609634071169</c:v>
              </c:pt>
              <c:pt idx="90">
                <c:v>0.22682621875161532</c:v>
              </c:pt>
              <c:pt idx="91">
                <c:v>0.23038335932464798</c:v>
              </c:pt>
              <c:pt idx="92">
                <c:v>0.2589763965632087</c:v>
              </c:pt>
              <c:pt idx="93">
                <c:v>0.27913999797696437</c:v>
              </c:pt>
              <c:pt idx="94">
                <c:v>0.28347933548267079</c:v>
              </c:pt>
              <c:pt idx="95">
                <c:v>0.3267430173674139</c:v>
              </c:pt>
              <c:pt idx="96">
                <c:v>0.39888514586128548</c:v>
              </c:pt>
              <c:pt idx="97">
                <c:v>0.41395778196396937</c:v>
              </c:pt>
              <c:pt idx="98">
                <c:v>0.4643868915132896</c:v>
              </c:pt>
              <c:pt idx="99">
                <c:v>0.48436056847964487</c:v>
              </c:pt>
              <c:pt idx="100">
                <c:v>0.49983978583230493</c:v>
              </c:pt>
              <c:pt idx="101">
                <c:v>0.52495287178179217</c:v>
              </c:pt>
              <c:pt idx="102">
                <c:v>0.53292260521679002</c:v>
              </c:pt>
              <c:pt idx="103">
                <c:v>0.53586334069636687</c:v>
              </c:pt>
              <c:pt idx="104">
                <c:v>0.67449983081435183</c:v>
              </c:pt>
              <c:pt idx="105">
                <c:v>0.72342165121228152</c:v>
              </c:pt>
              <c:pt idx="106">
                <c:v>0.77819748278400203</c:v>
              </c:pt>
              <c:pt idx="107">
                <c:v>0.78448374109948538</c:v>
              </c:pt>
              <c:pt idx="108">
                <c:v>0.85736345238657385</c:v>
              </c:pt>
              <c:pt idx="109">
                <c:v>1.012878043828604</c:v>
              </c:pt>
              <c:pt idx="110">
                <c:v>1.0394018589611183</c:v>
              </c:pt>
              <c:pt idx="111">
                <c:v>1.0910423544836469</c:v>
              </c:pt>
              <c:pt idx="112">
                <c:v>1.1022758190880628</c:v>
              </c:pt>
              <c:pt idx="113">
                <c:v>1.1978885773319232</c:v>
              </c:pt>
              <c:pt idx="114">
                <c:v>1.2312674224318716</c:v>
              </c:pt>
              <c:pt idx="115">
                <c:v>1.3801342976663904</c:v>
              </c:pt>
              <c:pt idx="116">
                <c:v>1.4176415180834672</c:v>
              </c:pt>
              <c:pt idx="117">
                <c:v>1.4307875742790772</c:v>
              </c:pt>
              <c:pt idx="118">
                <c:v>1.580664446100936</c:v>
              </c:pt>
              <c:pt idx="119">
                <c:v>1.8831660949358933</c:v>
              </c:pt>
              <c:pt idx="120">
                <c:v>1.9965872796911872</c:v>
              </c:pt>
              <c:pt idx="121">
                <c:v>2.2760685364847504</c:v>
              </c:pt>
              <c:pt idx="122">
                <c:v>2.6681720958686781</c:v>
              </c:pt>
              <c:pt idx="123">
                <c:v>3.1159270823301735</c:v>
              </c:pt>
              <c:pt idx="124">
                <c:v>3.1694473996539583</c:v>
              </c:pt>
              <c:pt idx="125">
                <c:v>4.3017730622174728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B85-4E40-BAC6-E9347E6B6C24}"/>
            </c:ext>
          </c:extLst>
        </c:ser>
        <c:ser>
          <c:idx val="1"/>
          <c:order val="1"/>
          <c:tx>
            <c:v>Theoretical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126"/>
              <c:pt idx="0">
                <c:v>-2.4147033084749885</c:v>
              </c:pt>
              <c:pt idx="1">
                <c:v>-2.1507484113299649</c:v>
              </c:pt>
              <c:pt idx="2">
                <c:v>-1.9841053711891627</c:v>
              </c:pt>
              <c:pt idx="3">
                <c:v>-1.8592470680409914</c:v>
              </c:pt>
              <c:pt idx="4">
                <c:v>-1.758043209566341</c:v>
              </c:pt>
              <c:pt idx="5">
                <c:v>-1.6721832673139114</c:v>
              </c:pt>
              <c:pt idx="6">
                <c:v>-1.5971322960951122</c:v>
              </c:pt>
              <c:pt idx="7">
                <c:v>-1.5301312196497687</c:v>
              </c:pt>
              <c:pt idx="8">
                <c:v>-1.4693706503384085</c:v>
              </c:pt>
              <c:pt idx="9">
                <c:v>-1.4135968218888988</c:v>
              </c:pt>
              <c:pt idx="10">
                <c:v>-1.3619034842735753</c:v>
              </c:pt>
              <c:pt idx="11">
                <c:v>-1.3136132783500947</c:v>
              </c:pt>
              <c:pt idx="12">
                <c:v>-1.2682059593000188</c:v>
              </c:pt>
              <c:pt idx="13">
                <c:v>-1.2252728323431181</c:v>
              </c:pt>
              <c:pt idx="14">
                <c:v>-1.1844866635486271</c:v>
              </c:pt>
              <c:pt idx="15">
                <c:v>-1.1455811416199235</c:v>
              </c:pt>
              <c:pt idx="16">
                <c:v>-1.1083364588623483</c:v>
              </c:pt>
              <c:pt idx="17">
                <c:v>-1.0725689397727689</c:v>
              </c:pt>
              <c:pt idx="18">
                <c:v>-1.038123421873907</c:v>
              </c:pt>
              <c:pt idx="19">
                <c:v>-1.0048675536162863</c:v>
              </c:pt>
              <c:pt idx="20">
                <c:v>-0.97268745625892783</c:v>
              </c:pt>
              <c:pt idx="21">
                <c:v>-0.94148437467935364</c:v>
              </c:pt>
              <c:pt idx="22">
                <c:v>-0.91117205737809315</c:v>
              </c:pt>
              <c:pt idx="23">
                <c:v>-0.8816746823750875</c:v>
              </c:pt>
              <c:pt idx="24">
                <c:v>-0.85292519741621597</c:v>
              </c:pt>
              <c:pt idx="25">
                <c:v>-0.82486397856790794</c:v>
              </c:pt>
              <c:pt idx="26">
                <c:v>-0.79743773628504444</c:v>
              </c:pt>
              <c:pt idx="27">
                <c:v>-0.77059861584764477</c:v>
              </c:pt>
              <c:pt idx="28">
                <c:v>-0.74430345192775693</c:v>
              </c:pt>
              <c:pt idx="29">
                <c:v>-0.71851314646370745</c:v>
              </c:pt>
              <c:pt idx="30">
                <c:v>-0.69319214599312395</c:v>
              </c:pt>
              <c:pt idx="31">
                <c:v>-0.66830799981969857</c:v>
              </c:pt>
              <c:pt idx="32">
                <c:v>-0.64383098434143737</c:v>
              </c:pt>
              <c:pt idx="33">
                <c:v>-0.61973378188829564</c:v>
              </c:pt>
              <c:pt idx="34">
                <c:v>-0.59599120474529932</c:v>
              </c:pt>
              <c:pt idx="35">
                <c:v>-0.57257995684716423</c:v>
              </c:pt>
              <c:pt idx="36">
                <c:v>-0.54947842704850169</c:v>
              </c:pt>
              <c:pt idx="37">
                <c:v>-0.52666650899293688</c:v>
              </c:pt>
              <c:pt idx="38">
                <c:v>-0.5041254434940029</c:v>
              </c:pt>
              <c:pt idx="39">
                <c:v>-0.48183768005222494</c:v>
              </c:pt>
              <c:pt idx="40">
                <c:v>-0.45978675470552149</c:v>
              </c:pt>
              <c:pt idx="41">
                <c:v>-0.43795718187363897</c:v>
              </c:pt>
              <c:pt idx="42">
                <c:v>-0.41633435823467929</c:v>
              </c:pt>
              <c:pt idx="43">
                <c:v>-0.3949044769804721</c:v>
              </c:pt>
              <c:pt idx="44">
                <c:v>-0.37365445105130612</c:v>
              </c:pt>
              <c:pt idx="45">
                <c:v>-0.35257184416008275</c:v>
              </c:pt>
              <c:pt idx="46">
                <c:v>-0.33164480858973305</c:v>
              </c:pt>
              <c:pt idx="47">
                <c:v>-0.31086202889240749</c:v>
              </c:pt>
              <c:pt idx="48">
                <c:v>-0.29021267073983703</c:v>
              </c:pt>
              <c:pt idx="49">
                <c:v>-0.26968633427559657</c:v>
              </c:pt>
              <c:pt idx="50">
                <c:v>-0.24927301140521096</c:v>
              </c:pt>
              <c:pt idx="51">
                <c:v>-0.22896304653185373</c:v>
              </c:pt>
              <c:pt idx="52">
                <c:v>-0.20874710030605939</c:v>
              </c:pt>
              <c:pt idx="53">
                <c:v>-0.1886161160091753</c:v>
              </c:pt>
              <c:pt idx="54">
                <c:v>-0.16856128823372668</c:v>
              </c:pt>
              <c:pt idx="55">
                <c:v>-0.14857403356064353</c:v>
              </c:pt>
              <c:pt idx="56">
                <c:v>-0.12864596296440176</c:v>
              </c:pt>
              <c:pt idx="57">
                <c:v>-0.10876885570336012</c:v>
              </c:pt>
              <c:pt idx="58">
                <c:v>-8.8934634474604979E-2</c:v>
              </c:pt>
              <c:pt idx="59">
                <c:v>-6.9135341630974609E-2</c:v>
              </c:pt>
              <c:pt idx="60">
                <c:v>-4.9363116273080293E-2</c:v>
              </c:pt>
              <c:pt idx="61">
                <c:v>-2.9610172041407933E-2</c:v>
              </c:pt>
              <c:pt idx="62">
                <c:v>-9.8687754432741897E-3</c:v>
              </c:pt>
              <c:pt idx="63">
                <c:v>9.8687754432741897E-3</c:v>
              </c:pt>
              <c:pt idx="64">
                <c:v>2.9610172041407933E-2</c:v>
              </c:pt>
              <c:pt idx="65">
                <c:v>4.9363116273080154E-2</c:v>
              </c:pt>
              <c:pt idx="66">
                <c:v>6.9135341630974456E-2</c:v>
              </c:pt>
              <c:pt idx="67">
                <c:v>8.8934634474605118E-2</c:v>
              </c:pt>
              <c:pt idx="68">
                <c:v>0.10876885570336027</c:v>
              </c:pt>
              <c:pt idx="69">
                <c:v>0.12864596296440176</c:v>
              </c:pt>
              <c:pt idx="70">
                <c:v>0.14857403356064353</c:v>
              </c:pt>
              <c:pt idx="71">
                <c:v>0.16856128823372668</c:v>
              </c:pt>
              <c:pt idx="72">
                <c:v>0.1886161160091753</c:v>
              </c:pt>
              <c:pt idx="73">
                <c:v>0.20874710030605928</c:v>
              </c:pt>
              <c:pt idx="74">
                <c:v>0.22896304653185359</c:v>
              </c:pt>
              <c:pt idx="75">
                <c:v>0.24927301140521113</c:v>
              </c:pt>
              <c:pt idx="76">
                <c:v>0.26968633427559674</c:v>
              </c:pt>
              <c:pt idx="77">
                <c:v>0.29021267073983703</c:v>
              </c:pt>
              <c:pt idx="78">
                <c:v>0.31086202889240749</c:v>
              </c:pt>
              <c:pt idx="79">
                <c:v>0.33164480858973305</c:v>
              </c:pt>
              <c:pt idx="80">
                <c:v>0.35257184416008275</c:v>
              </c:pt>
              <c:pt idx="81">
                <c:v>0.3736544510513059</c:v>
              </c:pt>
              <c:pt idx="82">
                <c:v>0.39490447698047187</c:v>
              </c:pt>
              <c:pt idx="83">
                <c:v>0.41633435823467946</c:v>
              </c:pt>
              <c:pt idx="84">
                <c:v>0.43795718187363902</c:v>
              </c:pt>
              <c:pt idx="85">
                <c:v>0.45978675470552149</c:v>
              </c:pt>
              <c:pt idx="86">
                <c:v>0.48183768005222494</c:v>
              </c:pt>
              <c:pt idx="87">
                <c:v>0.5041254434940029</c:v>
              </c:pt>
              <c:pt idx="88">
                <c:v>0.52666650899293688</c:v>
              </c:pt>
              <c:pt idx="89">
                <c:v>0.54947842704850158</c:v>
              </c:pt>
              <c:pt idx="90">
                <c:v>0.57257995684716423</c:v>
              </c:pt>
              <c:pt idx="91">
                <c:v>0.59599120474529954</c:v>
              </c:pt>
              <c:pt idx="92">
                <c:v>0.61973378188829586</c:v>
              </c:pt>
              <c:pt idx="93">
                <c:v>0.64383098434143737</c:v>
              </c:pt>
              <c:pt idx="94">
                <c:v>0.66830799981969857</c:v>
              </c:pt>
              <c:pt idx="95">
                <c:v>0.69319214599312395</c:v>
              </c:pt>
              <c:pt idx="96">
                <c:v>0.71851314646370745</c:v>
              </c:pt>
              <c:pt idx="97">
                <c:v>0.74430345192775693</c:v>
              </c:pt>
              <c:pt idx="98">
                <c:v>0.77059861584764389</c:v>
              </c:pt>
              <c:pt idx="99">
                <c:v>0.79743773628504411</c:v>
              </c:pt>
              <c:pt idx="100">
                <c:v>0.82486397856790794</c:v>
              </c:pt>
              <c:pt idx="101">
                <c:v>0.85292519741621597</c:v>
              </c:pt>
              <c:pt idx="102">
                <c:v>0.8816746823750875</c:v>
              </c:pt>
              <c:pt idx="103">
                <c:v>0.91117205737809315</c:v>
              </c:pt>
              <c:pt idx="104">
                <c:v>0.94148437467935364</c:v>
              </c:pt>
              <c:pt idx="105">
                <c:v>0.97268745625892783</c:v>
              </c:pt>
              <c:pt idx="106">
                <c:v>1.0048675536162885</c:v>
              </c:pt>
              <c:pt idx="107">
                <c:v>1.0381234218739044</c:v>
              </c:pt>
              <c:pt idx="108">
                <c:v>1.0725689397727689</c:v>
              </c:pt>
              <c:pt idx="109">
                <c:v>1.1083364588623483</c:v>
              </c:pt>
              <c:pt idx="110">
                <c:v>1.1455811416199235</c:v>
              </c:pt>
              <c:pt idx="111">
                <c:v>1.1844866635486271</c:v>
              </c:pt>
              <c:pt idx="112">
                <c:v>1.2252728323431181</c:v>
              </c:pt>
              <c:pt idx="113">
                <c:v>1.2682059593000177</c:v>
              </c:pt>
              <c:pt idx="114">
                <c:v>1.3136132783500938</c:v>
              </c:pt>
              <c:pt idx="115">
                <c:v>1.3619034842735758</c:v>
              </c:pt>
              <c:pt idx="116">
                <c:v>1.4135968218888988</c:v>
              </c:pt>
              <c:pt idx="117">
                <c:v>1.4693706503384087</c:v>
              </c:pt>
              <c:pt idx="118">
                <c:v>1.5301312196497692</c:v>
              </c:pt>
              <c:pt idx="119">
                <c:v>1.5971322960951115</c:v>
              </c:pt>
              <c:pt idx="120">
                <c:v>1.672183267313911</c:v>
              </c:pt>
              <c:pt idx="121">
                <c:v>1.7580432095663405</c:v>
              </c:pt>
              <c:pt idx="122">
                <c:v>1.8592470680409907</c:v>
              </c:pt>
              <c:pt idx="123">
                <c:v>1.9841053711891634</c:v>
              </c:pt>
              <c:pt idx="124">
                <c:v>2.1507484113299653</c:v>
              </c:pt>
              <c:pt idx="125">
                <c:v>2.4147033084749885</c:v>
              </c:pt>
            </c:numLit>
          </c:xVal>
          <c:yVal>
            <c:numLit>
              <c:formatCode>General</c:formatCode>
              <c:ptCount val="126"/>
              <c:pt idx="0">
                <c:v>-2.4147033084749885</c:v>
              </c:pt>
              <c:pt idx="1">
                <c:v>-2.1507484113299649</c:v>
              </c:pt>
              <c:pt idx="2">
                <c:v>-1.9841053711891627</c:v>
              </c:pt>
              <c:pt idx="3">
                <c:v>-1.8592470680409914</c:v>
              </c:pt>
              <c:pt idx="4">
                <c:v>-1.758043209566341</c:v>
              </c:pt>
              <c:pt idx="5">
                <c:v>-1.6721832673139114</c:v>
              </c:pt>
              <c:pt idx="6">
                <c:v>-1.5971322960951122</c:v>
              </c:pt>
              <c:pt idx="7">
                <c:v>-1.5301312196497687</c:v>
              </c:pt>
              <c:pt idx="8">
                <c:v>-1.4693706503384085</c:v>
              </c:pt>
              <c:pt idx="9">
                <c:v>-1.4135968218888988</c:v>
              </c:pt>
              <c:pt idx="10">
                <c:v>-1.3619034842735753</c:v>
              </c:pt>
              <c:pt idx="11">
                <c:v>-1.3136132783500947</c:v>
              </c:pt>
              <c:pt idx="12">
                <c:v>-1.2682059593000188</c:v>
              </c:pt>
              <c:pt idx="13">
                <c:v>-1.2252728323431181</c:v>
              </c:pt>
              <c:pt idx="14">
                <c:v>-1.1844866635486271</c:v>
              </c:pt>
              <c:pt idx="15">
                <c:v>-1.1455811416199235</c:v>
              </c:pt>
              <c:pt idx="16">
                <c:v>-1.1083364588623483</c:v>
              </c:pt>
              <c:pt idx="17">
                <c:v>-1.0725689397727689</c:v>
              </c:pt>
              <c:pt idx="18">
                <c:v>-1.038123421873907</c:v>
              </c:pt>
              <c:pt idx="19">
                <c:v>-1.0048675536162863</c:v>
              </c:pt>
              <c:pt idx="20">
                <c:v>-0.97268745625892783</c:v>
              </c:pt>
              <c:pt idx="21">
                <c:v>-0.94148437467935364</c:v>
              </c:pt>
              <c:pt idx="22">
                <c:v>-0.91117205737809315</c:v>
              </c:pt>
              <c:pt idx="23">
                <c:v>-0.8816746823750875</c:v>
              </c:pt>
              <c:pt idx="24">
                <c:v>-0.85292519741621597</c:v>
              </c:pt>
              <c:pt idx="25">
                <c:v>-0.82486397856790794</c:v>
              </c:pt>
              <c:pt idx="26">
                <c:v>-0.79743773628504444</c:v>
              </c:pt>
              <c:pt idx="27">
                <c:v>-0.77059861584764477</c:v>
              </c:pt>
              <c:pt idx="28">
                <c:v>-0.74430345192775693</c:v>
              </c:pt>
              <c:pt idx="29">
                <c:v>-0.71851314646370745</c:v>
              </c:pt>
              <c:pt idx="30">
                <c:v>-0.69319214599312395</c:v>
              </c:pt>
              <c:pt idx="31">
                <c:v>-0.66830799981969857</c:v>
              </c:pt>
              <c:pt idx="32">
                <c:v>-0.64383098434143737</c:v>
              </c:pt>
              <c:pt idx="33">
                <c:v>-0.61973378188829564</c:v>
              </c:pt>
              <c:pt idx="34">
                <c:v>-0.59599120474529932</c:v>
              </c:pt>
              <c:pt idx="35">
                <c:v>-0.57257995684716423</c:v>
              </c:pt>
              <c:pt idx="36">
                <c:v>-0.54947842704850169</c:v>
              </c:pt>
              <c:pt idx="37">
                <c:v>-0.52666650899293688</c:v>
              </c:pt>
              <c:pt idx="38">
                <c:v>-0.5041254434940029</c:v>
              </c:pt>
              <c:pt idx="39">
                <c:v>-0.48183768005222494</c:v>
              </c:pt>
              <c:pt idx="40">
                <c:v>-0.45978675470552149</c:v>
              </c:pt>
              <c:pt idx="41">
                <c:v>-0.43795718187363897</c:v>
              </c:pt>
              <c:pt idx="42">
                <c:v>-0.41633435823467929</c:v>
              </c:pt>
              <c:pt idx="43">
                <c:v>-0.3949044769804721</c:v>
              </c:pt>
              <c:pt idx="44">
                <c:v>-0.37365445105130612</c:v>
              </c:pt>
              <c:pt idx="45">
                <c:v>-0.35257184416008275</c:v>
              </c:pt>
              <c:pt idx="46">
                <c:v>-0.33164480858973305</c:v>
              </c:pt>
              <c:pt idx="47">
                <c:v>-0.31086202889240749</c:v>
              </c:pt>
              <c:pt idx="48">
                <c:v>-0.29021267073983703</c:v>
              </c:pt>
              <c:pt idx="49">
                <c:v>-0.26968633427559657</c:v>
              </c:pt>
              <c:pt idx="50">
                <c:v>-0.24927301140521096</c:v>
              </c:pt>
              <c:pt idx="51">
                <c:v>-0.22896304653185373</c:v>
              </c:pt>
              <c:pt idx="52">
                <c:v>-0.20874710030605939</c:v>
              </c:pt>
              <c:pt idx="53">
                <c:v>-0.1886161160091753</c:v>
              </c:pt>
              <c:pt idx="54">
                <c:v>-0.16856128823372668</c:v>
              </c:pt>
              <c:pt idx="55">
                <c:v>-0.14857403356064353</c:v>
              </c:pt>
              <c:pt idx="56">
                <c:v>-0.12864596296440176</c:v>
              </c:pt>
              <c:pt idx="57">
                <c:v>-0.10876885570336012</c:v>
              </c:pt>
              <c:pt idx="58">
                <c:v>-8.8934634474604979E-2</c:v>
              </c:pt>
              <c:pt idx="59">
                <c:v>-6.9135341630974609E-2</c:v>
              </c:pt>
              <c:pt idx="60">
                <c:v>-4.9363116273080293E-2</c:v>
              </c:pt>
              <c:pt idx="61">
                <c:v>-2.9610172041407933E-2</c:v>
              </c:pt>
              <c:pt idx="62">
                <c:v>-9.8687754432741897E-3</c:v>
              </c:pt>
              <c:pt idx="63">
                <c:v>9.8687754432741897E-3</c:v>
              </c:pt>
              <c:pt idx="64">
                <c:v>2.9610172041407933E-2</c:v>
              </c:pt>
              <c:pt idx="65">
                <c:v>4.9363116273080154E-2</c:v>
              </c:pt>
              <c:pt idx="66">
                <c:v>6.9135341630974456E-2</c:v>
              </c:pt>
              <c:pt idx="67">
                <c:v>8.8934634474605118E-2</c:v>
              </c:pt>
              <c:pt idx="68">
                <c:v>0.10876885570336027</c:v>
              </c:pt>
              <c:pt idx="69">
                <c:v>0.12864596296440176</c:v>
              </c:pt>
              <c:pt idx="70">
                <c:v>0.14857403356064353</c:v>
              </c:pt>
              <c:pt idx="71">
                <c:v>0.16856128823372668</c:v>
              </c:pt>
              <c:pt idx="72">
                <c:v>0.1886161160091753</c:v>
              </c:pt>
              <c:pt idx="73">
                <c:v>0.20874710030605928</c:v>
              </c:pt>
              <c:pt idx="74">
                <c:v>0.22896304653185359</c:v>
              </c:pt>
              <c:pt idx="75">
                <c:v>0.24927301140521113</c:v>
              </c:pt>
              <c:pt idx="76">
                <c:v>0.26968633427559674</c:v>
              </c:pt>
              <c:pt idx="77">
                <c:v>0.29021267073983703</c:v>
              </c:pt>
              <c:pt idx="78">
                <c:v>0.31086202889240749</c:v>
              </c:pt>
              <c:pt idx="79">
                <c:v>0.33164480858973305</c:v>
              </c:pt>
              <c:pt idx="80">
                <c:v>0.35257184416008275</c:v>
              </c:pt>
              <c:pt idx="81">
                <c:v>0.3736544510513059</c:v>
              </c:pt>
              <c:pt idx="82">
                <c:v>0.39490447698047187</c:v>
              </c:pt>
              <c:pt idx="83">
                <c:v>0.41633435823467946</c:v>
              </c:pt>
              <c:pt idx="84">
                <c:v>0.43795718187363902</c:v>
              </c:pt>
              <c:pt idx="85">
                <c:v>0.45978675470552149</c:v>
              </c:pt>
              <c:pt idx="86">
                <c:v>0.48183768005222494</c:v>
              </c:pt>
              <c:pt idx="87">
                <c:v>0.5041254434940029</c:v>
              </c:pt>
              <c:pt idx="88">
                <c:v>0.52666650899293688</c:v>
              </c:pt>
              <c:pt idx="89">
                <c:v>0.54947842704850158</c:v>
              </c:pt>
              <c:pt idx="90">
                <c:v>0.57257995684716423</c:v>
              </c:pt>
              <c:pt idx="91">
                <c:v>0.59599120474529954</c:v>
              </c:pt>
              <c:pt idx="92">
                <c:v>0.61973378188829586</c:v>
              </c:pt>
              <c:pt idx="93">
                <c:v>0.64383098434143737</c:v>
              </c:pt>
              <c:pt idx="94">
                <c:v>0.66830799981969857</c:v>
              </c:pt>
              <c:pt idx="95">
                <c:v>0.69319214599312395</c:v>
              </c:pt>
              <c:pt idx="96">
                <c:v>0.71851314646370745</c:v>
              </c:pt>
              <c:pt idx="97">
                <c:v>0.74430345192775693</c:v>
              </c:pt>
              <c:pt idx="98">
                <c:v>0.77059861584764389</c:v>
              </c:pt>
              <c:pt idx="99">
                <c:v>0.79743773628504411</c:v>
              </c:pt>
              <c:pt idx="100">
                <c:v>0.82486397856790794</c:v>
              </c:pt>
              <c:pt idx="101">
                <c:v>0.85292519741621597</c:v>
              </c:pt>
              <c:pt idx="102">
                <c:v>0.8816746823750875</c:v>
              </c:pt>
              <c:pt idx="103">
                <c:v>0.91117205737809315</c:v>
              </c:pt>
              <c:pt idx="104">
                <c:v>0.94148437467935364</c:v>
              </c:pt>
              <c:pt idx="105">
                <c:v>0.97268745625892783</c:v>
              </c:pt>
              <c:pt idx="106">
                <c:v>1.0048675536162885</c:v>
              </c:pt>
              <c:pt idx="107">
                <c:v>1.0381234218739044</c:v>
              </c:pt>
              <c:pt idx="108">
                <c:v>1.0725689397727689</c:v>
              </c:pt>
              <c:pt idx="109">
                <c:v>1.1083364588623483</c:v>
              </c:pt>
              <c:pt idx="110">
                <c:v>1.1455811416199235</c:v>
              </c:pt>
              <c:pt idx="111">
                <c:v>1.1844866635486271</c:v>
              </c:pt>
              <c:pt idx="112">
                <c:v>1.2252728323431181</c:v>
              </c:pt>
              <c:pt idx="113">
                <c:v>1.2682059593000177</c:v>
              </c:pt>
              <c:pt idx="114">
                <c:v>1.3136132783500938</c:v>
              </c:pt>
              <c:pt idx="115">
                <c:v>1.3619034842735758</c:v>
              </c:pt>
              <c:pt idx="116">
                <c:v>1.4135968218888988</c:v>
              </c:pt>
              <c:pt idx="117">
                <c:v>1.4693706503384087</c:v>
              </c:pt>
              <c:pt idx="118">
                <c:v>1.5301312196497692</c:v>
              </c:pt>
              <c:pt idx="119">
                <c:v>1.5971322960951115</c:v>
              </c:pt>
              <c:pt idx="120">
                <c:v>1.672183267313911</c:v>
              </c:pt>
              <c:pt idx="121">
                <c:v>1.7580432095663405</c:v>
              </c:pt>
              <c:pt idx="122">
                <c:v>1.8592470680409907</c:v>
              </c:pt>
              <c:pt idx="123">
                <c:v>1.9841053711891634</c:v>
              </c:pt>
              <c:pt idx="124">
                <c:v>2.1507484113299653</c:v>
              </c:pt>
              <c:pt idx="125">
                <c:v>2.4147033084749885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B85-4E40-BAC6-E9347E6B6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831008"/>
        <c:axId val="725831400"/>
      </c:scatterChart>
      <c:valAx>
        <c:axId val="725831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</a:t>
                </a:r>
                <a:r>
                  <a:rPr lang="en-US" sz="900"/>
                  <a:t>ormality test (A-D*):  P &lt; 0.001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crossAx val="725831400"/>
        <c:crosses val="autoZero"/>
        <c:crossBetween val="midCat"/>
        <c:majorUnit val="1"/>
      </c:valAx>
      <c:valAx>
        <c:axId val="7258314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25831008"/>
        <c:crossesAt val="-3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TTM_EBITDA
</a:t>
            </a:r>
            <a:r>
              <a:rPr lang="en-US" sz="1000"/>
              <a:t>Model 13 for EV    (3 variables, n=126)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26"/>
              <c:pt idx="0">
                <c:v>602.68600000000004</c:v>
              </c:pt>
              <c:pt idx="1">
                <c:v>748.41300000000001</c:v>
              </c:pt>
              <c:pt idx="2">
                <c:v>1440</c:v>
              </c:pt>
              <c:pt idx="3">
                <c:v>43.517999999999994</c:v>
              </c:pt>
              <c:pt idx="4">
                <c:v>1276</c:v>
              </c:pt>
              <c:pt idx="5">
                <c:v>891.87300000000005</c:v>
              </c:pt>
              <c:pt idx="6">
                <c:v>707.22400000000005</c:v>
              </c:pt>
              <c:pt idx="7">
                <c:v>650.30199999999991</c:v>
              </c:pt>
              <c:pt idx="8">
                <c:v>949.65100000000007</c:v>
              </c:pt>
              <c:pt idx="9">
                <c:v>-257.30799999999999</c:v>
              </c:pt>
              <c:pt idx="10">
                <c:v>518.21699999999998</c:v>
              </c:pt>
              <c:pt idx="11">
                <c:v>213.77799999999999</c:v>
              </c:pt>
              <c:pt idx="12">
                <c:v>-41.38</c:v>
              </c:pt>
              <c:pt idx="13">
                <c:v>188.203</c:v>
              </c:pt>
              <c:pt idx="14">
                <c:v>287.15600000000006</c:v>
              </c:pt>
              <c:pt idx="15">
                <c:v>991.54299999999989</c:v>
              </c:pt>
              <c:pt idx="16">
                <c:v>942.26823079258611</c:v>
              </c:pt>
              <c:pt idx="17">
                <c:v>170.774</c:v>
              </c:pt>
              <c:pt idx="18">
                <c:v>68.100000000000009</c:v>
              </c:pt>
              <c:pt idx="19">
                <c:v>114.41199999999999</c:v>
              </c:pt>
              <c:pt idx="20">
                <c:v>-123.949</c:v>
              </c:pt>
              <c:pt idx="21">
                <c:v>148.13299999999998</c:v>
              </c:pt>
              <c:pt idx="22">
                <c:v>218.595</c:v>
              </c:pt>
              <c:pt idx="23">
                <c:v>344.83600000000001</c:v>
              </c:pt>
              <c:pt idx="24">
                <c:v>28.280999999999985</c:v>
              </c:pt>
              <c:pt idx="25">
                <c:v>-222.005860759494</c:v>
              </c:pt>
              <c:pt idx="26">
                <c:v>-68.85692307692301</c:v>
              </c:pt>
              <c:pt idx="27">
                <c:v>1.981681596884</c:v>
              </c:pt>
              <c:pt idx="28">
                <c:v>-86.045139240506003</c:v>
              </c:pt>
              <c:pt idx="29">
                <c:v>-116.569</c:v>
              </c:pt>
              <c:pt idx="30">
                <c:v>151.96100000000001</c:v>
              </c:pt>
              <c:pt idx="31">
                <c:v>-23.048000000000005</c:v>
              </c:pt>
              <c:pt idx="32">
                <c:v>163.30981038419148</c:v>
              </c:pt>
              <c:pt idx="33">
                <c:v>325.79999999999995</c:v>
              </c:pt>
              <c:pt idx="34">
                <c:v>-24.503810126582</c:v>
              </c:pt>
              <c:pt idx="35">
                <c:v>-146.059</c:v>
              </c:pt>
              <c:pt idx="36">
                <c:v>-2.2589999999999986</c:v>
              </c:pt>
              <c:pt idx="37">
                <c:v>412.85069230769199</c:v>
              </c:pt>
              <c:pt idx="38">
                <c:v>-27.757000000000005</c:v>
              </c:pt>
              <c:pt idx="39">
                <c:v>82.144000000000005</c:v>
              </c:pt>
              <c:pt idx="40">
                <c:v>389.65500000000003</c:v>
              </c:pt>
              <c:pt idx="41">
                <c:v>16.656999999999996</c:v>
              </c:pt>
              <c:pt idx="42">
                <c:v>162.346</c:v>
              </c:pt>
              <c:pt idx="43">
                <c:v>214.69400000000002</c:v>
              </c:pt>
              <c:pt idx="44">
                <c:v>-34.963000000000001</c:v>
              </c:pt>
              <c:pt idx="45">
                <c:v>-107.69300000000001</c:v>
              </c:pt>
              <c:pt idx="46">
                <c:v>46.511999999999993</c:v>
              </c:pt>
              <c:pt idx="47">
                <c:v>-128.273</c:v>
              </c:pt>
              <c:pt idx="48">
                <c:v>-26.742999999999999</c:v>
              </c:pt>
              <c:pt idx="49">
                <c:v>-36.067999999999998</c:v>
              </c:pt>
              <c:pt idx="50">
                <c:v>82.168000000000006</c:v>
              </c:pt>
              <c:pt idx="51">
                <c:v>152.07</c:v>
              </c:pt>
              <c:pt idx="52">
                <c:v>54.477999999999994</c:v>
              </c:pt>
              <c:pt idx="53">
                <c:v>15.740000000000002</c:v>
              </c:pt>
              <c:pt idx="54">
                <c:v>-104.10600000000001</c:v>
              </c:pt>
              <c:pt idx="55">
                <c:v>85.867999999999995</c:v>
              </c:pt>
              <c:pt idx="56">
                <c:v>67.129000000000005</c:v>
              </c:pt>
              <c:pt idx="57">
                <c:v>-43.302999999999997</c:v>
              </c:pt>
              <c:pt idx="58">
                <c:v>-44.902000000000001</c:v>
              </c:pt>
              <c:pt idx="59">
                <c:v>100.64099999999999</c:v>
              </c:pt>
              <c:pt idx="60">
                <c:v>83.233999999999995</c:v>
              </c:pt>
              <c:pt idx="61">
                <c:v>-13.546000000000001</c:v>
              </c:pt>
              <c:pt idx="62">
                <c:v>-3.4740000000000002</c:v>
              </c:pt>
              <c:pt idx="63">
                <c:v>145.13300000000001</c:v>
              </c:pt>
              <c:pt idx="64">
                <c:v>20.122</c:v>
              </c:pt>
              <c:pt idx="65">
                <c:v>-39.728000000000002</c:v>
              </c:pt>
              <c:pt idx="66">
                <c:v>-13.472000000000001</c:v>
              </c:pt>
              <c:pt idx="67">
                <c:v>33.942999999999998</c:v>
              </c:pt>
              <c:pt idx="68">
                <c:v>78.801000000000002</c:v>
              </c:pt>
              <c:pt idx="69">
                <c:v>10.643000000000001</c:v>
              </c:pt>
              <c:pt idx="70">
                <c:v>-7.5960000000000001</c:v>
              </c:pt>
              <c:pt idx="71">
                <c:v>31.149000000000001</c:v>
              </c:pt>
              <c:pt idx="72">
                <c:v>17.619</c:v>
              </c:pt>
              <c:pt idx="73">
                <c:v>-68.009</c:v>
              </c:pt>
              <c:pt idx="74">
                <c:v>-30.723999999999997</c:v>
              </c:pt>
              <c:pt idx="75">
                <c:v>-176.494</c:v>
              </c:pt>
              <c:pt idx="76">
                <c:v>-20.379999999999995</c:v>
              </c:pt>
              <c:pt idx="77">
                <c:v>35.331999999999994</c:v>
              </c:pt>
              <c:pt idx="78">
                <c:v>7.0558987341769992</c:v>
              </c:pt>
              <c:pt idx="79">
                <c:v>17.134</c:v>
              </c:pt>
              <c:pt idx="80">
                <c:v>-13.42</c:v>
              </c:pt>
              <c:pt idx="81">
                <c:v>-24.664999999999999</c:v>
              </c:pt>
              <c:pt idx="82">
                <c:v>-11.435911392404998</c:v>
              </c:pt>
              <c:pt idx="83">
                <c:v>-48.109000000000002</c:v>
              </c:pt>
              <c:pt idx="84">
                <c:v>-47.295392405064</c:v>
              </c:pt>
              <c:pt idx="85">
                <c:v>-30.616</c:v>
              </c:pt>
              <c:pt idx="86">
                <c:v>142.37699999999998</c:v>
              </c:pt>
              <c:pt idx="87">
                <c:v>-163.124</c:v>
              </c:pt>
              <c:pt idx="88">
                <c:v>-48.74664556962</c:v>
              </c:pt>
              <c:pt idx="89">
                <c:v>4.5019999999999998</c:v>
              </c:pt>
              <c:pt idx="90">
                <c:v>24.942</c:v>
              </c:pt>
              <c:pt idx="91">
                <c:v>35.430999999999997</c:v>
              </c:pt>
              <c:pt idx="92">
                <c:v>9.7840000000000007</c:v>
              </c:pt>
              <c:pt idx="93">
                <c:v>-44.247999999999998</c:v>
              </c:pt>
              <c:pt idx="94">
                <c:v>-158.636</c:v>
              </c:pt>
              <c:pt idx="95">
                <c:v>-32.902000000000001</c:v>
              </c:pt>
              <c:pt idx="96">
                <c:v>-11.269886075949</c:v>
              </c:pt>
              <c:pt idx="97">
                <c:v>-14.339075949367</c:v>
              </c:pt>
              <c:pt idx="98">
                <c:v>-40.238</c:v>
              </c:pt>
              <c:pt idx="99">
                <c:v>-82.965000000000003</c:v>
              </c:pt>
              <c:pt idx="100">
                <c:v>20.859000000000002</c:v>
              </c:pt>
              <c:pt idx="101">
                <c:v>25.582999999999998</c:v>
              </c:pt>
              <c:pt idx="102">
                <c:v>40.060203810127</c:v>
              </c:pt>
              <c:pt idx="103">
                <c:v>-42.642000000000003</c:v>
              </c:pt>
              <c:pt idx="104">
                <c:v>-12.381475760643527</c:v>
              </c:pt>
              <c:pt idx="105">
                <c:v>47.558000000000007</c:v>
              </c:pt>
              <c:pt idx="106">
                <c:v>6.7769999999999992</c:v>
              </c:pt>
              <c:pt idx="107">
                <c:v>18.504999999999999</c:v>
              </c:pt>
              <c:pt idx="108">
                <c:v>12.963605572070199</c:v>
              </c:pt>
              <c:pt idx="109">
                <c:v>-12.936999999999999</c:v>
              </c:pt>
              <c:pt idx="110">
                <c:v>0.91400000000000003</c:v>
              </c:pt>
              <c:pt idx="111">
                <c:v>41.933999999999997</c:v>
              </c:pt>
              <c:pt idx="112">
                <c:v>-47.040999999999997</c:v>
              </c:pt>
              <c:pt idx="113">
                <c:v>6.6750000000000007</c:v>
              </c:pt>
              <c:pt idx="114">
                <c:v>6.4513846153849999</c:v>
              </c:pt>
              <c:pt idx="115">
                <c:v>3.6139999999999999</c:v>
              </c:pt>
              <c:pt idx="116">
                <c:v>-9.2555696202529987</c:v>
              </c:pt>
              <c:pt idx="117">
                <c:v>-4.3410000000000002</c:v>
              </c:pt>
              <c:pt idx="118">
                <c:v>16.959000000000003</c:v>
              </c:pt>
              <c:pt idx="119">
                <c:v>-4.3256870000000003</c:v>
              </c:pt>
              <c:pt idx="120">
                <c:v>18.034611999999999</c:v>
              </c:pt>
              <c:pt idx="121">
                <c:v>1.6520000000000001</c:v>
              </c:pt>
              <c:pt idx="122">
                <c:v>-10.102160110826825</c:v>
              </c:pt>
              <c:pt idx="123">
                <c:v>-12.440999999999999</c:v>
              </c:pt>
              <c:pt idx="124">
                <c:v>-23.433501</c:v>
              </c:pt>
              <c:pt idx="125">
                <c:v>-8.6230000000000011</c:v>
              </c:pt>
            </c:numLit>
          </c:xVal>
          <c:yVal>
            <c:numLit>
              <c:formatCode>General</c:formatCode>
              <c:ptCount val="126"/>
              <c:pt idx="0">
                <c:v>3070.7529275075613</c:v>
              </c:pt>
              <c:pt idx="1">
                <c:v>6932.8341641418538</c:v>
              </c:pt>
              <c:pt idx="2">
                <c:v>-1034.9818789943274</c:v>
              </c:pt>
              <c:pt idx="3">
                <c:v>9571.3020440207547</c:v>
              </c:pt>
              <c:pt idx="4">
                <c:v>-8827.1937090210795</c:v>
              </c:pt>
              <c:pt idx="5">
                <c:v>630.73209671927725</c:v>
              </c:pt>
              <c:pt idx="6">
                <c:v>412.58018956196611</c:v>
              </c:pt>
              <c:pt idx="7">
                <c:v>-2267.3065286109431</c:v>
              </c:pt>
              <c:pt idx="8">
                <c:v>5064.17682209348</c:v>
              </c:pt>
              <c:pt idx="9">
                <c:v>3154.2052459472634</c:v>
              </c:pt>
              <c:pt idx="10">
                <c:v>2452.5270505259559</c:v>
              </c:pt>
              <c:pt idx="11">
                <c:v>3183.4547839205643</c:v>
              </c:pt>
              <c:pt idx="12">
                <c:v>5936.5942056047897</c:v>
              </c:pt>
              <c:pt idx="13">
                <c:v>7051.915090817638</c:v>
              </c:pt>
              <c:pt idx="14">
                <c:v>1168.0026868059886</c:v>
              </c:pt>
              <c:pt idx="15">
                <c:v>-2421.5939655436705</c:v>
              </c:pt>
              <c:pt idx="16">
                <c:v>2312.634579590147</c:v>
              </c:pt>
              <c:pt idx="17">
                <c:v>3516.9258408248379</c:v>
              </c:pt>
              <c:pt idx="18">
                <c:v>2739.5290794311468</c:v>
              </c:pt>
              <c:pt idx="19">
                <c:v>2427.5329652558567</c:v>
              </c:pt>
              <c:pt idx="20">
                <c:v>887.50618795860373</c:v>
              </c:pt>
              <c:pt idx="21">
                <c:v>4442.3403175348658</c:v>
              </c:pt>
              <c:pt idx="22">
                <c:v>4189.9819523253345</c:v>
              </c:pt>
              <c:pt idx="23">
                <c:v>-4580.2625765396197</c:v>
              </c:pt>
              <c:pt idx="24">
                <c:v>1907.6051771234634</c:v>
              </c:pt>
              <c:pt idx="25">
                <c:v>-1811.5918062770479</c:v>
              </c:pt>
              <c:pt idx="26">
                <c:v>2253.6199727474977</c:v>
              </c:pt>
              <c:pt idx="27">
                <c:v>1731.4635267586273</c:v>
              </c:pt>
              <c:pt idx="28">
                <c:v>1745.450242513738</c:v>
              </c:pt>
              <c:pt idx="29">
                <c:v>2665.2622588175318</c:v>
              </c:pt>
              <c:pt idx="30">
                <c:v>576.21387226336628</c:v>
              </c:pt>
              <c:pt idx="31">
                <c:v>921.04230217287477</c:v>
              </c:pt>
              <c:pt idx="32">
                <c:v>1185.735078732162</c:v>
              </c:pt>
              <c:pt idx="33">
                <c:v>-2316.975758677313</c:v>
              </c:pt>
              <c:pt idx="34">
                <c:v>1500.7396987225566</c:v>
              </c:pt>
              <c:pt idx="35">
                <c:v>319.28844076502446</c:v>
              </c:pt>
              <c:pt idx="36">
                <c:v>1609.5891226227914</c:v>
              </c:pt>
              <c:pt idx="37">
                <c:v>-1465.7787884728341</c:v>
              </c:pt>
              <c:pt idx="38">
                <c:v>512.59531502940445</c:v>
              </c:pt>
              <c:pt idx="39">
                <c:v>226.66372145004607</c:v>
              </c:pt>
              <c:pt idx="40">
                <c:v>-1672.7851004086906</c:v>
              </c:pt>
              <c:pt idx="41">
                <c:v>-1643.660988447908</c:v>
              </c:pt>
              <c:pt idx="42">
                <c:v>-1468.0697288086285</c:v>
              </c:pt>
              <c:pt idx="43">
                <c:v>-2295.2314637070731</c:v>
              </c:pt>
              <c:pt idx="44">
                <c:v>1192.2781174047063</c:v>
              </c:pt>
              <c:pt idx="45">
                <c:v>1077.6861615155822</c:v>
              </c:pt>
              <c:pt idx="46">
                <c:v>465.80923205917225</c:v>
              </c:pt>
              <c:pt idx="47">
                <c:v>-2479.5804420659829</c:v>
              </c:pt>
              <c:pt idx="48">
                <c:v>456.89363599076887</c:v>
              </c:pt>
              <c:pt idx="49">
                <c:v>1112.1269054935979</c:v>
              </c:pt>
              <c:pt idx="50">
                <c:v>-2603.3379517156332</c:v>
              </c:pt>
              <c:pt idx="51">
                <c:v>-626.82467251919206</c:v>
              </c:pt>
              <c:pt idx="52">
                <c:v>-45.595113783890156</c:v>
              </c:pt>
              <c:pt idx="53">
                <c:v>-880.62929669293362</c:v>
              </c:pt>
              <c:pt idx="54">
                <c:v>-1594.4305894937138</c:v>
              </c:pt>
              <c:pt idx="55">
                <c:v>-569.91612889962926</c:v>
              </c:pt>
              <c:pt idx="56">
                <c:v>621.07721503738435</c:v>
              </c:pt>
              <c:pt idx="57">
                <c:v>479.87214385692573</c:v>
              </c:pt>
              <c:pt idx="58">
                <c:v>1033.2453943226842</c:v>
              </c:pt>
              <c:pt idx="59">
                <c:v>-677.43058864497789</c:v>
              </c:pt>
              <c:pt idx="60">
                <c:v>504.68079551730671</c:v>
              </c:pt>
              <c:pt idx="61">
                <c:v>726.99235054165138</c:v>
              </c:pt>
              <c:pt idx="62">
                <c:v>-429.80752981993646</c:v>
              </c:pt>
              <c:pt idx="63">
                <c:v>-425.29812307692237</c:v>
              </c:pt>
              <c:pt idx="64">
                <c:v>-2291.3208576004804</c:v>
              </c:pt>
              <c:pt idx="65">
                <c:v>382.3845939976818</c:v>
              </c:pt>
              <c:pt idx="66">
                <c:v>285.70985813341736</c:v>
              </c:pt>
              <c:pt idx="67">
                <c:v>-91.620237766484479</c:v>
              </c:pt>
              <c:pt idx="68">
                <c:v>-506.32916369284703</c:v>
              </c:pt>
              <c:pt idx="69">
                <c:v>89.636872720321435</c:v>
              </c:pt>
              <c:pt idx="70">
                <c:v>58.455599941323499</c:v>
              </c:pt>
              <c:pt idx="71">
                <c:v>460.64480197355851</c:v>
              </c:pt>
              <c:pt idx="72">
                <c:v>-330.16356195864864</c:v>
              </c:pt>
              <c:pt idx="73">
                <c:v>-245.10169575604482</c:v>
              </c:pt>
              <c:pt idx="74">
                <c:v>-82.311445583586192</c:v>
              </c:pt>
              <c:pt idx="75">
                <c:v>-1985.6049524444327</c:v>
              </c:pt>
              <c:pt idx="76">
                <c:v>-451.57762006038797</c:v>
              </c:pt>
              <c:pt idx="77">
                <c:v>163.58610431488341</c:v>
              </c:pt>
              <c:pt idx="78">
                <c:v>-1048.4825927901657</c:v>
              </c:pt>
              <c:pt idx="79">
                <c:v>-188.42013674952159</c:v>
              </c:pt>
              <c:pt idx="80">
                <c:v>-1011.5286908554394</c:v>
              </c:pt>
              <c:pt idx="81">
                <c:v>-25.280662626083995</c:v>
              </c:pt>
              <c:pt idx="82">
                <c:v>-484.77638491238417</c:v>
              </c:pt>
              <c:pt idx="83">
                <c:v>-319.56187694227287</c:v>
              </c:pt>
              <c:pt idx="84">
                <c:v>-669.0842420110198</c:v>
              </c:pt>
              <c:pt idx="85">
                <c:v>-585.97758885932831</c:v>
              </c:pt>
              <c:pt idx="86">
                <c:v>-1051.9908774045714</c:v>
              </c:pt>
              <c:pt idx="87">
                <c:v>-1615.617839652301</c:v>
              </c:pt>
              <c:pt idx="88">
                <c:v>-779.14251898928137</c:v>
              </c:pt>
              <c:pt idx="89">
                <c:v>-61.500640854640551</c:v>
              </c:pt>
              <c:pt idx="90">
                <c:v>-625.91732152344935</c:v>
              </c:pt>
              <c:pt idx="91">
                <c:v>-851.89162574839406</c:v>
              </c:pt>
              <c:pt idx="92">
                <c:v>-770.00031647912715</c:v>
              </c:pt>
              <c:pt idx="93">
                <c:v>-702.9872110888989</c:v>
              </c:pt>
              <c:pt idx="94">
                <c:v>-695.74676918546152</c:v>
              </c:pt>
              <c:pt idx="95">
                <c:v>-2603.2526844807799</c:v>
              </c:pt>
              <c:pt idx="96">
                <c:v>-1124.2873444370953</c:v>
              </c:pt>
              <c:pt idx="97">
                <c:v>-941.02233200124294</c:v>
              </c:pt>
              <c:pt idx="98">
                <c:v>-870.81011252465782</c:v>
              </c:pt>
              <c:pt idx="99">
                <c:v>-1471.9945138713692</c:v>
              </c:pt>
              <c:pt idx="100">
                <c:v>-115.70969698803299</c:v>
              </c:pt>
              <c:pt idx="101">
                <c:v>-520.92085584302311</c:v>
              </c:pt>
              <c:pt idx="102">
                <c:v>-1158.0911771796384</c:v>
              </c:pt>
              <c:pt idx="103">
                <c:v>-2044.5789688727323</c:v>
              </c:pt>
              <c:pt idx="104">
                <c:v>-254.19269425792402</c:v>
              </c:pt>
              <c:pt idx="105">
                <c:v>-2644.7201694301561</c:v>
              </c:pt>
              <c:pt idx="106">
                <c:v>-1932.5985715373508</c:v>
              </c:pt>
              <c:pt idx="107">
                <c:v>-1177.3194286805019</c:v>
              </c:pt>
              <c:pt idx="108">
                <c:v>-420.0278231028629</c:v>
              </c:pt>
              <c:pt idx="109">
                <c:v>-1175.4719707823285</c:v>
              </c:pt>
              <c:pt idx="110">
                <c:v>-479.95410486389363</c:v>
              </c:pt>
              <c:pt idx="111">
                <c:v>-1853.4623240104861</c:v>
              </c:pt>
              <c:pt idx="112">
                <c:v>-1514.9149150301187</c:v>
              </c:pt>
              <c:pt idx="113">
                <c:v>-1102.8300356342875</c:v>
              </c:pt>
              <c:pt idx="114">
                <c:v>-677.46018624976432</c:v>
              </c:pt>
              <c:pt idx="115">
                <c:v>-784.31219249080698</c:v>
              </c:pt>
              <c:pt idx="116">
                <c:v>-1734.219363656978</c:v>
              </c:pt>
              <c:pt idx="117">
                <c:v>-1161.3603061742547</c:v>
              </c:pt>
              <c:pt idx="118">
                <c:v>-1044.2095251657086</c:v>
              </c:pt>
              <c:pt idx="119">
                <c:v>-935.64506312362141</c:v>
              </c:pt>
              <c:pt idx="120">
                <c:v>-950.28334439743071</c:v>
              </c:pt>
              <c:pt idx="121">
                <c:v>-849.58500588259267</c:v>
              </c:pt>
              <c:pt idx="122">
                <c:v>-964.50109536277409</c:v>
              </c:pt>
              <c:pt idx="123">
                <c:v>-774.66203709937099</c:v>
              </c:pt>
              <c:pt idx="124">
                <c:v>-1401.2490269331722</c:v>
              </c:pt>
              <c:pt idx="125">
                <c:v>-1118.010311305371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3919-4C47-A38B-DB02D9C88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832184"/>
        <c:axId val="725832576"/>
      </c:scatterChart>
      <c:valAx>
        <c:axId val="725832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TTM_EBITDA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5832576"/>
        <c:crossesAt val="-10000"/>
        <c:crossBetween val="midCat"/>
      </c:valAx>
      <c:valAx>
        <c:axId val="725832576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5832184"/>
        <c:crossesAt val="-500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TTM_GP
</a:t>
            </a:r>
            <a:r>
              <a:rPr lang="en-US" sz="1000"/>
              <a:t>Model 13 for EV    (3 variables, n=126)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26"/>
              <c:pt idx="0">
                <c:v>2690.5739580078125</c:v>
              </c:pt>
              <c:pt idx="1">
                <c:v>895.99100952148433</c:v>
              </c:pt>
              <c:pt idx="2">
                <c:v>3546</c:v>
              </c:pt>
              <c:pt idx="3">
                <c:v>769.6390129394531</c:v>
              </c:pt>
              <c:pt idx="4">
                <c:v>3803</c:v>
              </c:pt>
              <c:pt idx="5">
                <c:v>2463.42801171875</c:v>
              </c:pt>
              <c:pt idx="6">
                <c:v>2459.358009765625</c:v>
              </c:pt>
              <c:pt idx="7">
                <c:v>2310.4400556640626</c:v>
              </c:pt>
              <c:pt idx="8">
                <c:v>1698.6110100097656</c:v>
              </c:pt>
              <c:pt idx="9">
                <c:v>1148.2299877929688</c:v>
              </c:pt>
              <c:pt idx="10">
                <c:v>1826.9869919433593</c:v>
              </c:pt>
              <c:pt idx="11">
                <c:v>1221.8169738769532</c:v>
              </c:pt>
              <c:pt idx="12">
                <c:v>481.96899993896483</c:v>
              </c:pt>
              <c:pt idx="13">
                <c:v>534.71100567626956</c:v>
              </c:pt>
              <c:pt idx="14">
                <c:v>927.55099047851559</c:v>
              </c:pt>
              <c:pt idx="15">
                <c:v>1863.8300090332032</c:v>
              </c:pt>
              <c:pt idx="16">
                <c:v>1679.9929314420062</c:v>
              </c:pt>
              <c:pt idx="17">
                <c:v>904.73300866699219</c:v>
              </c:pt>
              <c:pt idx="18">
                <c:v>737.9</c:v>
              </c:pt>
              <c:pt idx="19">
                <c:v>648.36900695800773</c:v>
              </c:pt>
              <c:pt idx="20">
                <c:v>864.88000952148434</c:v>
              </c:pt>
              <c:pt idx="21">
                <c:v>416.48600439453128</c:v>
              </c:pt>
              <c:pt idx="22">
                <c:v>448.87000836181642</c:v>
              </c:pt>
              <c:pt idx="23">
                <c:v>1132.4420061035157</c:v>
              </c:pt>
              <c:pt idx="24">
                <c:v>364.36000024414062</c:v>
              </c:pt>
              <c:pt idx="25">
                <c:v>769.42700024414057</c:v>
              </c:pt>
              <c:pt idx="26">
                <c:v>261.8499954833984</c:v>
              </c:pt>
              <c:pt idx="27">
                <c:v>443.33000299072262</c:v>
              </c:pt>
              <c:pt idx="28">
                <c:v>356.01800524902342</c:v>
              </c:pt>
              <c:pt idx="29">
                <c:v>228.25000210571289</c:v>
              </c:pt>
              <c:pt idx="30">
                <c:v>470.14299932861331</c:v>
              </c:pt>
              <c:pt idx="31">
                <c:v>439.7080033569336</c:v>
              </c:pt>
              <c:pt idx="32">
                <c:v>462.07363936766961</c:v>
              </c:pt>
              <c:pt idx="33">
                <c:v>696.89999084472652</c:v>
              </c:pt>
              <c:pt idx="34">
                <c:v>354.10500488281252</c:v>
              </c:pt>
              <c:pt idx="35">
                <c:v>281.04199999999997</c:v>
              </c:pt>
              <c:pt idx="36">
                <c:v>318.38299798583984</c:v>
              </c:pt>
              <c:pt idx="37">
                <c:v>974.26899780273436</c:v>
              </c:pt>
              <c:pt idx="38">
                <c:v>418.44500848388674</c:v>
              </c:pt>
              <c:pt idx="39">
                <c:v>460.99100408935544</c:v>
              </c:pt>
              <c:pt idx="40">
                <c:v>883.36700305175782</c:v>
              </c:pt>
              <c:pt idx="41">
                <c:v>558.17699633789061</c:v>
              </c:pt>
              <c:pt idx="42">
                <c:v>461.10500335693359</c:v>
              </c:pt>
              <c:pt idx="43">
                <c:v>549.45199468994144</c:v>
              </c:pt>
              <c:pt idx="44">
                <c:v>150.86900170898437</c:v>
              </c:pt>
              <c:pt idx="45">
                <c:v>138.52599877929688</c:v>
              </c:pt>
              <c:pt idx="46">
                <c:v>228.32999908447266</c:v>
              </c:pt>
              <c:pt idx="47">
                <c:v>520.84100958251952</c:v>
              </c:pt>
              <c:pt idx="48">
                <c:v>287.72500283813474</c:v>
              </c:pt>
              <c:pt idx="49">
                <c:v>162.13900000000001</c:v>
              </c:pt>
              <c:pt idx="50">
                <c:v>610.00600537109381</c:v>
              </c:pt>
              <c:pt idx="51">
                <c:v>322.08900360107418</c:v>
              </c:pt>
              <c:pt idx="52">
                <c:v>220.96600073242186</c:v>
              </c:pt>
              <c:pt idx="53">
                <c:v>372.4000010986328</c:v>
              </c:pt>
              <c:pt idx="54">
                <c:v>403.28800524902346</c:v>
              </c:pt>
              <c:pt idx="55">
                <c:v>273.98900335693361</c:v>
              </c:pt>
              <c:pt idx="56">
                <c:v>196.15400054931641</c:v>
              </c:pt>
              <c:pt idx="57">
                <c:v>155.18199999999999</c:v>
              </c:pt>
              <c:pt idx="58">
                <c:v>89.570999999999998</c:v>
              </c:pt>
              <c:pt idx="59">
                <c:v>327.95800305175783</c:v>
              </c:pt>
              <c:pt idx="60">
                <c:v>189.24499960327148</c:v>
              </c:pt>
              <c:pt idx="61">
                <c:v>140.40400271606444</c:v>
              </c:pt>
              <c:pt idx="62">
                <c:v>250.68500076293947</c:v>
              </c:pt>
              <c:pt idx="63">
                <c:v>273.81199511718751</c:v>
              </c:pt>
              <c:pt idx="64">
                <c:v>605.50099267578128</c:v>
              </c:pt>
              <c:pt idx="65">
                <c:v>88.019999999999982</c:v>
              </c:pt>
              <c:pt idx="66">
                <c:v>157.49099987792968</c:v>
              </c:pt>
              <c:pt idx="67">
                <c:v>249.10499847412109</c:v>
              </c:pt>
              <c:pt idx="68">
                <c:v>251.41600036621094</c:v>
              </c:pt>
              <c:pt idx="69">
                <c:v>133.13299966430662</c:v>
              </c:pt>
              <c:pt idx="70">
                <c:v>106.53599938964844</c:v>
              </c:pt>
              <c:pt idx="71">
                <c:v>102.44899972534179</c:v>
              </c:pt>
              <c:pt idx="72">
                <c:v>206.71999600219726</c:v>
              </c:pt>
              <c:pt idx="73">
                <c:v>147.79099822998046</c:v>
              </c:pt>
              <c:pt idx="74">
                <c:v>135.33699801635743</c:v>
              </c:pt>
              <c:pt idx="75">
                <c:v>279.62800469970705</c:v>
              </c:pt>
              <c:pt idx="76">
                <c:v>218.322998046875</c:v>
              </c:pt>
              <c:pt idx="77">
                <c:v>101.70600183105469</c:v>
              </c:pt>
              <c:pt idx="78">
                <c:v>274.43599694824218</c:v>
              </c:pt>
              <c:pt idx="79">
                <c:v>52.637000358581545</c:v>
              </c:pt>
              <c:pt idx="80">
                <c:v>234.64100097656251</c:v>
              </c:pt>
              <c:pt idx="81">
                <c:v>85.026000061035163</c:v>
              </c:pt>
              <c:pt idx="82">
                <c:v>149.78799795532225</c:v>
              </c:pt>
              <c:pt idx="83">
                <c:v>126.376</c:v>
              </c:pt>
              <c:pt idx="84">
                <c:v>155.65399899291992</c:v>
              </c:pt>
              <c:pt idx="85">
                <c:v>128.89599989318847</c:v>
              </c:pt>
              <c:pt idx="86">
                <c:v>333.70999957275393</c:v>
              </c:pt>
              <c:pt idx="87">
                <c:v>220.4609998474121</c:v>
              </c:pt>
              <c:pt idx="88">
                <c:v>161.06200064086914</c:v>
              </c:pt>
              <c:pt idx="89">
                <c:v>95.234000320434575</c:v>
              </c:pt>
              <c:pt idx="90">
                <c:v>156.26900183105468</c:v>
              </c:pt>
              <c:pt idx="91">
                <c:v>189.59500091552735</c:v>
              </c:pt>
              <c:pt idx="92">
                <c:v>174.50399725341796</c:v>
              </c:pt>
              <c:pt idx="93">
                <c:v>109.50099978637695</c:v>
              </c:pt>
              <c:pt idx="94">
                <c:v>63.605000000000004</c:v>
              </c:pt>
              <c:pt idx="95">
                <c:v>254.20199630737304</c:v>
              </c:pt>
              <c:pt idx="96">
                <c:v>126.30899749755859</c:v>
              </c:pt>
              <c:pt idx="97">
                <c:v>147.23399932861327</c:v>
              </c:pt>
              <c:pt idx="98">
                <c:v>130.4860018157959</c:v>
              </c:pt>
              <c:pt idx="99">
                <c:v>194.42499871826172</c:v>
              </c:pt>
              <c:pt idx="100">
                <c:v>63.660000076293947</c:v>
              </c:pt>
              <c:pt idx="101">
                <c:v>81.369998809814447</c:v>
              </c:pt>
              <c:pt idx="102">
                <c:v>197.1649987182617</c:v>
              </c:pt>
              <c:pt idx="103">
                <c:v>180.10199858093262</c:v>
              </c:pt>
              <c:pt idx="104">
                <c:v>10.568609400887199</c:v>
              </c:pt>
              <c:pt idx="105">
                <c:v>407.5589940185547</c:v>
              </c:pt>
              <c:pt idx="106">
                <c:v>169.04300082397461</c:v>
              </c:pt>
              <c:pt idx="107">
                <c:v>143.23199945068359</c:v>
              </c:pt>
              <c:pt idx="108">
                <c:v>32.362014866124603</c:v>
              </c:pt>
              <c:pt idx="109">
                <c:v>91.647999832153317</c:v>
              </c:pt>
              <c:pt idx="110">
                <c:v>15.933999778747559</c:v>
              </c:pt>
              <c:pt idx="111">
                <c:v>87.58700073242187</c:v>
              </c:pt>
              <c:pt idx="112">
                <c:v>150.5580012512207</c:v>
              </c:pt>
              <c:pt idx="113">
                <c:v>65.636000694274898</c:v>
              </c:pt>
              <c:pt idx="114">
                <c:v>48.276000267028806</c:v>
              </c:pt>
              <c:pt idx="115">
                <c:v>62.064999832153319</c:v>
              </c:pt>
              <c:pt idx="116">
                <c:v>179.79799935913087</c:v>
              </c:pt>
              <c:pt idx="117">
                <c:v>101.39099937438965</c:v>
              </c:pt>
              <c:pt idx="118">
                <c:v>61.229999687194827</c:v>
              </c:pt>
              <c:pt idx="119">
                <c:v>44.329346749023436</c:v>
              </c:pt>
              <c:pt idx="120">
                <c:v>79.795185569702141</c:v>
              </c:pt>
              <c:pt idx="121">
                <c:v>38.971000602722171</c:v>
              </c:pt>
              <c:pt idx="122">
                <c:v>65.752319670119391</c:v>
              </c:pt>
              <c:pt idx="123">
                <c:v>19.025000007629394</c:v>
              </c:pt>
              <c:pt idx="124">
                <c:v>72.534188598388667</c:v>
              </c:pt>
              <c:pt idx="125">
                <c:v>60.490999809265134</c:v>
              </c:pt>
            </c:numLit>
          </c:xVal>
          <c:yVal>
            <c:numLit>
              <c:formatCode>General</c:formatCode>
              <c:ptCount val="126"/>
              <c:pt idx="0">
                <c:v>3070.7529275075613</c:v>
              </c:pt>
              <c:pt idx="1">
                <c:v>6932.8341641418538</c:v>
              </c:pt>
              <c:pt idx="2">
                <c:v>-1034.9818789943274</c:v>
              </c:pt>
              <c:pt idx="3">
                <c:v>9571.3020440207547</c:v>
              </c:pt>
              <c:pt idx="4">
                <c:v>-8827.1937090210795</c:v>
              </c:pt>
              <c:pt idx="5">
                <c:v>630.73209671927725</c:v>
              </c:pt>
              <c:pt idx="6">
                <c:v>412.58018956196611</c:v>
              </c:pt>
              <c:pt idx="7">
                <c:v>-2267.3065286109431</c:v>
              </c:pt>
              <c:pt idx="8">
                <c:v>5064.17682209348</c:v>
              </c:pt>
              <c:pt idx="9">
                <c:v>3154.2052459472634</c:v>
              </c:pt>
              <c:pt idx="10">
                <c:v>2452.5270505259559</c:v>
              </c:pt>
              <c:pt idx="11">
                <c:v>3183.4547839205643</c:v>
              </c:pt>
              <c:pt idx="12">
                <c:v>5936.5942056047897</c:v>
              </c:pt>
              <c:pt idx="13">
                <c:v>7051.915090817638</c:v>
              </c:pt>
              <c:pt idx="14">
                <c:v>1168.0026868059886</c:v>
              </c:pt>
              <c:pt idx="15">
                <c:v>-2421.5939655436705</c:v>
              </c:pt>
              <c:pt idx="16">
                <c:v>2312.634579590147</c:v>
              </c:pt>
              <c:pt idx="17">
                <c:v>3516.9258408248379</c:v>
              </c:pt>
              <c:pt idx="18">
                <c:v>2739.5290794311468</c:v>
              </c:pt>
              <c:pt idx="19">
                <c:v>2427.5329652558567</c:v>
              </c:pt>
              <c:pt idx="20">
                <c:v>887.50618795860373</c:v>
              </c:pt>
              <c:pt idx="21">
                <c:v>4442.3403175348658</c:v>
              </c:pt>
              <c:pt idx="22">
                <c:v>4189.9819523253345</c:v>
              </c:pt>
              <c:pt idx="23">
                <c:v>-4580.2625765396197</c:v>
              </c:pt>
              <c:pt idx="24">
                <c:v>1907.6051771234634</c:v>
              </c:pt>
              <c:pt idx="25">
                <c:v>-1811.5918062770479</c:v>
              </c:pt>
              <c:pt idx="26">
                <c:v>2253.6199727474977</c:v>
              </c:pt>
              <c:pt idx="27">
                <c:v>1731.4635267586273</c:v>
              </c:pt>
              <c:pt idx="28">
                <c:v>1745.450242513738</c:v>
              </c:pt>
              <c:pt idx="29">
                <c:v>2665.2622588175318</c:v>
              </c:pt>
              <c:pt idx="30">
                <c:v>576.21387226336628</c:v>
              </c:pt>
              <c:pt idx="31">
                <c:v>921.04230217287477</c:v>
              </c:pt>
              <c:pt idx="32">
                <c:v>1185.735078732162</c:v>
              </c:pt>
              <c:pt idx="33">
                <c:v>-2316.975758677313</c:v>
              </c:pt>
              <c:pt idx="34">
                <c:v>1500.7396987225566</c:v>
              </c:pt>
              <c:pt idx="35">
                <c:v>319.28844076502446</c:v>
              </c:pt>
              <c:pt idx="36">
                <c:v>1609.5891226227914</c:v>
              </c:pt>
              <c:pt idx="37">
                <c:v>-1465.7787884728341</c:v>
              </c:pt>
              <c:pt idx="38">
                <c:v>512.59531502940445</c:v>
              </c:pt>
              <c:pt idx="39">
                <c:v>226.66372145004607</c:v>
              </c:pt>
              <c:pt idx="40">
                <c:v>-1672.7851004086906</c:v>
              </c:pt>
              <c:pt idx="41">
                <c:v>-1643.660988447908</c:v>
              </c:pt>
              <c:pt idx="42">
                <c:v>-1468.0697288086285</c:v>
              </c:pt>
              <c:pt idx="43">
                <c:v>-2295.2314637070731</c:v>
              </c:pt>
              <c:pt idx="44">
                <c:v>1192.2781174047063</c:v>
              </c:pt>
              <c:pt idx="45">
                <c:v>1077.6861615155822</c:v>
              </c:pt>
              <c:pt idx="46">
                <c:v>465.80923205917225</c:v>
              </c:pt>
              <c:pt idx="47">
                <c:v>-2479.5804420659829</c:v>
              </c:pt>
              <c:pt idx="48">
                <c:v>456.89363599076887</c:v>
              </c:pt>
              <c:pt idx="49">
                <c:v>1112.1269054935979</c:v>
              </c:pt>
              <c:pt idx="50">
                <c:v>-2603.3379517156332</c:v>
              </c:pt>
              <c:pt idx="51">
                <c:v>-626.82467251919206</c:v>
              </c:pt>
              <c:pt idx="52">
                <c:v>-45.595113783890156</c:v>
              </c:pt>
              <c:pt idx="53">
                <c:v>-880.62929669293362</c:v>
              </c:pt>
              <c:pt idx="54">
                <c:v>-1594.4305894937138</c:v>
              </c:pt>
              <c:pt idx="55">
                <c:v>-569.91612889962926</c:v>
              </c:pt>
              <c:pt idx="56">
                <c:v>621.07721503738435</c:v>
              </c:pt>
              <c:pt idx="57">
                <c:v>479.87214385692573</c:v>
              </c:pt>
              <c:pt idx="58">
                <c:v>1033.2453943226842</c:v>
              </c:pt>
              <c:pt idx="59">
                <c:v>-677.43058864497789</c:v>
              </c:pt>
              <c:pt idx="60">
                <c:v>504.68079551730671</c:v>
              </c:pt>
              <c:pt idx="61">
                <c:v>726.99235054165138</c:v>
              </c:pt>
              <c:pt idx="62">
                <c:v>-429.80752981993646</c:v>
              </c:pt>
              <c:pt idx="63">
                <c:v>-425.29812307692237</c:v>
              </c:pt>
              <c:pt idx="64">
                <c:v>-2291.3208576004804</c:v>
              </c:pt>
              <c:pt idx="65">
                <c:v>382.3845939976818</c:v>
              </c:pt>
              <c:pt idx="66">
                <c:v>285.70985813341736</c:v>
              </c:pt>
              <c:pt idx="67">
                <c:v>-91.620237766484479</c:v>
              </c:pt>
              <c:pt idx="68">
                <c:v>-506.32916369284703</c:v>
              </c:pt>
              <c:pt idx="69">
                <c:v>89.636872720321435</c:v>
              </c:pt>
              <c:pt idx="70">
                <c:v>58.455599941323499</c:v>
              </c:pt>
              <c:pt idx="71">
                <c:v>460.64480197355851</c:v>
              </c:pt>
              <c:pt idx="72">
                <c:v>-330.16356195864864</c:v>
              </c:pt>
              <c:pt idx="73">
                <c:v>-245.10169575604482</c:v>
              </c:pt>
              <c:pt idx="74">
                <c:v>-82.311445583586192</c:v>
              </c:pt>
              <c:pt idx="75">
                <c:v>-1985.6049524444327</c:v>
              </c:pt>
              <c:pt idx="76">
                <c:v>-451.57762006038797</c:v>
              </c:pt>
              <c:pt idx="77">
                <c:v>163.58610431488341</c:v>
              </c:pt>
              <c:pt idx="78">
                <c:v>-1048.4825927901657</c:v>
              </c:pt>
              <c:pt idx="79">
                <c:v>-188.42013674952159</c:v>
              </c:pt>
              <c:pt idx="80">
                <c:v>-1011.5286908554394</c:v>
              </c:pt>
              <c:pt idx="81">
                <c:v>-25.280662626083995</c:v>
              </c:pt>
              <c:pt idx="82">
                <c:v>-484.77638491238417</c:v>
              </c:pt>
              <c:pt idx="83">
                <c:v>-319.56187694227287</c:v>
              </c:pt>
              <c:pt idx="84">
                <c:v>-669.0842420110198</c:v>
              </c:pt>
              <c:pt idx="85">
                <c:v>-585.97758885932831</c:v>
              </c:pt>
              <c:pt idx="86">
                <c:v>-1051.9908774045714</c:v>
              </c:pt>
              <c:pt idx="87">
                <c:v>-1615.617839652301</c:v>
              </c:pt>
              <c:pt idx="88">
                <c:v>-779.14251898928137</c:v>
              </c:pt>
              <c:pt idx="89">
                <c:v>-61.500640854640551</c:v>
              </c:pt>
              <c:pt idx="90">
                <c:v>-625.91732152344935</c:v>
              </c:pt>
              <c:pt idx="91">
                <c:v>-851.89162574839406</c:v>
              </c:pt>
              <c:pt idx="92">
                <c:v>-770.00031647912715</c:v>
              </c:pt>
              <c:pt idx="93">
                <c:v>-702.9872110888989</c:v>
              </c:pt>
              <c:pt idx="94">
                <c:v>-695.74676918546152</c:v>
              </c:pt>
              <c:pt idx="95">
                <c:v>-2603.2526844807799</c:v>
              </c:pt>
              <c:pt idx="96">
                <c:v>-1124.2873444370953</c:v>
              </c:pt>
              <c:pt idx="97">
                <c:v>-941.02233200124294</c:v>
              </c:pt>
              <c:pt idx="98">
                <c:v>-870.81011252465782</c:v>
              </c:pt>
              <c:pt idx="99">
                <c:v>-1471.9945138713692</c:v>
              </c:pt>
              <c:pt idx="100">
                <c:v>-115.70969698803299</c:v>
              </c:pt>
              <c:pt idx="101">
                <c:v>-520.92085584302311</c:v>
              </c:pt>
              <c:pt idx="102">
                <c:v>-1158.0911771796384</c:v>
              </c:pt>
              <c:pt idx="103">
                <c:v>-2044.5789688727323</c:v>
              </c:pt>
              <c:pt idx="104">
                <c:v>-254.19269425792402</c:v>
              </c:pt>
              <c:pt idx="105">
                <c:v>-2644.7201694301561</c:v>
              </c:pt>
              <c:pt idx="106">
                <c:v>-1932.5985715373508</c:v>
              </c:pt>
              <c:pt idx="107">
                <c:v>-1177.3194286805019</c:v>
              </c:pt>
              <c:pt idx="108">
                <c:v>-420.0278231028629</c:v>
              </c:pt>
              <c:pt idx="109">
                <c:v>-1175.4719707823285</c:v>
              </c:pt>
              <c:pt idx="110">
                <c:v>-479.95410486389363</c:v>
              </c:pt>
              <c:pt idx="111">
                <c:v>-1853.4623240104861</c:v>
              </c:pt>
              <c:pt idx="112">
                <c:v>-1514.9149150301187</c:v>
              </c:pt>
              <c:pt idx="113">
                <c:v>-1102.8300356342875</c:v>
              </c:pt>
              <c:pt idx="114">
                <c:v>-677.46018624976432</c:v>
              </c:pt>
              <c:pt idx="115">
                <c:v>-784.31219249080698</c:v>
              </c:pt>
              <c:pt idx="116">
                <c:v>-1734.219363656978</c:v>
              </c:pt>
              <c:pt idx="117">
                <c:v>-1161.3603061742547</c:v>
              </c:pt>
              <c:pt idx="118">
                <c:v>-1044.2095251657086</c:v>
              </c:pt>
              <c:pt idx="119">
                <c:v>-935.64506312362141</c:v>
              </c:pt>
              <c:pt idx="120">
                <c:v>-950.28334439743071</c:v>
              </c:pt>
              <c:pt idx="121">
                <c:v>-849.58500588259267</c:v>
              </c:pt>
              <c:pt idx="122">
                <c:v>-964.50109536277409</c:v>
              </c:pt>
              <c:pt idx="123">
                <c:v>-774.66203709937099</c:v>
              </c:pt>
              <c:pt idx="124">
                <c:v>-1401.2490269331722</c:v>
              </c:pt>
              <c:pt idx="125">
                <c:v>-1118.010311305371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70B6-4B7A-9390-16FBAA7659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833360"/>
        <c:axId val="725833752"/>
      </c:scatterChart>
      <c:valAx>
        <c:axId val="725833360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TTM_GP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5833752"/>
        <c:crossesAt val="-10000"/>
        <c:crossBetween val="midCat"/>
      </c:valAx>
      <c:valAx>
        <c:axId val="72583375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5833360"/>
        <c:crossesAt val="0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TTM_Rev
</a:t>
            </a:r>
            <a:r>
              <a:rPr lang="en-US" sz="1000"/>
              <a:t>Model 13 for EV    (3 variables, n=126)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26"/>
              <c:pt idx="0">
                <c:v>3156.587</c:v>
              </c:pt>
              <c:pt idx="1">
                <c:v>2174.3449999999998</c:v>
              </c:pt>
              <c:pt idx="2">
                <c:v>4148</c:v>
              </c:pt>
              <c:pt idx="3">
                <c:v>947.42399999999998</c:v>
              </c:pt>
              <c:pt idx="4">
                <c:v>4827</c:v>
              </c:pt>
              <c:pt idx="5">
                <c:v>2908.3389999999999</c:v>
              </c:pt>
              <c:pt idx="6">
                <c:v>2794.5149999999999</c:v>
              </c:pt>
              <c:pt idx="7">
                <c:v>3022.62</c:v>
              </c:pt>
              <c:pt idx="8">
                <c:v>1896.9269999999999</c:v>
              </c:pt>
              <c:pt idx="9">
                <c:v>1448.318</c:v>
              </c:pt>
              <c:pt idx="10">
                <c:v>2069.8940000000002</c:v>
              </c:pt>
              <c:pt idx="11">
                <c:v>1631.1849999999999</c:v>
              </c:pt>
              <c:pt idx="12">
                <c:v>853.57299999999998</c:v>
              </c:pt>
              <c:pt idx="13">
                <c:v>766.22400000000005</c:v>
              </c:pt>
              <c:pt idx="14">
                <c:v>1762.6579999999999</c:v>
              </c:pt>
              <c:pt idx="15">
                <c:v>2815.241</c:v>
              </c:pt>
              <c:pt idx="16">
                <c:v>2027.4701488016447</c:v>
              </c:pt>
              <c:pt idx="17">
                <c:v>1235.683</c:v>
              </c:pt>
              <c:pt idx="18">
                <c:v>1106.8</c:v>
              </c:pt>
              <c:pt idx="19">
                <c:v>1035.461</c:v>
              </c:pt>
              <c:pt idx="20">
                <c:v>992.76900000000001</c:v>
              </c:pt>
              <c:pt idx="21">
                <c:v>498.02800000000002</c:v>
              </c:pt>
              <c:pt idx="22">
                <c:v>499.51400000000001</c:v>
              </c:pt>
              <c:pt idx="23">
                <c:v>2007.8210000000001</c:v>
              </c:pt>
              <c:pt idx="24">
                <c:v>661.06700000000001</c:v>
              </c:pt>
              <c:pt idx="25">
                <c:v>1155.4570000000001</c:v>
              </c:pt>
              <c:pt idx="26">
                <c:v>492.64800000000002</c:v>
              </c:pt>
              <c:pt idx="27">
                <c:v>581.47399999999993</c:v>
              </c:pt>
              <c:pt idx="28">
                <c:v>507.88499999999999</c:v>
              </c:pt>
              <c:pt idx="29">
                <c:v>324.19499999999999</c:v>
              </c:pt>
              <c:pt idx="30">
                <c:v>774.29099999999994</c:v>
              </c:pt>
              <c:pt idx="31">
                <c:v>614.04600000000005</c:v>
              </c:pt>
              <c:pt idx="32">
                <c:v>662.16275290332658</c:v>
              </c:pt>
              <c:pt idx="33">
                <c:v>1286.5</c:v>
              </c:pt>
              <c:pt idx="34">
                <c:v>441.399</c:v>
              </c:pt>
              <c:pt idx="35">
                <c:v>509.43599999999998</c:v>
              </c:pt>
              <c:pt idx="36">
                <c:v>383.18099999999998</c:v>
              </c:pt>
              <c:pt idx="37">
                <c:v>1158.5079999999998</c:v>
              </c:pt>
              <c:pt idx="38">
                <c:v>513.48300000000006</c:v>
              </c:pt>
              <c:pt idx="39">
                <c:v>609.726</c:v>
              </c:pt>
              <c:pt idx="40">
                <c:v>1130.17</c:v>
              </c:pt>
              <c:pt idx="41">
                <c:v>851.31600000000003</c:v>
              </c:pt>
              <c:pt idx="42">
                <c:v>833.04499999999996</c:v>
              </c:pt>
              <c:pt idx="43">
                <c:v>996.43500000000006</c:v>
              </c:pt>
              <c:pt idx="44">
                <c:v>219.095</c:v>
              </c:pt>
              <c:pt idx="45">
                <c:v>192.24099999999999</c:v>
              </c:pt>
              <c:pt idx="46">
                <c:v>377.52699999999999</c:v>
              </c:pt>
              <c:pt idx="47">
                <c:v>793.64200000000005</c:v>
              </c:pt>
              <c:pt idx="48">
                <c:v>346.63900000000001</c:v>
              </c:pt>
              <c:pt idx="49">
                <c:v>187.727</c:v>
              </c:pt>
              <c:pt idx="50">
                <c:v>883.15200000000004</c:v>
              </c:pt>
              <c:pt idx="51">
                <c:v>558.87699999999995</c:v>
              </c:pt>
              <c:pt idx="52">
                <c:v>394.09599999999995</c:v>
              </c:pt>
              <c:pt idx="53">
                <c:v>519.38200000000006</c:v>
              </c:pt>
              <c:pt idx="54">
                <c:v>554.70800000000008</c:v>
              </c:pt>
              <c:pt idx="55">
                <c:v>462.851</c:v>
              </c:pt>
              <c:pt idx="56">
                <c:v>255.43600000000001</c:v>
              </c:pt>
              <c:pt idx="57">
                <c:v>213.15899999999999</c:v>
              </c:pt>
              <c:pt idx="58">
                <c:v>111.253</c:v>
              </c:pt>
              <c:pt idx="59">
                <c:v>476.02700000000004</c:v>
              </c:pt>
              <c:pt idx="60">
                <c:v>259.76499999999999</c:v>
              </c:pt>
              <c:pt idx="61">
                <c:v>162.35999999999999</c:v>
              </c:pt>
              <c:pt idx="62">
                <c:v>362.10199999999998</c:v>
              </c:pt>
              <c:pt idx="63">
                <c:v>430.33699999999999</c:v>
              </c:pt>
              <c:pt idx="64">
                <c:v>709.59799999999996</c:v>
              </c:pt>
              <c:pt idx="65">
                <c:v>167.92599999999999</c:v>
              </c:pt>
              <c:pt idx="66">
                <c:v>202.84200000000001</c:v>
              </c:pt>
              <c:pt idx="67">
                <c:v>294.68199999999996</c:v>
              </c:pt>
              <c:pt idx="68">
                <c:v>375.99900000000002</c:v>
              </c:pt>
              <c:pt idx="69">
                <c:v>225.50900000000001</c:v>
              </c:pt>
              <c:pt idx="70">
                <c:v>215.20100000000002</c:v>
              </c:pt>
              <c:pt idx="71">
                <c:v>165.38</c:v>
              </c:pt>
              <c:pt idx="72">
                <c:v>282.14300000000003</c:v>
              </c:pt>
              <c:pt idx="73">
                <c:v>198.54300000000001</c:v>
              </c:pt>
              <c:pt idx="74">
                <c:v>176.48500000000001</c:v>
              </c:pt>
              <c:pt idx="75">
                <c:v>411.06400000000002</c:v>
              </c:pt>
              <c:pt idx="76">
                <c:v>242.52799999999999</c:v>
              </c:pt>
              <c:pt idx="77">
                <c:v>143.75199999999998</c:v>
              </c:pt>
              <c:pt idx="78">
                <c:v>344.017</c:v>
              </c:pt>
              <c:pt idx="79">
                <c:v>169.74299999999999</c:v>
              </c:pt>
              <c:pt idx="80">
                <c:v>310.62700000000001</c:v>
              </c:pt>
              <c:pt idx="81">
                <c:v>122.828</c:v>
              </c:pt>
              <c:pt idx="82">
                <c:v>211.739</c:v>
              </c:pt>
              <c:pt idx="83">
                <c:v>162.01400000000001</c:v>
              </c:pt>
              <c:pt idx="84">
                <c:v>221.20800000000003</c:v>
              </c:pt>
              <c:pt idx="85">
                <c:v>206.78900000000002</c:v>
              </c:pt>
              <c:pt idx="86">
                <c:v>401.911</c:v>
              </c:pt>
              <c:pt idx="87">
                <c:v>309.411</c:v>
              </c:pt>
              <c:pt idx="88">
                <c:v>225.61</c:v>
              </c:pt>
              <c:pt idx="89">
                <c:v>128.28899999999999</c:v>
              </c:pt>
              <c:pt idx="90">
                <c:v>234.53299999999999</c:v>
              </c:pt>
              <c:pt idx="91">
                <c:v>265.089</c:v>
              </c:pt>
              <c:pt idx="92">
                <c:v>233.78399999999999</c:v>
              </c:pt>
              <c:pt idx="93">
                <c:v>183.61700000000002</c:v>
              </c:pt>
              <c:pt idx="94">
                <c:v>108.524</c:v>
              </c:pt>
              <c:pt idx="95">
                <c:v>493.41899999999998</c:v>
              </c:pt>
              <c:pt idx="96">
                <c:v>252.16</c:v>
              </c:pt>
              <c:pt idx="97">
                <c:v>212.47800000000001</c:v>
              </c:pt>
              <c:pt idx="98">
                <c:v>184.83700000000002</c:v>
              </c:pt>
              <c:pt idx="99">
                <c:v>257.60300000000001</c:v>
              </c:pt>
              <c:pt idx="100">
                <c:v>67.067000000000007</c:v>
              </c:pt>
              <c:pt idx="101">
                <c:v>121.47999999999999</c:v>
              </c:pt>
              <c:pt idx="102">
                <c:v>242.89300000000003</c:v>
              </c:pt>
              <c:pt idx="103">
                <c:v>332.99599999999998</c:v>
              </c:pt>
              <c:pt idx="104">
                <c:v>42.178586942867071</c:v>
              </c:pt>
              <c:pt idx="105">
                <c:v>506.92600000000004</c:v>
              </c:pt>
              <c:pt idx="106">
                <c:v>328.411</c:v>
              </c:pt>
              <c:pt idx="107">
                <c:v>200.61800000000002</c:v>
              </c:pt>
              <c:pt idx="108">
                <c:v>45.913776851069429</c:v>
              </c:pt>
              <c:pt idx="109">
                <c:v>155.49099999999999</c:v>
              </c:pt>
              <c:pt idx="110">
                <c:v>29.199000000000002</c:v>
              </c:pt>
              <c:pt idx="111">
                <c:v>271.697</c:v>
              </c:pt>
              <c:pt idx="112">
                <c:v>181.369</c:v>
              </c:pt>
              <c:pt idx="113">
                <c:v>127.502</c:v>
              </c:pt>
              <c:pt idx="114">
                <c:v>55.426000000000002</c:v>
              </c:pt>
              <c:pt idx="115">
                <c:v>72.800999999999988</c:v>
              </c:pt>
              <c:pt idx="116">
                <c:v>231.34999999999997</c:v>
              </c:pt>
              <c:pt idx="117">
                <c:v>128.30699999999999</c:v>
              </c:pt>
              <c:pt idx="118">
                <c:v>113.21600000000001</c:v>
              </c:pt>
              <c:pt idx="119">
                <c:v>81.967006999999995</c:v>
              </c:pt>
              <c:pt idx="120">
                <c:v>93.621832000000012</c:v>
              </c:pt>
              <c:pt idx="121">
                <c:v>61.307000000000002</c:v>
              </c:pt>
              <c:pt idx="122">
                <c:v>77.324254925706967</c:v>
              </c:pt>
              <c:pt idx="123">
                <c:v>31.908999999999999</c:v>
              </c:pt>
              <c:pt idx="124">
                <c:v>128.101112</c:v>
              </c:pt>
              <c:pt idx="125">
                <c:v>88.789999999999992</c:v>
              </c:pt>
            </c:numLit>
          </c:xVal>
          <c:yVal>
            <c:numLit>
              <c:formatCode>General</c:formatCode>
              <c:ptCount val="126"/>
              <c:pt idx="0">
                <c:v>3070.7529275075613</c:v>
              </c:pt>
              <c:pt idx="1">
                <c:v>6932.8341641418538</c:v>
              </c:pt>
              <c:pt idx="2">
                <c:v>-1034.9818789943274</c:v>
              </c:pt>
              <c:pt idx="3">
                <c:v>9571.3020440207547</c:v>
              </c:pt>
              <c:pt idx="4">
                <c:v>-8827.1937090210795</c:v>
              </c:pt>
              <c:pt idx="5">
                <c:v>630.73209671927725</c:v>
              </c:pt>
              <c:pt idx="6">
                <c:v>412.58018956196611</c:v>
              </c:pt>
              <c:pt idx="7">
                <c:v>-2267.3065286109431</c:v>
              </c:pt>
              <c:pt idx="8">
                <c:v>5064.17682209348</c:v>
              </c:pt>
              <c:pt idx="9">
                <c:v>3154.2052459472634</c:v>
              </c:pt>
              <c:pt idx="10">
                <c:v>2452.5270505259559</c:v>
              </c:pt>
              <c:pt idx="11">
                <c:v>3183.4547839205643</c:v>
              </c:pt>
              <c:pt idx="12">
                <c:v>5936.5942056047897</c:v>
              </c:pt>
              <c:pt idx="13">
                <c:v>7051.915090817638</c:v>
              </c:pt>
              <c:pt idx="14">
                <c:v>1168.0026868059886</c:v>
              </c:pt>
              <c:pt idx="15">
                <c:v>-2421.5939655436705</c:v>
              </c:pt>
              <c:pt idx="16">
                <c:v>2312.634579590147</c:v>
              </c:pt>
              <c:pt idx="17">
                <c:v>3516.9258408248379</c:v>
              </c:pt>
              <c:pt idx="18">
                <c:v>2739.5290794311468</c:v>
              </c:pt>
              <c:pt idx="19">
                <c:v>2427.5329652558567</c:v>
              </c:pt>
              <c:pt idx="20">
                <c:v>887.50618795860373</c:v>
              </c:pt>
              <c:pt idx="21">
                <c:v>4442.3403175348658</c:v>
              </c:pt>
              <c:pt idx="22">
                <c:v>4189.9819523253345</c:v>
              </c:pt>
              <c:pt idx="23">
                <c:v>-4580.2625765396197</c:v>
              </c:pt>
              <c:pt idx="24">
                <c:v>1907.6051771234634</c:v>
              </c:pt>
              <c:pt idx="25">
                <c:v>-1811.5918062770479</c:v>
              </c:pt>
              <c:pt idx="26">
                <c:v>2253.6199727474977</c:v>
              </c:pt>
              <c:pt idx="27">
                <c:v>1731.4635267586273</c:v>
              </c:pt>
              <c:pt idx="28">
                <c:v>1745.450242513738</c:v>
              </c:pt>
              <c:pt idx="29">
                <c:v>2665.2622588175318</c:v>
              </c:pt>
              <c:pt idx="30">
                <c:v>576.21387226336628</c:v>
              </c:pt>
              <c:pt idx="31">
                <c:v>921.04230217287477</c:v>
              </c:pt>
              <c:pt idx="32">
                <c:v>1185.735078732162</c:v>
              </c:pt>
              <c:pt idx="33">
                <c:v>-2316.975758677313</c:v>
              </c:pt>
              <c:pt idx="34">
                <c:v>1500.7396987225566</c:v>
              </c:pt>
              <c:pt idx="35">
                <c:v>319.28844076502446</c:v>
              </c:pt>
              <c:pt idx="36">
                <c:v>1609.5891226227914</c:v>
              </c:pt>
              <c:pt idx="37">
                <c:v>-1465.7787884728341</c:v>
              </c:pt>
              <c:pt idx="38">
                <c:v>512.59531502940445</c:v>
              </c:pt>
              <c:pt idx="39">
                <c:v>226.66372145004607</c:v>
              </c:pt>
              <c:pt idx="40">
                <c:v>-1672.7851004086906</c:v>
              </c:pt>
              <c:pt idx="41">
                <c:v>-1643.660988447908</c:v>
              </c:pt>
              <c:pt idx="42">
                <c:v>-1468.0697288086285</c:v>
              </c:pt>
              <c:pt idx="43">
                <c:v>-2295.2314637070731</c:v>
              </c:pt>
              <c:pt idx="44">
                <c:v>1192.2781174047063</c:v>
              </c:pt>
              <c:pt idx="45">
                <c:v>1077.6861615155822</c:v>
              </c:pt>
              <c:pt idx="46">
                <c:v>465.80923205917225</c:v>
              </c:pt>
              <c:pt idx="47">
                <c:v>-2479.5804420659829</c:v>
              </c:pt>
              <c:pt idx="48">
                <c:v>456.89363599076887</c:v>
              </c:pt>
              <c:pt idx="49">
                <c:v>1112.1269054935979</c:v>
              </c:pt>
              <c:pt idx="50">
                <c:v>-2603.3379517156332</c:v>
              </c:pt>
              <c:pt idx="51">
                <c:v>-626.82467251919206</c:v>
              </c:pt>
              <c:pt idx="52">
                <c:v>-45.595113783890156</c:v>
              </c:pt>
              <c:pt idx="53">
                <c:v>-880.62929669293362</c:v>
              </c:pt>
              <c:pt idx="54">
                <c:v>-1594.4305894937138</c:v>
              </c:pt>
              <c:pt idx="55">
                <c:v>-569.91612889962926</c:v>
              </c:pt>
              <c:pt idx="56">
                <c:v>621.07721503738435</c:v>
              </c:pt>
              <c:pt idx="57">
                <c:v>479.87214385692573</c:v>
              </c:pt>
              <c:pt idx="58">
                <c:v>1033.2453943226842</c:v>
              </c:pt>
              <c:pt idx="59">
                <c:v>-677.43058864497789</c:v>
              </c:pt>
              <c:pt idx="60">
                <c:v>504.68079551730671</c:v>
              </c:pt>
              <c:pt idx="61">
                <c:v>726.99235054165138</c:v>
              </c:pt>
              <c:pt idx="62">
                <c:v>-429.80752981993646</c:v>
              </c:pt>
              <c:pt idx="63">
                <c:v>-425.29812307692237</c:v>
              </c:pt>
              <c:pt idx="64">
                <c:v>-2291.3208576004804</c:v>
              </c:pt>
              <c:pt idx="65">
                <c:v>382.3845939976818</c:v>
              </c:pt>
              <c:pt idx="66">
                <c:v>285.70985813341736</c:v>
              </c:pt>
              <c:pt idx="67">
                <c:v>-91.620237766484479</c:v>
              </c:pt>
              <c:pt idx="68">
                <c:v>-506.32916369284703</c:v>
              </c:pt>
              <c:pt idx="69">
                <c:v>89.636872720321435</c:v>
              </c:pt>
              <c:pt idx="70">
                <c:v>58.455599941323499</c:v>
              </c:pt>
              <c:pt idx="71">
                <c:v>460.64480197355851</c:v>
              </c:pt>
              <c:pt idx="72">
                <c:v>-330.16356195864864</c:v>
              </c:pt>
              <c:pt idx="73">
                <c:v>-245.10169575604482</c:v>
              </c:pt>
              <c:pt idx="74">
                <c:v>-82.311445583586192</c:v>
              </c:pt>
              <c:pt idx="75">
                <c:v>-1985.6049524444327</c:v>
              </c:pt>
              <c:pt idx="76">
                <c:v>-451.57762006038797</c:v>
              </c:pt>
              <c:pt idx="77">
                <c:v>163.58610431488341</c:v>
              </c:pt>
              <c:pt idx="78">
                <c:v>-1048.4825927901657</c:v>
              </c:pt>
              <c:pt idx="79">
                <c:v>-188.42013674952159</c:v>
              </c:pt>
              <c:pt idx="80">
                <c:v>-1011.5286908554394</c:v>
              </c:pt>
              <c:pt idx="81">
                <c:v>-25.280662626083995</c:v>
              </c:pt>
              <c:pt idx="82">
                <c:v>-484.77638491238417</c:v>
              </c:pt>
              <c:pt idx="83">
                <c:v>-319.56187694227287</c:v>
              </c:pt>
              <c:pt idx="84">
                <c:v>-669.0842420110198</c:v>
              </c:pt>
              <c:pt idx="85">
                <c:v>-585.97758885932831</c:v>
              </c:pt>
              <c:pt idx="86">
                <c:v>-1051.9908774045714</c:v>
              </c:pt>
              <c:pt idx="87">
                <c:v>-1615.617839652301</c:v>
              </c:pt>
              <c:pt idx="88">
                <c:v>-779.14251898928137</c:v>
              </c:pt>
              <c:pt idx="89">
                <c:v>-61.500640854640551</c:v>
              </c:pt>
              <c:pt idx="90">
                <c:v>-625.91732152344935</c:v>
              </c:pt>
              <c:pt idx="91">
                <c:v>-851.89162574839406</c:v>
              </c:pt>
              <c:pt idx="92">
                <c:v>-770.00031647912715</c:v>
              </c:pt>
              <c:pt idx="93">
                <c:v>-702.9872110888989</c:v>
              </c:pt>
              <c:pt idx="94">
                <c:v>-695.74676918546152</c:v>
              </c:pt>
              <c:pt idx="95">
                <c:v>-2603.2526844807799</c:v>
              </c:pt>
              <c:pt idx="96">
                <c:v>-1124.2873444370953</c:v>
              </c:pt>
              <c:pt idx="97">
                <c:v>-941.02233200124294</c:v>
              </c:pt>
              <c:pt idx="98">
                <c:v>-870.81011252465782</c:v>
              </c:pt>
              <c:pt idx="99">
                <c:v>-1471.9945138713692</c:v>
              </c:pt>
              <c:pt idx="100">
                <c:v>-115.70969698803299</c:v>
              </c:pt>
              <c:pt idx="101">
                <c:v>-520.92085584302311</c:v>
              </c:pt>
              <c:pt idx="102">
                <c:v>-1158.0911771796384</c:v>
              </c:pt>
              <c:pt idx="103">
                <c:v>-2044.5789688727323</c:v>
              </c:pt>
              <c:pt idx="104">
                <c:v>-254.19269425792402</c:v>
              </c:pt>
              <c:pt idx="105">
                <c:v>-2644.7201694301561</c:v>
              </c:pt>
              <c:pt idx="106">
                <c:v>-1932.5985715373508</c:v>
              </c:pt>
              <c:pt idx="107">
                <c:v>-1177.3194286805019</c:v>
              </c:pt>
              <c:pt idx="108">
                <c:v>-420.0278231028629</c:v>
              </c:pt>
              <c:pt idx="109">
                <c:v>-1175.4719707823285</c:v>
              </c:pt>
              <c:pt idx="110">
                <c:v>-479.95410486389363</c:v>
              </c:pt>
              <c:pt idx="111">
                <c:v>-1853.4623240104861</c:v>
              </c:pt>
              <c:pt idx="112">
                <c:v>-1514.9149150301187</c:v>
              </c:pt>
              <c:pt idx="113">
                <c:v>-1102.8300356342875</c:v>
              </c:pt>
              <c:pt idx="114">
                <c:v>-677.46018624976432</c:v>
              </c:pt>
              <c:pt idx="115">
                <c:v>-784.31219249080698</c:v>
              </c:pt>
              <c:pt idx="116">
                <c:v>-1734.219363656978</c:v>
              </c:pt>
              <c:pt idx="117">
                <c:v>-1161.3603061742547</c:v>
              </c:pt>
              <c:pt idx="118">
                <c:v>-1044.2095251657086</c:v>
              </c:pt>
              <c:pt idx="119">
                <c:v>-935.64506312362141</c:v>
              </c:pt>
              <c:pt idx="120">
                <c:v>-950.28334439743071</c:v>
              </c:pt>
              <c:pt idx="121">
                <c:v>-849.58500588259267</c:v>
              </c:pt>
              <c:pt idx="122">
                <c:v>-964.50109536277409</c:v>
              </c:pt>
              <c:pt idx="123">
                <c:v>-774.66203709937099</c:v>
              </c:pt>
              <c:pt idx="124">
                <c:v>-1401.2490269331722</c:v>
              </c:pt>
              <c:pt idx="125">
                <c:v>-1118.010311305371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14F-4239-9D22-2695F06B26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834536"/>
        <c:axId val="725834928"/>
      </c:scatterChart>
      <c:valAx>
        <c:axId val="725834536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TTM_Rev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5834928"/>
        <c:crossesAt val="-10000"/>
        <c:crossBetween val="midCat"/>
      </c:valAx>
      <c:valAx>
        <c:axId val="72583492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5834536"/>
        <c:crossesAt val="0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'Model 12'!$AA$2</c:f>
          <c:strCache>
            <c:ptCount val="1"/>
            <c:pt idx="0">
              <c:v>Forecasts and 95.0% confidence limits for means and forecasts
Model 12 for EV    (3 variables, n=136)</c:v>
            </c:pt>
          </c:strCache>
        </c:strRef>
      </c:tx>
      <c:overlay val="0"/>
      <c:txPr>
        <a:bodyPr/>
        <a:lstStyle/>
        <a:p>
          <a:pPr>
            <a:defRPr sz="1000"/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Forecast</c:v>
          </c:tx>
          <c:spPr>
            <a:ln w="25400">
              <a:noFill/>
            </a:ln>
          </c:spPr>
          <c:marker>
            <c:symbol val="circle"/>
            <c:size val="7"/>
            <c:spPr>
              <a:solidFill>
                <a:srgbClr val="FF9999"/>
              </a:solidFill>
              <a:ln w="12700">
                <a:solidFill>
                  <a:srgbClr val="FF0000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'Model 12'!$CG$45</c:f>
              </c:numRef>
            </c:plus>
            <c:minus>
              <c:numRef>
                <c:f>'Model 12'!$CG$45</c:f>
              </c:numRef>
            </c:minus>
          </c:errBars>
          <c:val>
            <c:numRef>
              <c:f>'Model 12'!$B$45</c:f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 xmlns:c16="http://schemas.microsoft.com/office/drawing/2014/chart">
                      <c:ext uri="{02D57815-91ED-43cb-92C2-25804820EDAC}">
                        <c15:formulaRef>
                          <c15:sqref>'Model 12'!$A$45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511F-410A-AA78-9376B848B657}"/>
            </c:ext>
          </c:extLst>
        </c:ser>
        <c:ser>
          <c:idx val="1"/>
          <c:order val="1"/>
          <c:tx>
            <c:strRef>
              <c:f>'Model 12'!$H$44</c:f>
              <c:strCache>
                <c:ptCount val="1"/>
                <c:pt idx="0">
                  <c:v>Upper95%M</c:v>
                </c:pt>
              </c:strCache>
            </c:strRef>
          </c:tx>
          <c:spPr>
            <a:ln w="25400">
              <a:noFill/>
            </a:ln>
          </c:spPr>
          <c:marker>
            <c:symbol val="dash"/>
            <c:size val="7"/>
            <c:spPr>
              <a:noFill/>
              <a:ln w="12700">
                <a:solidFill>
                  <a:srgbClr val="000000"/>
                </a:solidFill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ED7D31"/>
                    </a:solidFill>
                  </a14:hiddenFill>
                </a:ext>
              </a:extLst>
            </c:spPr>
          </c:marker>
          <c:val>
            <c:numRef>
              <c:f>'Model 12'!$H$45</c:f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 xmlns:c16="http://schemas.microsoft.com/office/drawing/2014/chart">
                      <c:ext uri="{02D57815-91ED-43cb-92C2-25804820EDAC}">
                        <c15:formulaRef>
                          <c15:sqref>'Model 12'!$A$45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511F-410A-AA78-9376B848B657}"/>
            </c:ext>
          </c:extLst>
        </c:ser>
        <c:ser>
          <c:idx val="2"/>
          <c:order val="2"/>
          <c:tx>
            <c:strRef>
              <c:f>'Model 12'!$G$44</c:f>
              <c:strCache>
                <c:ptCount val="1"/>
                <c:pt idx="0">
                  <c:v>Lower95%M</c:v>
                </c:pt>
              </c:strCache>
            </c:strRef>
          </c:tx>
          <c:spPr>
            <a:ln w="25400">
              <a:noFill/>
            </a:ln>
          </c:spPr>
          <c:marker>
            <c:symbol val="dash"/>
            <c:size val="7"/>
            <c:spPr>
              <a:noFill/>
              <a:ln w="12700">
                <a:solidFill>
                  <a:srgbClr val="000000"/>
                </a:solidFill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A5A5A5"/>
                    </a:solidFill>
                  </a14:hiddenFill>
                </a:ext>
              </a:extLst>
            </c:spPr>
          </c:marker>
          <c:val>
            <c:numRef>
              <c:f>'Model 12'!$G$45</c:f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 xmlns:c16="http://schemas.microsoft.com/office/drawing/2014/chart">
                      <c:ext uri="{02D57815-91ED-43cb-92C2-25804820EDAC}">
                        <c15:formulaRef>
                          <c15:sqref>'Model 12'!$A$45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511F-410A-AA78-9376B848B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5835320"/>
        <c:axId val="725836104"/>
      </c:lineChart>
      <c:catAx>
        <c:axId val="725835320"/>
        <c:scaling>
          <c:orientation val="minMax"/>
        </c:scaling>
        <c:delete val="0"/>
        <c:axPos val="b"/>
        <c:numFmt formatCode="#,##0.000" sourceLinked="1"/>
        <c:majorTickMark val="out"/>
        <c:minorTickMark val="none"/>
        <c:tickLblPos val="nextTo"/>
        <c:crossAx val="725836104"/>
        <c:crossesAt val="0"/>
        <c:auto val="1"/>
        <c:lblAlgn val="ctr"/>
        <c:lblOffset val="100"/>
        <c:noMultiLvlLbl val="0"/>
      </c:catAx>
      <c:valAx>
        <c:axId val="72583610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crossAx val="725835320"/>
        <c:crosses val="autoZero"/>
        <c:crossBetween val="between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3F3"/>
    </a:solidFill>
    <a:ln w="6350">
      <a:solidFill>
        <a:srgbClr val="808080"/>
      </a:solidFill>
      <a:prstDash val="solid"/>
    </a:ln>
  </c:spPr>
  <c:txPr>
    <a:bodyPr/>
    <a:lstStyle/>
    <a:p>
      <a:pPr>
        <a:defRPr sz="1000"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'Model 12'!$AA$3</c:f>
          <c:strCache>
            <c:ptCount val="1"/>
            <c:pt idx="0">
              <c:v>Actual and Predicted -vs- Observation #
Model 12 for EV    (3 variables, n=136)</c:v>
            </c:pt>
          </c:strCache>
        </c:strRef>
      </c:tx>
      <c:overlay val="0"/>
      <c:txPr>
        <a:bodyPr/>
        <a:lstStyle/>
        <a:p>
          <a:pPr>
            <a:defRPr sz="1000"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9525" cap="rnd" cmpd="sng" algn="ctr">
              <a:solidFill>
                <a:srgbClr val="0000FF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3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  <c:pt idx="31">
                <c:v>32</c:v>
              </c:pt>
              <c:pt idx="32">
                <c:v>33</c:v>
              </c:pt>
              <c:pt idx="33">
                <c:v>34</c:v>
              </c:pt>
              <c:pt idx="34">
                <c:v>35</c:v>
              </c:pt>
              <c:pt idx="35">
                <c:v>36</c:v>
              </c:pt>
              <c:pt idx="36">
                <c:v>37</c:v>
              </c:pt>
              <c:pt idx="37">
                <c:v>38</c:v>
              </c:pt>
              <c:pt idx="38">
                <c:v>39</c:v>
              </c:pt>
              <c:pt idx="39">
                <c:v>40</c:v>
              </c:pt>
              <c:pt idx="40">
                <c:v>41</c:v>
              </c:pt>
              <c:pt idx="41">
                <c:v>42</c:v>
              </c:pt>
              <c:pt idx="42">
                <c:v>43</c:v>
              </c:pt>
              <c:pt idx="43">
                <c:v>44</c:v>
              </c:pt>
              <c:pt idx="44">
                <c:v>45</c:v>
              </c:pt>
              <c:pt idx="45">
                <c:v>46</c:v>
              </c:pt>
              <c:pt idx="46">
                <c:v>47</c:v>
              </c:pt>
              <c:pt idx="47">
                <c:v>48</c:v>
              </c:pt>
              <c:pt idx="48">
                <c:v>49</c:v>
              </c:pt>
              <c:pt idx="49">
                <c:v>50</c:v>
              </c:pt>
              <c:pt idx="50">
                <c:v>51</c:v>
              </c:pt>
              <c:pt idx="51">
                <c:v>52</c:v>
              </c:pt>
              <c:pt idx="52">
                <c:v>53</c:v>
              </c:pt>
              <c:pt idx="53">
                <c:v>54</c:v>
              </c:pt>
              <c:pt idx="54">
                <c:v>55</c:v>
              </c:pt>
              <c:pt idx="55">
                <c:v>56</c:v>
              </c:pt>
              <c:pt idx="56">
                <c:v>57</c:v>
              </c:pt>
              <c:pt idx="57">
                <c:v>58</c:v>
              </c:pt>
              <c:pt idx="58">
                <c:v>59</c:v>
              </c:pt>
              <c:pt idx="59">
                <c:v>60</c:v>
              </c:pt>
              <c:pt idx="60">
                <c:v>61</c:v>
              </c:pt>
              <c:pt idx="61">
                <c:v>62</c:v>
              </c:pt>
              <c:pt idx="62">
                <c:v>63</c:v>
              </c:pt>
              <c:pt idx="63">
                <c:v>64</c:v>
              </c:pt>
              <c:pt idx="64">
                <c:v>65</c:v>
              </c:pt>
              <c:pt idx="65">
                <c:v>66</c:v>
              </c:pt>
              <c:pt idx="66">
                <c:v>67</c:v>
              </c:pt>
              <c:pt idx="67">
                <c:v>68</c:v>
              </c:pt>
              <c:pt idx="68">
                <c:v>69</c:v>
              </c:pt>
              <c:pt idx="69">
                <c:v>70</c:v>
              </c:pt>
              <c:pt idx="70">
                <c:v>71</c:v>
              </c:pt>
              <c:pt idx="71">
                <c:v>72</c:v>
              </c:pt>
              <c:pt idx="72">
                <c:v>73</c:v>
              </c:pt>
              <c:pt idx="73">
                <c:v>74</c:v>
              </c:pt>
              <c:pt idx="74">
                <c:v>75</c:v>
              </c:pt>
              <c:pt idx="75">
                <c:v>76</c:v>
              </c:pt>
              <c:pt idx="76">
                <c:v>77</c:v>
              </c:pt>
              <c:pt idx="77">
                <c:v>78</c:v>
              </c:pt>
              <c:pt idx="78">
                <c:v>79</c:v>
              </c:pt>
              <c:pt idx="79">
                <c:v>80</c:v>
              </c:pt>
              <c:pt idx="80">
                <c:v>81</c:v>
              </c:pt>
              <c:pt idx="81">
                <c:v>82</c:v>
              </c:pt>
              <c:pt idx="82">
                <c:v>83</c:v>
              </c:pt>
              <c:pt idx="83">
                <c:v>84</c:v>
              </c:pt>
              <c:pt idx="84">
                <c:v>85</c:v>
              </c:pt>
              <c:pt idx="85">
                <c:v>86</c:v>
              </c:pt>
              <c:pt idx="86">
                <c:v>87</c:v>
              </c:pt>
              <c:pt idx="87">
                <c:v>88</c:v>
              </c:pt>
              <c:pt idx="88">
                <c:v>89</c:v>
              </c:pt>
              <c:pt idx="89">
                <c:v>90</c:v>
              </c:pt>
              <c:pt idx="90">
                <c:v>91</c:v>
              </c:pt>
              <c:pt idx="91">
                <c:v>92</c:v>
              </c:pt>
              <c:pt idx="92">
                <c:v>93</c:v>
              </c:pt>
              <c:pt idx="93">
                <c:v>94</c:v>
              </c:pt>
              <c:pt idx="94">
                <c:v>95</c:v>
              </c:pt>
              <c:pt idx="95">
                <c:v>96</c:v>
              </c:pt>
              <c:pt idx="96">
                <c:v>97</c:v>
              </c:pt>
              <c:pt idx="97">
                <c:v>98</c:v>
              </c:pt>
              <c:pt idx="98">
                <c:v>99</c:v>
              </c:pt>
              <c:pt idx="99">
                <c:v>100</c:v>
              </c:pt>
              <c:pt idx="100">
                <c:v>101</c:v>
              </c:pt>
              <c:pt idx="101">
                <c:v>102</c:v>
              </c:pt>
              <c:pt idx="102">
                <c:v>103</c:v>
              </c:pt>
              <c:pt idx="103">
                <c:v>104</c:v>
              </c:pt>
              <c:pt idx="104">
                <c:v>105</c:v>
              </c:pt>
              <c:pt idx="105">
                <c:v>106</c:v>
              </c:pt>
              <c:pt idx="106">
                <c:v>107</c:v>
              </c:pt>
              <c:pt idx="107">
                <c:v>108</c:v>
              </c:pt>
              <c:pt idx="108">
                <c:v>109</c:v>
              </c:pt>
              <c:pt idx="109">
                <c:v>110</c:v>
              </c:pt>
              <c:pt idx="110">
                <c:v>111</c:v>
              </c:pt>
              <c:pt idx="111">
                <c:v>112</c:v>
              </c:pt>
              <c:pt idx="112">
                <c:v>113</c:v>
              </c:pt>
              <c:pt idx="113">
                <c:v>114</c:v>
              </c:pt>
              <c:pt idx="114">
                <c:v>115</c:v>
              </c:pt>
              <c:pt idx="115">
                <c:v>116</c:v>
              </c:pt>
              <c:pt idx="116">
                <c:v>117</c:v>
              </c:pt>
              <c:pt idx="117">
                <c:v>118</c:v>
              </c:pt>
              <c:pt idx="118">
                <c:v>119</c:v>
              </c:pt>
              <c:pt idx="119">
                <c:v>120</c:v>
              </c:pt>
              <c:pt idx="120">
                <c:v>121</c:v>
              </c:pt>
              <c:pt idx="121">
                <c:v>122</c:v>
              </c:pt>
              <c:pt idx="122">
                <c:v>123</c:v>
              </c:pt>
              <c:pt idx="123">
                <c:v>124</c:v>
              </c:pt>
              <c:pt idx="124">
                <c:v>125</c:v>
              </c:pt>
              <c:pt idx="125">
                <c:v>126</c:v>
              </c:pt>
              <c:pt idx="126">
                <c:v>127</c:v>
              </c:pt>
              <c:pt idx="127">
                <c:v>128</c:v>
              </c:pt>
              <c:pt idx="128">
                <c:v>129</c:v>
              </c:pt>
              <c:pt idx="129">
                <c:v>130</c:v>
              </c:pt>
              <c:pt idx="130">
                <c:v>131</c:v>
              </c:pt>
              <c:pt idx="131">
                <c:v>132</c:v>
              </c:pt>
              <c:pt idx="132">
                <c:v>133</c:v>
              </c:pt>
              <c:pt idx="133">
                <c:v>134</c:v>
              </c:pt>
              <c:pt idx="134">
                <c:v>135</c:v>
              </c:pt>
              <c:pt idx="135">
                <c:v>136</c:v>
              </c:pt>
            </c:numLit>
          </c:xVal>
          <c:yVal>
            <c:numLit>
              <c:formatCode>General</c:formatCode>
              <c:ptCount val="136"/>
              <c:pt idx="0">
                <c:v>3162.8121999999998</c:v>
              </c:pt>
              <c:pt idx="1">
                <c:v>1478.7066</c:v>
              </c:pt>
              <c:pt idx="2">
                <c:v>290.68</c:v>
              </c:pt>
              <c:pt idx="3">
                <c:v>205.81890000000001</c:v>
              </c:pt>
              <c:pt idx="4">
                <c:v>3540.5491000000002</c:v>
              </c:pt>
              <c:pt idx="5">
                <c:v>117401.54</c:v>
              </c:pt>
              <c:pt idx="6">
                <c:v>328.06920000000002</c:v>
              </c:pt>
              <c:pt idx="7">
                <c:v>2086.6887999999999</c:v>
              </c:pt>
              <c:pt idx="8">
                <c:v>117.0865</c:v>
              </c:pt>
              <c:pt idx="9">
                <c:v>2344.0949000000001</c:v>
              </c:pt>
              <c:pt idx="10">
                <c:v>2363.1176</c:v>
              </c:pt>
              <c:pt idx="11">
                <c:v>259.96980000000002</c:v>
              </c:pt>
              <c:pt idx="12">
                <c:v>265.0127</c:v>
              </c:pt>
              <c:pt idx="13">
                <c:v>2014.3187</c:v>
              </c:pt>
              <c:pt idx="14">
                <c:v>1409.3098</c:v>
              </c:pt>
              <c:pt idx="15">
                <c:v>1016.1319</c:v>
              </c:pt>
              <c:pt idx="16">
                <c:v>6894.6152000000002</c:v>
              </c:pt>
              <c:pt idx="17">
                <c:v>4868.8302000000003</c:v>
              </c:pt>
              <c:pt idx="18">
                <c:v>15390.5118</c:v>
              </c:pt>
              <c:pt idx="19">
                <c:v>304.52499999999998</c:v>
              </c:pt>
              <c:pt idx="20">
                <c:v>748.60599999999999</c:v>
              </c:pt>
              <c:pt idx="21">
                <c:v>28484.287400000001</c:v>
              </c:pt>
              <c:pt idx="22">
                <c:v>2527.3155999999999</c:v>
              </c:pt>
              <c:pt idx="23">
                <c:v>5116.1342000000004</c:v>
              </c:pt>
              <c:pt idx="24">
                <c:v>1106.0070000000001</c:v>
              </c:pt>
              <c:pt idx="25">
                <c:v>3579.8489</c:v>
              </c:pt>
              <c:pt idx="26">
                <c:v>2165.1192999999998</c:v>
              </c:pt>
              <c:pt idx="27">
                <c:v>2781.2797</c:v>
              </c:pt>
              <c:pt idx="28">
                <c:v>2584.7898</c:v>
              </c:pt>
              <c:pt idx="29">
                <c:v>17761.393199999999</c:v>
              </c:pt>
              <c:pt idx="30">
                <c:v>12773.614</c:v>
              </c:pt>
              <c:pt idx="31">
                <c:v>1234.2756999999999</c:v>
              </c:pt>
              <c:pt idx="32">
                <c:v>1444.5420999999999</c:v>
              </c:pt>
              <c:pt idx="33">
                <c:v>268.75810000000001</c:v>
              </c:pt>
              <c:pt idx="34">
                <c:v>12991.4501</c:v>
              </c:pt>
              <c:pt idx="35">
                <c:v>14433.059600000001</c:v>
              </c:pt>
              <c:pt idx="36">
                <c:v>1642.0148999999999</c:v>
              </c:pt>
              <c:pt idx="37">
                <c:v>2249.4695999999999</c:v>
              </c:pt>
              <c:pt idx="38">
                <c:v>14085.412700000001</c:v>
              </c:pt>
              <c:pt idx="39">
                <c:v>2710.8598999999999</c:v>
              </c:pt>
              <c:pt idx="40">
                <c:v>3256.0626999999999</c:v>
              </c:pt>
              <c:pt idx="41">
                <c:v>877.18060000000003</c:v>
              </c:pt>
              <c:pt idx="42">
                <c:v>2121.9027000000001</c:v>
              </c:pt>
              <c:pt idx="43">
                <c:v>151.4391</c:v>
              </c:pt>
              <c:pt idx="44">
                <c:v>2399.3838999999998</c:v>
              </c:pt>
              <c:pt idx="45">
                <c:v>1157.5277000000001</c:v>
              </c:pt>
              <c:pt idx="46">
                <c:v>9553.6566000000003</c:v>
              </c:pt>
              <c:pt idx="47">
                <c:v>25857.610499999999</c:v>
              </c:pt>
              <c:pt idx="48">
                <c:v>2277.1129999999998</c:v>
              </c:pt>
              <c:pt idx="49">
                <c:v>198.11580000000001</c:v>
              </c:pt>
              <c:pt idx="50">
                <c:v>2538.9832999999999</c:v>
              </c:pt>
              <c:pt idx="51">
                <c:v>1455.3159000000001</c:v>
              </c:pt>
              <c:pt idx="52">
                <c:v>498.00700000000001</c:v>
              </c:pt>
              <c:pt idx="53">
                <c:v>3196.73</c:v>
              </c:pt>
              <c:pt idx="54">
                <c:v>2066.1927000000001</c:v>
              </c:pt>
              <c:pt idx="55">
                <c:v>949.03020000000004</c:v>
              </c:pt>
              <c:pt idx="56">
                <c:v>12362.801600000001</c:v>
              </c:pt>
              <c:pt idx="57">
                <c:v>751.91750000000002</c:v>
              </c:pt>
              <c:pt idx="58">
                <c:v>194.5496</c:v>
              </c:pt>
              <c:pt idx="59">
                <c:v>6390.3563999999997</c:v>
              </c:pt>
              <c:pt idx="60">
                <c:v>1375.7365</c:v>
              </c:pt>
              <c:pt idx="61">
                <c:v>4738.1673000000001</c:v>
              </c:pt>
              <c:pt idx="62">
                <c:v>1544.9141</c:v>
              </c:pt>
              <c:pt idx="63">
                <c:v>2404.9515999999999</c:v>
              </c:pt>
              <c:pt idx="64">
                <c:v>1011.2338999999999</c:v>
              </c:pt>
              <c:pt idx="65">
                <c:v>52287.719499999999</c:v>
              </c:pt>
              <c:pt idx="66">
                <c:v>4272.2191999999995</c:v>
              </c:pt>
              <c:pt idx="67">
                <c:v>1563.4879000000001</c:v>
              </c:pt>
              <c:pt idx="68">
                <c:v>1214.4014</c:v>
              </c:pt>
              <c:pt idx="69">
                <c:v>4064.2968000000001</c:v>
              </c:pt>
              <c:pt idx="70">
                <c:v>374.9058</c:v>
              </c:pt>
              <c:pt idx="71">
                <c:v>2833.0971</c:v>
              </c:pt>
              <c:pt idx="72">
                <c:v>3220.2809999999999</c:v>
              </c:pt>
              <c:pt idx="73">
                <c:v>4083.6496999999999</c:v>
              </c:pt>
              <c:pt idx="74">
                <c:v>759109.37990000006</c:v>
              </c:pt>
              <c:pt idx="75">
                <c:v>719.44939999999997</c:v>
              </c:pt>
              <c:pt idx="76">
                <c:v>1905.4384</c:v>
              </c:pt>
              <c:pt idx="77">
                <c:v>1454.999</c:v>
              </c:pt>
              <c:pt idx="78">
                <c:v>305.15159999999997</c:v>
              </c:pt>
              <c:pt idx="79">
                <c:v>343.18979999999999</c:v>
              </c:pt>
              <c:pt idx="80">
                <c:v>471.51530000000002</c:v>
              </c:pt>
              <c:pt idx="81">
                <c:v>759.31349999999998</c:v>
              </c:pt>
              <c:pt idx="82">
                <c:v>4436.8191999999999</c:v>
              </c:pt>
              <c:pt idx="83">
                <c:v>6727.3046000000004</c:v>
              </c:pt>
              <c:pt idx="84">
                <c:v>6236.2366000000002</c:v>
              </c:pt>
              <c:pt idx="85">
                <c:v>5590.6315999999997</c:v>
              </c:pt>
              <c:pt idx="86">
                <c:v>599.29819999999995</c:v>
              </c:pt>
              <c:pt idx="87">
                <c:v>11155.011</c:v>
              </c:pt>
              <c:pt idx="88">
                <c:v>124.41030000000001</c:v>
              </c:pt>
              <c:pt idx="89">
                <c:v>178833.2904</c:v>
              </c:pt>
              <c:pt idx="90">
                <c:v>7407.2659999999996</c:v>
              </c:pt>
              <c:pt idx="91">
                <c:v>3202.2395999999999</c:v>
              </c:pt>
              <c:pt idx="92">
                <c:v>3887.6603</c:v>
              </c:pt>
              <c:pt idx="93">
                <c:v>4485.9957999999997</c:v>
              </c:pt>
              <c:pt idx="94">
                <c:v>1403.5246</c:v>
              </c:pt>
              <c:pt idx="95">
                <c:v>5177.2318999999998</c:v>
              </c:pt>
              <c:pt idx="96">
                <c:v>1209.0925</c:v>
              </c:pt>
              <c:pt idx="97">
                <c:v>10635.886500000001</c:v>
              </c:pt>
              <c:pt idx="98">
                <c:v>2059.2656000000002</c:v>
              </c:pt>
              <c:pt idx="99">
                <c:v>684.58810000000005</c:v>
              </c:pt>
              <c:pt idx="100">
                <c:v>2532.3746999999998</c:v>
              </c:pt>
              <c:pt idx="101">
                <c:v>1443.3649</c:v>
              </c:pt>
              <c:pt idx="102">
                <c:v>5264.8521000000001</c:v>
              </c:pt>
              <c:pt idx="103">
                <c:v>19172.8344</c:v>
              </c:pt>
              <c:pt idx="104">
                <c:v>5688.8769000000002</c:v>
              </c:pt>
              <c:pt idx="105">
                <c:v>103894.19990000001</c:v>
              </c:pt>
              <c:pt idx="106">
                <c:v>1118.7239</c:v>
              </c:pt>
              <c:pt idx="107">
                <c:v>1346.6967</c:v>
              </c:pt>
              <c:pt idx="108">
                <c:v>30069.100900000001</c:v>
              </c:pt>
              <c:pt idx="109">
                <c:v>11763.517900000001</c:v>
              </c:pt>
              <c:pt idx="110">
                <c:v>388.22890000000001</c:v>
              </c:pt>
              <c:pt idx="111">
                <c:v>2499.6136000000001</c:v>
              </c:pt>
              <c:pt idx="112">
                <c:v>12778.339900000001</c:v>
              </c:pt>
              <c:pt idx="113">
                <c:v>1335.0657000000001</c:v>
              </c:pt>
              <c:pt idx="114">
                <c:v>18277.499500000002</c:v>
              </c:pt>
              <c:pt idx="115">
                <c:v>14628.111500000001</c:v>
              </c:pt>
              <c:pt idx="116">
                <c:v>13254.6572</c:v>
              </c:pt>
              <c:pt idx="117">
                <c:v>7440.2691999999997</c:v>
              </c:pt>
              <c:pt idx="118">
                <c:v>1708.3059000000001</c:v>
              </c:pt>
              <c:pt idx="119">
                <c:v>2961.8824</c:v>
              </c:pt>
              <c:pt idx="120">
                <c:v>1498.6233999999999</c:v>
              </c:pt>
              <c:pt idx="121">
                <c:v>11310.248799999999</c:v>
              </c:pt>
              <c:pt idx="122">
                <c:v>6079.7704000000003</c:v>
              </c:pt>
              <c:pt idx="123">
                <c:v>11136.6034</c:v>
              </c:pt>
              <c:pt idx="124">
                <c:v>8730.4277999999995</c:v>
              </c:pt>
              <c:pt idx="125">
                <c:v>789.97940000000006</c:v>
              </c:pt>
              <c:pt idx="126">
                <c:v>1637.1987999999999</c:v>
              </c:pt>
              <c:pt idx="127">
                <c:v>11492.5267</c:v>
              </c:pt>
              <c:pt idx="128">
                <c:v>49272.508399999999</c:v>
              </c:pt>
              <c:pt idx="129">
                <c:v>4154.2816999999995</c:v>
              </c:pt>
              <c:pt idx="130">
                <c:v>25456.8783</c:v>
              </c:pt>
              <c:pt idx="131">
                <c:v>1360.3652</c:v>
              </c:pt>
              <c:pt idx="132">
                <c:v>1797.1029000000001</c:v>
              </c:pt>
              <c:pt idx="133">
                <c:v>5616.1094999999996</c:v>
              </c:pt>
              <c:pt idx="134">
                <c:v>2858.7084</c:v>
              </c:pt>
              <c:pt idx="135">
                <c:v>2202.7654000000002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041D-4DB2-BF33-AACDE541852E}"/>
            </c:ext>
          </c:extLst>
        </c:ser>
        <c:ser>
          <c:idx val="1"/>
          <c:order val="1"/>
          <c:tx>
            <c:v>Predicted</c:v>
          </c:tx>
          <c:spPr>
            <a:ln w="9525">
              <a:solidFill>
                <a:srgbClr val="FF0000"/>
              </a:solidFill>
              <a:prstDash val="sysDash"/>
            </a:ln>
          </c:spPr>
          <c:marker>
            <c:symbol val="circle"/>
            <c:size val="6"/>
            <c:spPr>
              <a:noFill/>
              <a:ln w="9525">
                <a:solidFill>
                  <a:srgbClr val="FF0000"/>
                </a:solidFill>
                <a:prstDash val="solid"/>
              </a:ln>
            </c:spPr>
          </c:marker>
          <c:xVal>
            <c:numLit>
              <c:formatCode>General</c:formatCode>
              <c:ptCount val="13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  <c:pt idx="31">
                <c:v>32</c:v>
              </c:pt>
              <c:pt idx="32">
                <c:v>33</c:v>
              </c:pt>
              <c:pt idx="33">
                <c:v>34</c:v>
              </c:pt>
              <c:pt idx="34">
                <c:v>35</c:v>
              </c:pt>
              <c:pt idx="35">
                <c:v>36</c:v>
              </c:pt>
              <c:pt idx="36">
                <c:v>37</c:v>
              </c:pt>
              <c:pt idx="37">
                <c:v>38</c:v>
              </c:pt>
              <c:pt idx="38">
                <c:v>39</c:v>
              </c:pt>
              <c:pt idx="39">
                <c:v>40</c:v>
              </c:pt>
              <c:pt idx="40">
                <c:v>41</c:v>
              </c:pt>
              <c:pt idx="41">
                <c:v>42</c:v>
              </c:pt>
              <c:pt idx="42">
                <c:v>43</c:v>
              </c:pt>
              <c:pt idx="43">
                <c:v>44</c:v>
              </c:pt>
              <c:pt idx="44">
                <c:v>45</c:v>
              </c:pt>
              <c:pt idx="45">
                <c:v>46</c:v>
              </c:pt>
              <c:pt idx="46">
                <c:v>47</c:v>
              </c:pt>
              <c:pt idx="47">
                <c:v>48</c:v>
              </c:pt>
              <c:pt idx="48">
                <c:v>49</c:v>
              </c:pt>
              <c:pt idx="49">
                <c:v>50</c:v>
              </c:pt>
              <c:pt idx="50">
                <c:v>51</c:v>
              </c:pt>
              <c:pt idx="51">
                <c:v>52</c:v>
              </c:pt>
              <c:pt idx="52">
                <c:v>53</c:v>
              </c:pt>
              <c:pt idx="53">
                <c:v>54</c:v>
              </c:pt>
              <c:pt idx="54">
                <c:v>55</c:v>
              </c:pt>
              <c:pt idx="55">
                <c:v>56</c:v>
              </c:pt>
              <c:pt idx="56">
                <c:v>57</c:v>
              </c:pt>
              <c:pt idx="57">
                <c:v>58</c:v>
              </c:pt>
              <c:pt idx="58">
                <c:v>59</c:v>
              </c:pt>
              <c:pt idx="59">
                <c:v>60</c:v>
              </c:pt>
              <c:pt idx="60">
                <c:v>61</c:v>
              </c:pt>
              <c:pt idx="61">
                <c:v>62</c:v>
              </c:pt>
              <c:pt idx="62">
                <c:v>63</c:v>
              </c:pt>
              <c:pt idx="63">
                <c:v>64</c:v>
              </c:pt>
              <c:pt idx="64">
                <c:v>65</c:v>
              </c:pt>
              <c:pt idx="65">
                <c:v>66</c:v>
              </c:pt>
              <c:pt idx="66">
                <c:v>67</c:v>
              </c:pt>
              <c:pt idx="67">
                <c:v>68</c:v>
              </c:pt>
              <c:pt idx="68">
                <c:v>69</c:v>
              </c:pt>
              <c:pt idx="69">
                <c:v>70</c:v>
              </c:pt>
              <c:pt idx="70">
                <c:v>71</c:v>
              </c:pt>
              <c:pt idx="71">
                <c:v>72</c:v>
              </c:pt>
              <c:pt idx="72">
                <c:v>73</c:v>
              </c:pt>
              <c:pt idx="73">
                <c:v>74</c:v>
              </c:pt>
              <c:pt idx="74">
                <c:v>75</c:v>
              </c:pt>
              <c:pt idx="75">
                <c:v>76</c:v>
              </c:pt>
              <c:pt idx="76">
                <c:v>77</c:v>
              </c:pt>
              <c:pt idx="77">
                <c:v>78</c:v>
              </c:pt>
              <c:pt idx="78">
                <c:v>79</c:v>
              </c:pt>
              <c:pt idx="79">
                <c:v>80</c:v>
              </c:pt>
              <c:pt idx="80">
                <c:v>81</c:v>
              </c:pt>
              <c:pt idx="81">
                <c:v>82</c:v>
              </c:pt>
              <c:pt idx="82">
                <c:v>83</c:v>
              </c:pt>
              <c:pt idx="83">
                <c:v>84</c:v>
              </c:pt>
              <c:pt idx="84">
                <c:v>85</c:v>
              </c:pt>
              <c:pt idx="85">
                <c:v>86</c:v>
              </c:pt>
              <c:pt idx="86">
                <c:v>87</c:v>
              </c:pt>
              <c:pt idx="87">
                <c:v>88</c:v>
              </c:pt>
              <c:pt idx="88">
                <c:v>89</c:v>
              </c:pt>
              <c:pt idx="89">
                <c:v>90</c:v>
              </c:pt>
              <c:pt idx="90">
                <c:v>91</c:v>
              </c:pt>
              <c:pt idx="91">
                <c:v>92</c:v>
              </c:pt>
              <c:pt idx="92">
                <c:v>93</c:v>
              </c:pt>
              <c:pt idx="93">
                <c:v>94</c:v>
              </c:pt>
              <c:pt idx="94">
                <c:v>95</c:v>
              </c:pt>
              <c:pt idx="95">
                <c:v>96</c:v>
              </c:pt>
              <c:pt idx="96">
                <c:v>97</c:v>
              </c:pt>
              <c:pt idx="97">
                <c:v>98</c:v>
              </c:pt>
              <c:pt idx="98">
                <c:v>99</c:v>
              </c:pt>
              <c:pt idx="99">
                <c:v>100</c:v>
              </c:pt>
              <c:pt idx="100">
                <c:v>101</c:v>
              </c:pt>
              <c:pt idx="101">
                <c:v>102</c:v>
              </c:pt>
              <c:pt idx="102">
                <c:v>103</c:v>
              </c:pt>
              <c:pt idx="103">
                <c:v>104</c:v>
              </c:pt>
              <c:pt idx="104">
                <c:v>105</c:v>
              </c:pt>
              <c:pt idx="105">
                <c:v>106</c:v>
              </c:pt>
              <c:pt idx="106">
                <c:v>107</c:v>
              </c:pt>
              <c:pt idx="107">
                <c:v>108</c:v>
              </c:pt>
              <c:pt idx="108">
                <c:v>109</c:v>
              </c:pt>
              <c:pt idx="109">
                <c:v>110</c:v>
              </c:pt>
              <c:pt idx="110">
                <c:v>111</c:v>
              </c:pt>
              <c:pt idx="111">
                <c:v>112</c:v>
              </c:pt>
              <c:pt idx="112">
                <c:v>113</c:v>
              </c:pt>
              <c:pt idx="113">
                <c:v>114</c:v>
              </c:pt>
              <c:pt idx="114">
                <c:v>115</c:v>
              </c:pt>
              <c:pt idx="115">
                <c:v>116</c:v>
              </c:pt>
              <c:pt idx="116">
                <c:v>117</c:v>
              </c:pt>
              <c:pt idx="117">
                <c:v>118</c:v>
              </c:pt>
              <c:pt idx="118">
                <c:v>119</c:v>
              </c:pt>
              <c:pt idx="119">
                <c:v>120</c:v>
              </c:pt>
              <c:pt idx="120">
                <c:v>121</c:v>
              </c:pt>
              <c:pt idx="121">
                <c:v>122</c:v>
              </c:pt>
              <c:pt idx="122">
                <c:v>123</c:v>
              </c:pt>
              <c:pt idx="123">
                <c:v>124</c:v>
              </c:pt>
              <c:pt idx="124">
                <c:v>125</c:v>
              </c:pt>
              <c:pt idx="125">
                <c:v>126</c:v>
              </c:pt>
              <c:pt idx="126">
                <c:v>127</c:v>
              </c:pt>
              <c:pt idx="127">
                <c:v>128</c:v>
              </c:pt>
              <c:pt idx="128">
                <c:v>129</c:v>
              </c:pt>
              <c:pt idx="129">
                <c:v>130</c:v>
              </c:pt>
              <c:pt idx="130">
                <c:v>131</c:v>
              </c:pt>
              <c:pt idx="131">
                <c:v>132</c:v>
              </c:pt>
              <c:pt idx="132">
                <c:v>133</c:v>
              </c:pt>
              <c:pt idx="133">
                <c:v>134</c:v>
              </c:pt>
              <c:pt idx="134">
                <c:v>135</c:v>
              </c:pt>
              <c:pt idx="135">
                <c:v>136</c:v>
              </c:pt>
            </c:numLit>
          </c:xVal>
          <c:yVal>
            <c:numLit>
              <c:formatCode>General</c:formatCode>
              <c:ptCount val="136"/>
              <c:pt idx="0">
                <c:v>2403.1325963623021</c:v>
              </c:pt>
              <c:pt idx="1">
                <c:v>2155.5320403722271</c:v>
              </c:pt>
              <c:pt idx="2">
                <c:v>1245.617847912509</c:v>
              </c:pt>
              <c:pt idx="3">
                <c:v>-504.79826437939437</c:v>
              </c:pt>
              <c:pt idx="4">
                <c:v>8796.2492149644913</c:v>
              </c:pt>
              <c:pt idx="5">
                <c:v>42869.458971451335</c:v>
              </c:pt>
              <c:pt idx="6">
                <c:v>375.55535302464887</c:v>
              </c:pt>
              <c:pt idx="7">
                <c:v>2157.7875755209716</c:v>
              </c:pt>
              <c:pt idx="8">
                <c:v>-102.97122316379841</c:v>
              </c:pt>
              <c:pt idx="9">
                <c:v>2810.1834134486717</c:v>
              </c:pt>
              <c:pt idx="10">
                <c:v>454.09191536935441</c:v>
              </c:pt>
              <c:pt idx="11">
                <c:v>-106.31163142740706</c:v>
              </c:pt>
              <c:pt idx="12">
                <c:v>51.418272899627254</c:v>
              </c:pt>
              <c:pt idx="13">
                <c:v>413.01730499088421</c:v>
              </c:pt>
              <c:pt idx="14">
                <c:v>1559.4944538974576</c:v>
              </c:pt>
              <c:pt idx="15">
                <c:v>1296.0525897387572</c:v>
              </c:pt>
              <c:pt idx="16">
                <c:v>829.77773980793768</c:v>
              </c:pt>
              <c:pt idx="17">
                <c:v>11298.54500264827</c:v>
              </c:pt>
              <c:pt idx="18">
                <c:v>7507.7541861803529</c:v>
              </c:pt>
              <c:pt idx="19">
                <c:v>-540.66057569911902</c:v>
              </c:pt>
              <c:pt idx="20">
                <c:v>-388.34465488652154</c:v>
              </c:pt>
              <c:pt idx="21">
                <c:v>20534.182972705144</c:v>
              </c:pt>
              <c:pt idx="22">
                <c:v>1541.7023123711645</c:v>
              </c:pt>
              <c:pt idx="23">
                <c:v>4228.1939859376826</c:v>
              </c:pt>
              <c:pt idx="24">
                <c:v>2193.6656893763602</c:v>
              </c:pt>
              <c:pt idx="25">
                <c:v>7329.8241761987101</c:v>
              </c:pt>
              <c:pt idx="26">
                <c:v>1007.2294364829502</c:v>
              </c:pt>
              <c:pt idx="27">
                <c:v>3062.428280934635</c:v>
              </c:pt>
              <c:pt idx="28">
                <c:v>5806.5681609132416</c:v>
              </c:pt>
              <c:pt idx="29">
                <c:v>21423.736533682746</c:v>
              </c:pt>
              <c:pt idx="30">
                <c:v>11690.530943789297</c:v>
              </c:pt>
              <c:pt idx="31">
                <c:v>1266.7126276638653</c:v>
              </c:pt>
              <c:pt idx="32">
                <c:v>968.4999808076434</c:v>
              </c:pt>
              <c:pt idx="33">
                <c:v>141.71030281767003</c:v>
              </c:pt>
              <c:pt idx="34">
                <c:v>5198.4383851198181</c:v>
              </c:pt>
              <c:pt idx="35">
                <c:v>16186.8449637095</c:v>
              </c:pt>
              <c:pt idx="36">
                <c:v>5277.9884382939126</c:v>
              </c:pt>
              <c:pt idx="37">
                <c:v>5164.6771849655042</c:v>
              </c:pt>
              <c:pt idx="38">
                <c:v>16186.045400713225</c:v>
              </c:pt>
              <c:pt idx="39">
                <c:v>4183.3860046844438</c:v>
              </c:pt>
              <c:pt idx="40">
                <c:v>1602.3862293860623</c:v>
              </c:pt>
              <c:pt idx="41">
                <c:v>-848.16386302295268</c:v>
              </c:pt>
              <c:pt idx="42">
                <c:v>1203.5825597792229</c:v>
              </c:pt>
              <c:pt idx="43">
                <c:v>-659.96218269292058</c:v>
              </c:pt>
              <c:pt idx="44">
                <c:v>654.05523403290522</c:v>
              </c:pt>
              <c:pt idx="45">
                <c:v>1853.4503338967768</c:v>
              </c:pt>
              <c:pt idx="46">
                <c:v>10440.802089155117</c:v>
              </c:pt>
              <c:pt idx="47">
                <c:v>37453.284584003872</c:v>
              </c:pt>
              <c:pt idx="48">
                <c:v>2184.9611830418489</c:v>
              </c:pt>
              <c:pt idx="49">
                <c:v>-488.70149499584682</c:v>
              </c:pt>
              <c:pt idx="50">
                <c:v>3414.4080820998079</c:v>
              </c:pt>
              <c:pt idx="51">
                <c:v>432.66454495892071</c:v>
              </c:pt>
              <c:pt idx="52">
                <c:v>-821.29751507946708</c:v>
              </c:pt>
              <c:pt idx="53">
                <c:v>9167.0719248513815</c:v>
              </c:pt>
              <c:pt idx="54">
                <c:v>1404.3512655215534</c:v>
              </c:pt>
              <c:pt idx="55">
                <c:v>2370.5542013729546</c:v>
              </c:pt>
              <c:pt idx="56">
                <c:v>13326.4286912842</c:v>
              </c:pt>
              <c:pt idx="57">
                <c:v>3438.6201387479505</c:v>
              </c:pt>
              <c:pt idx="58">
                <c:v>-347.79880325896193</c:v>
              </c:pt>
              <c:pt idx="59">
                <c:v>6684.4132984781991</c:v>
              </c:pt>
              <c:pt idx="60">
                <c:v>3908.9596289498195</c:v>
              </c:pt>
              <c:pt idx="61">
                <c:v>3403.7020059874885</c:v>
              </c:pt>
              <c:pt idx="62">
                <c:v>2124.8720851809021</c:v>
              </c:pt>
              <c:pt idx="63">
                <c:v>2935.355882647943</c:v>
              </c:pt>
              <c:pt idx="64">
                <c:v>1252.0250739281148</c:v>
              </c:pt>
              <c:pt idx="65">
                <c:v>35106.646792252119</c:v>
              </c:pt>
              <c:pt idx="66">
                <c:v>5186.5941247975134</c:v>
              </c:pt>
              <c:pt idx="67">
                <c:v>-14.82887567116336</c:v>
              </c:pt>
              <c:pt idx="68">
                <c:v>1136.8120494463744</c:v>
              </c:pt>
              <c:pt idx="69">
                <c:v>5864.3156963632919</c:v>
              </c:pt>
              <c:pt idx="70">
                <c:v>2365.7005766572865</c:v>
              </c:pt>
              <c:pt idx="71">
                <c:v>3929.9352288992395</c:v>
              </c:pt>
              <c:pt idx="72">
                <c:v>2036.8680917016861</c:v>
              </c:pt>
              <c:pt idx="73">
                <c:v>4177.2323162211478</c:v>
              </c:pt>
              <c:pt idx="74">
                <c:v>753862.06700139074</c:v>
              </c:pt>
              <c:pt idx="75">
                <c:v>3250.386106976589</c:v>
              </c:pt>
              <c:pt idx="76">
                <c:v>1591.6932710892936</c:v>
              </c:pt>
              <c:pt idx="77">
                <c:v>1224.8265460887553</c:v>
              </c:pt>
              <c:pt idx="78">
                <c:v>-742.81097278936113</c:v>
              </c:pt>
              <c:pt idx="79">
                <c:v>1056.8061407350367</c:v>
              </c:pt>
              <c:pt idx="80">
                <c:v>825.76418171540354</c:v>
              </c:pt>
              <c:pt idx="81">
                <c:v>738.15022716097496</c:v>
              </c:pt>
              <c:pt idx="82">
                <c:v>2479.788891053704</c:v>
              </c:pt>
              <c:pt idx="83">
                <c:v>19611.651653157533</c:v>
              </c:pt>
              <c:pt idx="84">
                <c:v>14150.80212023666</c:v>
              </c:pt>
              <c:pt idx="85">
                <c:v>3588.62425641147</c:v>
              </c:pt>
              <c:pt idx="86">
                <c:v>765.9642328665409</c:v>
              </c:pt>
              <c:pt idx="87">
                <c:v>19598.905217178984</c:v>
              </c:pt>
              <c:pt idx="88">
                <c:v>642.99798166708001</c:v>
              </c:pt>
              <c:pt idx="89">
                <c:v>204626.99387843258</c:v>
              </c:pt>
              <c:pt idx="90">
                <c:v>1903.3932562498574</c:v>
              </c:pt>
              <c:pt idx="91">
                <c:v>2774.5278525424037</c:v>
              </c:pt>
              <c:pt idx="92">
                <c:v>8245.1006286296306</c:v>
              </c:pt>
              <c:pt idx="93">
                <c:v>6705.9225856086614</c:v>
              </c:pt>
              <c:pt idx="94">
                <c:v>1085.4992429427655</c:v>
              </c:pt>
              <c:pt idx="95">
                <c:v>5619.1874535324687</c:v>
              </c:pt>
              <c:pt idx="96">
                <c:v>1489.8020260484384</c:v>
              </c:pt>
              <c:pt idx="97">
                <c:v>9928.9551352087346</c:v>
              </c:pt>
              <c:pt idx="98">
                <c:v>1690.9248986724322</c:v>
              </c:pt>
              <c:pt idx="99">
                <c:v>2931.9954182401461</c:v>
              </c:pt>
              <c:pt idx="100">
                <c:v>680.120526287026</c:v>
              </c:pt>
              <c:pt idx="101">
                <c:v>1725.4232495082695</c:v>
              </c:pt>
              <c:pt idx="102">
                <c:v>6290.3755603249274</c:v>
              </c:pt>
              <c:pt idx="103">
                <c:v>21470.907639865469</c:v>
              </c:pt>
              <c:pt idx="104">
                <c:v>4722.1687186558511</c:v>
              </c:pt>
              <c:pt idx="105">
                <c:v>107560.63229240621</c:v>
              </c:pt>
              <c:pt idx="106">
                <c:v>5462.0076899727374</c:v>
              </c:pt>
              <c:pt idx="107">
                <c:v>108.55569557397507</c:v>
              </c:pt>
              <c:pt idx="108">
                <c:v>21439.678438905263</c:v>
              </c:pt>
              <c:pt idx="109">
                <c:v>9702.3362463851699</c:v>
              </c:pt>
              <c:pt idx="110">
                <c:v>-822.34030089158296</c:v>
              </c:pt>
              <c:pt idx="111">
                <c:v>397.39620198813441</c:v>
              </c:pt>
              <c:pt idx="112">
                <c:v>15914.146162758825</c:v>
              </c:pt>
              <c:pt idx="113">
                <c:v>1173.1530547249579</c:v>
              </c:pt>
              <c:pt idx="114">
                <c:v>20657.17842511482</c:v>
              </c:pt>
              <c:pt idx="115">
                <c:v>32804.700264701118</c:v>
              </c:pt>
              <c:pt idx="116">
                <c:v>22452.257910284043</c:v>
              </c:pt>
              <c:pt idx="117">
                <c:v>9167.079432430899</c:v>
              </c:pt>
              <c:pt idx="118">
                <c:v>947.92282006773326</c:v>
              </c:pt>
              <c:pt idx="119">
                <c:v>932.74505654725795</c:v>
              </c:pt>
              <c:pt idx="120">
                <c:v>1157.2497342243462</c:v>
              </c:pt>
              <c:pt idx="121">
                <c:v>17929.141876115977</c:v>
              </c:pt>
              <c:pt idx="122">
                <c:v>5760.6531066066791</c:v>
              </c:pt>
              <c:pt idx="123">
                <c:v>7824.3560932778964</c:v>
              </c:pt>
              <c:pt idx="124">
                <c:v>9572.5663291857618</c:v>
              </c:pt>
              <c:pt idx="125">
                <c:v>-100.86252545443608</c:v>
              </c:pt>
              <c:pt idx="126">
                <c:v>1171.4584654040025</c:v>
              </c:pt>
              <c:pt idx="127">
                <c:v>5085.4711432230724</c:v>
              </c:pt>
              <c:pt idx="128">
                <c:v>49090.245185888496</c:v>
              </c:pt>
              <c:pt idx="129">
                <c:v>4076.1894024471185</c:v>
              </c:pt>
              <c:pt idx="130">
                <c:v>26113.369829235835</c:v>
              </c:pt>
              <c:pt idx="131">
                <c:v>1764.8912675308495</c:v>
              </c:pt>
              <c:pt idx="132">
                <c:v>1623.1734112716974</c:v>
              </c:pt>
              <c:pt idx="133">
                <c:v>5252.59026503327</c:v>
              </c:pt>
              <c:pt idx="134">
                <c:v>7572.3371739078502</c:v>
              </c:pt>
              <c:pt idx="135">
                <c:v>1378.9254363210619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041D-4DB2-BF33-AACDE541852E}"/>
            </c:ext>
          </c:extLst>
        </c:ser>
        <c:ser>
          <c:idx val="2"/>
          <c:order val="2"/>
          <c:tx>
            <c:v>Forecast</c:v>
          </c:tx>
          <c:spPr>
            <a:ln w="25400">
              <a:noFill/>
            </a:ln>
          </c:spPr>
          <c:marker>
            <c:symbol val="circle"/>
            <c:size val="7"/>
            <c:spPr>
              <a:solidFill>
                <a:srgbClr val="FF9999"/>
              </a:solidFill>
              <a:ln w="12700">
                <a:solidFill>
                  <a:srgbClr val="FF0000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'Model 12'!$CG$45</c:f>
              </c:numRef>
            </c:plus>
            <c:minus>
              <c:numRef>
                <c:f>'Model 12'!$CG$45</c:f>
              </c:numRef>
            </c:minus>
          </c:errBars>
          <c:xVal>
            <c:numRef>
              <c:f>'Model 12'!$A$45:$A$45</c:f>
            </c:numRef>
          </c:xVal>
          <c:yVal>
            <c:numRef>
              <c:f>'Model 12'!$B$45:$B$45</c:f>
            </c:numRef>
          </c:yVal>
          <c:smooth val="0"/>
          <c:extLst>
            <c:ext xmlns:c16="http://schemas.microsoft.com/office/drawing/2014/chart" uri="{C3380CC4-5D6E-409C-BE32-E72D297353CC}">
              <c16:uniqueId val="{00000002-041D-4DB2-BF33-AACDE5418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271400"/>
        <c:axId val="726271792"/>
      </c:scatterChart>
      <c:valAx>
        <c:axId val="726271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26271792"/>
        <c:crossesAt val="-100000"/>
        <c:crossBetween val="midCat"/>
      </c:valAx>
      <c:valAx>
        <c:axId val="72627179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26271400"/>
        <c:crossesAt val="0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3F3"/>
    </a:solidFill>
    <a:ln w="6350">
      <a:solidFill>
        <a:srgbClr val="808080"/>
      </a:solidFill>
      <a:prstDash val="solid"/>
    </a:ln>
  </c:spPr>
  <c:txPr>
    <a:bodyPr/>
    <a:lstStyle/>
    <a:p>
      <a:pPr>
        <a:defRPr sz="1000">
          <a:latin typeface="+mn-lt"/>
          <a:ea typeface="+mn-lt"/>
          <a:cs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Observation #
</a:t>
            </a:r>
            <a:r>
              <a:rPr lang="en-US" sz="1000"/>
              <a:t>Model 12 for EV    (3 variables, n=136)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Actual</c:v>
          </c:tx>
          <c:spPr>
            <a:solidFill>
              <a:srgbClr val="0000FF"/>
            </a:solidFill>
            <a:ln w="3175">
              <a:solidFill>
                <a:srgbClr val="0000FF"/>
              </a:solidFill>
              <a:prstDash val="solid"/>
            </a:ln>
            <a:effectLst/>
          </c:spPr>
          <c:invertIfNegative val="0"/>
          <c:trendline>
            <c:spPr>
              <a:ln w="12700">
                <a:solidFill>
                  <a:srgbClr val="FF0000"/>
                </a:solidFill>
                <a:prstDash val="sysDash"/>
              </a:ln>
            </c:spPr>
            <c:trendlineType val="linear"/>
            <c:dispRSqr val="0"/>
            <c:dispEq val="0"/>
          </c:trendline>
          <c:cat>
            <c:numLit>
              <c:formatCode>General</c:formatCode>
              <c:ptCount val="13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  <c:pt idx="31">
                <c:v>32</c:v>
              </c:pt>
              <c:pt idx="32">
                <c:v>33</c:v>
              </c:pt>
              <c:pt idx="33">
                <c:v>34</c:v>
              </c:pt>
              <c:pt idx="34">
                <c:v>35</c:v>
              </c:pt>
              <c:pt idx="35">
                <c:v>36</c:v>
              </c:pt>
              <c:pt idx="36">
                <c:v>37</c:v>
              </c:pt>
              <c:pt idx="37">
                <c:v>38</c:v>
              </c:pt>
              <c:pt idx="38">
                <c:v>39</c:v>
              </c:pt>
              <c:pt idx="39">
                <c:v>40</c:v>
              </c:pt>
              <c:pt idx="40">
                <c:v>41</c:v>
              </c:pt>
              <c:pt idx="41">
                <c:v>42</c:v>
              </c:pt>
              <c:pt idx="42">
                <c:v>43</c:v>
              </c:pt>
              <c:pt idx="43">
                <c:v>44</c:v>
              </c:pt>
              <c:pt idx="44">
                <c:v>45</c:v>
              </c:pt>
              <c:pt idx="45">
                <c:v>46</c:v>
              </c:pt>
              <c:pt idx="46">
                <c:v>47</c:v>
              </c:pt>
              <c:pt idx="47">
                <c:v>48</c:v>
              </c:pt>
              <c:pt idx="48">
                <c:v>49</c:v>
              </c:pt>
              <c:pt idx="49">
                <c:v>50</c:v>
              </c:pt>
              <c:pt idx="50">
                <c:v>51</c:v>
              </c:pt>
              <c:pt idx="51">
                <c:v>52</c:v>
              </c:pt>
              <c:pt idx="52">
                <c:v>53</c:v>
              </c:pt>
              <c:pt idx="53">
                <c:v>54</c:v>
              </c:pt>
              <c:pt idx="54">
                <c:v>55</c:v>
              </c:pt>
              <c:pt idx="55">
                <c:v>56</c:v>
              </c:pt>
              <c:pt idx="56">
                <c:v>57</c:v>
              </c:pt>
              <c:pt idx="57">
                <c:v>58</c:v>
              </c:pt>
              <c:pt idx="58">
                <c:v>59</c:v>
              </c:pt>
              <c:pt idx="59">
                <c:v>60</c:v>
              </c:pt>
              <c:pt idx="60">
                <c:v>61</c:v>
              </c:pt>
              <c:pt idx="61">
                <c:v>62</c:v>
              </c:pt>
              <c:pt idx="62">
                <c:v>63</c:v>
              </c:pt>
              <c:pt idx="63">
                <c:v>64</c:v>
              </c:pt>
              <c:pt idx="64">
                <c:v>65</c:v>
              </c:pt>
              <c:pt idx="65">
                <c:v>66</c:v>
              </c:pt>
              <c:pt idx="66">
                <c:v>67</c:v>
              </c:pt>
              <c:pt idx="67">
                <c:v>68</c:v>
              </c:pt>
              <c:pt idx="68">
                <c:v>69</c:v>
              </c:pt>
              <c:pt idx="69">
                <c:v>70</c:v>
              </c:pt>
              <c:pt idx="70">
                <c:v>71</c:v>
              </c:pt>
              <c:pt idx="71">
                <c:v>72</c:v>
              </c:pt>
              <c:pt idx="72">
                <c:v>73</c:v>
              </c:pt>
              <c:pt idx="73">
                <c:v>74</c:v>
              </c:pt>
              <c:pt idx="74">
                <c:v>75</c:v>
              </c:pt>
              <c:pt idx="75">
                <c:v>76</c:v>
              </c:pt>
              <c:pt idx="76">
                <c:v>77</c:v>
              </c:pt>
              <c:pt idx="77">
                <c:v>78</c:v>
              </c:pt>
              <c:pt idx="78">
                <c:v>79</c:v>
              </c:pt>
              <c:pt idx="79">
                <c:v>80</c:v>
              </c:pt>
              <c:pt idx="80">
                <c:v>81</c:v>
              </c:pt>
              <c:pt idx="81">
                <c:v>82</c:v>
              </c:pt>
              <c:pt idx="82">
                <c:v>83</c:v>
              </c:pt>
              <c:pt idx="83">
                <c:v>84</c:v>
              </c:pt>
              <c:pt idx="84">
                <c:v>85</c:v>
              </c:pt>
              <c:pt idx="85">
                <c:v>86</c:v>
              </c:pt>
              <c:pt idx="86">
                <c:v>87</c:v>
              </c:pt>
              <c:pt idx="87">
                <c:v>88</c:v>
              </c:pt>
              <c:pt idx="88">
                <c:v>89</c:v>
              </c:pt>
              <c:pt idx="89">
                <c:v>90</c:v>
              </c:pt>
              <c:pt idx="90">
                <c:v>91</c:v>
              </c:pt>
              <c:pt idx="91">
                <c:v>92</c:v>
              </c:pt>
              <c:pt idx="92">
                <c:v>93</c:v>
              </c:pt>
              <c:pt idx="93">
                <c:v>94</c:v>
              </c:pt>
              <c:pt idx="94">
                <c:v>95</c:v>
              </c:pt>
              <c:pt idx="95">
                <c:v>96</c:v>
              </c:pt>
              <c:pt idx="96">
                <c:v>97</c:v>
              </c:pt>
              <c:pt idx="97">
                <c:v>98</c:v>
              </c:pt>
              <c:pt idx="98">
                <c:v>99</c:v>
              </c:pt>
              <c:pt idx="99">
                <c:v>100</c:v>
              </c:pt>
              <c:pt idx="100">
                <c:v>101</c:v>
              </c:pt>
              <c:pt idx="101">
                <c:v>102</c:v>
              </c:pt>
              <c:pt idx="102">
                <c:v>103</c:v>
              </c:pt>
              <c:pt idx="103">
                <c:v>104</c:v>
              </c:pt>
              <c:pt idx="104">
                <c:v>105</c:v>
              </c:pt>
              <c:pt idx="105">
                <c:v>106</c:v>
              </c:pt>
              <c:pt idx="106">
                <c:v>107</c:v>
              </c:pt>
              <c:pt idx="107">
                <c:v>108</c:v>
              </c:pt>
              <c:pt idx="108">
                <c:v>109</c:v>
              </c:pt>
              <c:pt idx="109">
                <c:v>110</c:v>
              </c:pt>
              <c:pt idx="110">
                <c:v>111</c:v>
              </c:pt>
              <c:pt idx="111">
                <c:v>112</c:v>
              </c:pt>
              <c:pt idx="112">
                <c:v>113</c:v>
              </c:pt>
              <c:pt idx="113">
                <c:v>114</c:v>
              </c:pt>
              <c:pt idx="114">
                <c:v>115</c:v>
              </c:pt>
              <c:pt idx="115">
                <c:v>116</c:v>
              </c:pt>
              <c:pt idx="116">
                <c:v>117</c:v>
              </c:pt>
              <c:pt idx="117">
                <c:v>118</c:v>
              </c:pt>
              <c:pt idx="118">
                <c:v>119</c:v>
              </c:pt>
              <c:pt idx="119">
                <c:v>120</c:v>
              </c:pt>
              <c:pt idx="120">
                <c:v>121</c:v>
              </c:pt>
              <c:pt idx="121">
                <c:v>122</c:v>
              </c:pt>
              <c:pt idx="122">
                <c:v>123</c:v>
              </c:pt>
              <c:pt idx="123">
                <c:v>124</c:v>
              </c:pt>
              <c:pt idx="124">
                <c:v>125</c:v>
              </c:pt>
              <c:pt idx="125">
                <c:v>126</c:v>
              </c:pt>
              <c:pt idx="126">
                <c:v>127</c:v>
              </c:pt>
              <c:pt idx="127">
                <c:v>128</c:v>
              </c:pt>
              <c:pt idx="128">
                <c:v>129</c:v>
              </c:pt>
              <c:pt idx="129">
                <c:v>130</c:v>
              </c:pt>
              <c:pt idx="130">
                <c:v>131</c:v>
              </c:pt>
              <c:pt idx="131">
                <c:v>132</c:v>
              </c:pt>
              <c:pt idx="132">
                <c:v>133</c:v>
              </c:pt>
              <c:pt idx="133">
                <c:v>134</c:v>
              </c:pt>
              <c:pt idx="134">
                <c:v>135</c:v>
              </c:pt>
              <c:pt idx="135">
                <c:v>136</c:v>
              </c:pt>
            </c:numLit>
          </c:cat>
          <c:val>
            <c:numLit>
              <c:formatCode>General</c:formatCode>
              <c:ptCount val="136"/>
              <c:pt idx="0">
                <c:v>759.67960363769771</c:v>
              </c:pt>
              <c:pt idx="1">
                <c:v>-676.82544037222715</c:v>
              </c:pt>
              <c:pt idx="2">
                <c:v>-954.93784791250891</c:v>
              </c:pt>
              <c:pt idx="3">
                <c:v>710.61716437939435</c:v>
              </c:pt>
              <c:pt idx="4">
                <c:v>-5255.7001149644911</c:v>
              </c:pt>
              <c:pt idx="5">
                <c:v>74532.081028548651</c:v>
              </c:pt>
              <c:pt idx="6">
                <c:v>-47.486153024648843</c:v>
              </c:pt>
              <c:pt idx="7">
                <c:v>-71.098775520971685</c:v>
              </c:pt>
              <c:pt idx="8">
                <c:v>220.05772316379841</c:v>
              </c:pt>
              <c:pt idx="9">
                <c:v>-466.08851344867162</c:v>
              </c:pt>
              <c:pt idx="10">
                <c:v>1909.0256846306456</c:v>
              </c:pt>
              <c:pt idx="11">
                <c:v>366.28143142740709</c:v>
              </c:pt>
              <c:pt idx="12">
                <c:v>213.59442710037274</c:v>
              </c:pt>
              <c:pt idx="13">
                <c:v>1601.3013950091158</c:v>
              </c:pt>
              <c:pt idx="14">
                <c:v>-150.18465389745757</c:v>
              </c:pt>
              <c:pt idx="15">
                <c:v>-279.92068973875723</c:v>
              </c:pt>
              <c:pt idx="16">
                <c:v>6064.8374601920623</c:v>
              </c:pt>
              <c:pt idx="17">
                <c:v>-6429.7148026482701</c:v>
              </c:pt>
              <c:pt idx="18">
                <c:v>7882.7576138196473</c:v>
              </c:pt>
              <c:pt idx="19">
                <c:v>845.185575699119</c:v>
              </c:pt>
              <c:pt idx="20">
                <c:v>1136.9506548865215</c:v>
              </c:pt>
              <c:pt idx="21">
                <c:v>7950.1044272948566</c:v>
              </c:pt>
              <c:pt idx="22">
                <c:v>985.61328762883545</c:v>
              </c:pt>
              <c:pt idx="23">
                <c:v>887.94021406231786</c:v>
              </c:pt>
              <c:pt idx="24">
                <c:v>-1087.6586893763601</c:v>
              </c:pt>
              <c:pt idx="25">
                <c:v>-3749.9752761987102</c:v>
              </c:pt>
              <c:pt idx="26">
                <c:v>1157.8898635170497</c:v>
              </c:pt>
              <c:pt idx="27">
                <c:v>-281.14858093463499</c:v>
              </c:pt>
              <c:pt idx="28">
                <c:v>-3221.7783609132416</c:v>
              </c:pt>
              <c:pt idx="29">
                <c:v>-3662.3433336827475</c:v>
              </c:pt>
              <c:pt idx="30">
                <c:v>1083.0830562107021</c:v>
              </c:pt>
              <c:pt idx="31">
                <c:v>-32.43692766386539</c:v>
              </c:pt>
              <c:pt idx="32">
                <c:v>476.04211919235649</c:v>
              </c:pt>
              <c:pt idx="33">
                <c:v>127.04779718232999</c:v>
              </c:pt>
              <c:pt idx="34">
                <c:v>7793.0117148801819</c:v>
              </c:pt>
              <c:pt idx="35">
                <c:v>-1753.7853637094995</c:v>
              </c:pt>
              <c:pt idx="36">
                <c:v>-3635.9735382939125</c:v>
              </c:pt>
              <c:pt idx="37">
                <c:v>-2915.2075849655043</c:v>
              </c:pt>
              <c:pt idx="38">
                <c:v>-2100.632700713224</c:v>
              </c:pt>
              <c:pt idx="39">
                <c:v>-1472.5261046844439</c:v>
              </c:pt>
              <c:pt idx="40">
                <c:v>1653.6764706139377</c:v>
              </c:pt>
              <c:pt idx="41">
                <c:v>1725.3444630229528</c:v>
              </c:pt>
              <c:pt idx="42">
                <c:v>918.32014022077715</c:v>
              </c:pt>
              <c:pt idx="43">
                <c:v>811.40128269292063</c:v>
              </c:pt>
              <c:pt idx="44">
                <c:v>1745.3286659670946</c:v>
              </c:pt>
              <c:pt idx="45">
                <c:v>-695.92263389677669</c:v>
              </c:pt>
              <c:pt idx="46">
                <c:v>-887.14548915511659</c:v>
              </c:pt>
              <c:pt idx="47">
                <c:v>-11595.674084003873</c:v>
              </c:pt>
              <c:pt idx="48">
                <c:v>92.151816958150903</c:v>
              </c:pt>
              <c:pt idx="49">
                <c:v>686.81729499584685</c:v>
              </c:pt>
              <c:pt idx="50">
                <c:v>-875.424782099808</c:v>
              </c:pt>
              <c:pt idx="51">
                <c:v>1022.6513550410793</c:v>
              </c:pt>
              <c:pt idx="52">
                <c:v>1319.3045150794671</c:v>
              </c:pt>
              <c:pt idx="53">
                <c:v>-5970.3419248513819</c:v>
              </c:pt>
              <c:pt idx="54">
                <c:v>661.84143447844667</c:v>
              </c:pt>
              <c:pt idx="55">
                <c:v>-1421.5240013729544</c:v>
              </c:pt>
              <c:pt idx="56">
                <c:v>-963.6270912841992</c:v>
              </c:pt>
              <c:pt idx="57">
                <c:v>-2686.7026387479505</c:v>
              </c:pt>
              <c:pt idx="58">
                <c:v>542.34840325896198</c:v>
              </c:pt>
              <c:pt idx="59">
                <c:v>-294.0568984781994</c:v>
              </c:pt>
              <c:pt idx="60">
                <c:v>-2533.2231289498195</c:v>
              </c:pt>
              <c:pt idx="61">
                <c:v>1334.4652940125115</c:v>
              </c:pt>
              <c:pt idx="62">
                <c:v>-579.95798518090214</c:v>
              </c:pt>
              <c:pt idx="63">
                <c:v>-530.40428264794309</c:v>
              </c:pt>
              <c:pt idx="64">
                <c:v>-240.79117392811486</c:v>
              </c:pt>
              <c:pt idx="65">
                <c:v>17181.07270774788</c:v>
              </c:pt>
              <c:pt idx="66">
                <c:v>-914.37492479751381</c:v>
              </c:pt>
              <c:pt idx="67">
                <c:v>1578.3167756711634</c:v>
              </c:pt>
              <c:pt idx="68">
                <c:v>77.589350553625536</c:v>
              </c:pt>
              <c:pt idx="69">
                <c:v>-1800.0188963632918</c:v>
              </c:pt>
              <c:pt idx="70">
                <c:v>-1990.7947766572865</c:v>
              </c:pt>
              <c:pt idx="71">
                <c:v>-1096.8381288992396</c:v>
              </c:pt>
              <c:pt idx="72">
                <c:v>1183.4129082983138</c:v>
              </c:pt>
              <c:pt idx="73">
                <c:v>-93.582616221147873</c:v>
              </c:pt>
              <c:pt idx="74">
                <c:v>5247.3128986093216</c:v>
              </c:pt>
              <c:pt idx="75">
                <c:v>-2530.936706976589</c:v>
              </c:pt>
              <c:pt idx="76">
                <c:v>313.7451289107064</c:v>
              </c:pt>
              <c:pt idx="77">
                <c:v>230.1724539112447</c:v>
              </c:pt>
              <c:pt idx="78">
                <c:v>1047.962572789361</c:v>
              </c:pt>
              <c:pt idx="79">
                <c:v>-713.61634073503672</c:v>
              </c:pt>
              <c:pt idx="80">
                <c:v>-354.24888171540351</c:v>
              </c:pt>
              <c:pt idx="81">
                <c:v>21.163272839025012</c:v>
              </c:pt>
              <c:pt idx="82">
                <c:v>1957.0303089462959</c:v>
              </c:pt>
              <c:pt idx="83">
                <c:v>-12884.347053157533</c:v>
              </c:pt>
              <c:pt idx="84">
                <c:v>-7914.5655202366597</c:v>
              </c:pt>
              <c:pt idx="85">
                <c:v>2002.0073435885297</c:v>
              </c:pt>
              <c:pt idx="86">
                <c:v>-166.66603286654095</c:v>
              </c:pt>
              <c:pt idx="87">
                <c:v>-8443.894217178984</c:v>
              </c:pt>
              <c:pt idx="88">
                <c:v>-518.58768166708001</c:v>
              </c:pt>
              <c:pt idx="89">
                <c:v>-25793.703478432581</c:v>
              </c:pt>
              <c:pt idx="90">
                <c:v>5503.872743750142</c:v>
              </c:pt>
              <c:pt idx="91">
                <c:v>427.71174745759618</c:v>
              </c:pt>
              <c:pt idx="92">
                <c:v>-4357.440328629631</c:v>
              </c:pt>
              <c:pt idx="93">
                <c:v>-2219.9267856086617</c:v>
              </c:pt>
              <c:pt idx="94">
                <c:v>318.02535705723449</c:v>
              </c:pt>
              <c:pt idx="95">
                <c:v>-441.95555353246891</c:v>
              </c:pt>
              <c:pt idx="96">
                <c:v>-280.70952604843842</c:v>
              </c:pt>
              <c:pt idx="97">
                <c:v>706.93136479126588</c:v>
              </c:pt>
              <c:pt idx="98">
                <c:v>368.34070132756801</c:v>
              </c:pt>
              <c:pt idx="99">
                <c:v>-2247.4073182401462</c:v>
              </c:pt>
              <c:pt idx="100">
                <c:v>1852.2541737129739</c:v>
              </c:pt>
              <c:pt idx="101">
                <c:v>-282.05834950826943</c:v>
              </c:pt>
              <c:pt idx="102">
                <c:v>-1025.5234603249273</c:v>
              </c:pt>
              <c:pt idx="103">
                <c:v>-2298.0732398654691</c:v>
              </c:pt>
              <c:pt idx="104">
                <c:v>966.70818134414912</c:v>
              </c:pt>
              <c:pt idx="105">
                <c:v>-3666.4323924062046</c:v>
              </c:pt>
              <c:pt idx="106">
                <c:v>-4343.2837899727374</c:v>
              </c:pt>
              <c:pt idx="107">
                <c:v>1238.1410044260249</c:v>
              </c:pt>
              <c:pt idx="108">
                <c:v>8629.4224610947385</c:v>
              </c:pt>
              <c:pt idx="109">
                <c:v>2061.1816536148308</c:v>
              </c:pt>
              <c:pt idx="110">
                <c:v>1210.569200891583</c:v>
              </c:pt>
              <c:pt idx="111">
                <c:v>2102.217398011866</c:v>
              </c:pt>
              <c:pt idx="112">
                <c:v>-3135.8062627588242</c:v>
              </c:pt>
              <c:pt idx="113">
                <c:v>161.91264527504222</c:v>
              </c:pt>
              <c:pt idx="114">
                <c:v>-2379.6789251148184</c:v>
              </c:pt>
              <c:pt idx="115">
                <c:v>-18176.588764701119</c:v>
              </c:pt>
              <c:pt idx="116">
                <c:v>-9197.6007102840431</c:v>
              </c:pt>
              <c:pt idx="117">
                <c:v>-1726.8102324308993</c:v>
              </c:pt>
              <c:pt idx="118">
                <c:v>760.38307993226681</c:v>
              </c:pt>
              <c:pt idx="119">
                <c:v>2029.137343452742</c:v>
              </c:pt>
              <c:pt idx="120">
                <c:v>341.37366577565376</c:v>
              </c:pt>
              <c:pt idx="121">
                <c:v>-6618.8930761159772</c:v>
              </c:pt>
              <c:pt idx="122">
                <c:v>319.11729339332123</c:v>
              </c:pt>
              <c:pt idx="123">
                <c:v>3312.2473067221035</c:v>
              </c:pt>
              <c:pt idx="124">
                <c:v>-842.13852918576231</c:v>
              </c:pt>
              <c:pt idx="125">
                <c:v>890.84192545443614</c:v>
              </c:pt>
              <c:pt idx="126">
                <c:v>465.74033459599741</c:v>
              </c:pt>
              <c:pt idx="127">
                <c:v>6407.0555567769279</c:v>
              </c:pt>
              <c:pt idx="128">
                <c:v>182.26321411150275</c:v>
              </c:pt>
              <c:pt idx="129">
                <c:v>78.092297552881064</c:v>
              </c:pt>
              <c:pt idx="130">
                <c:v>-656.49152923583461</c:v>
              </c:pt>
              <c:pt idx="131">
                <c:v>-404.52606753084956</c:v>
              </c:pt>
              <c:pt idx="132">
                <c:v>173.92948872830266</c:v>
              </c:pt>
              <c:pt idx="133">
                <c:v>363.51923496672953</c:v>
              </c:pt>
              <c:pt idx="134">
                <c:v>-4713.6287739078507</c:v>
              </c:pt>
              <c:pt idx="135">
                <c:v>823.83996367893837</c:v>
              </c:pt>
            </c:numLit>
          </c:val>
          <c:extLst>
            <c:ext xmlns:c16="http://schemas.microsoft.com/office/drawing/2014/chart" uri="{C3380CC4-5D6E-409C-BE32-E72D297353CC}">
              <c16:uniqueId val="{00000000-2074-46A5-A82C-FF30F7F33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axId val="726272576"/>
        <c:axId val="726272968"/>
      </c:barChart>
      <c:catAx>
        <c:axId val="726272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/>
                </a:pPr>
                <a:r>
                  <a:rPr lang="en-US" sz="900"/>
                  <a:t>Lag 1 autocorrelation = -0.03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txPr>
          <a:bodyPr rot="-5400000" vert="horz"/>
          <a:lstStyle/>
          <a:p>
            <a:pPr>
              <a:defRPr sz="900"/>
            </a:pPr>
            <a:endParaRPr lang="en-US"/>
          </a:p>
        </c:txPr>
        <c:crossAx val="726272968"/>
        <c:crossesAt val="0"/>
        <c:auto val="1"/>
        <c:lblAlgn val="ctr"/>
        <c:lblOffset val="100"/>
        <c:noMultiLvlLbl val="0"/>
      </c:catAx>
      <c:valAx>
        <c:axId val="72627296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26272576"/>
        <c:crosses val="autoZero"/>
        <c:crossBetween val="between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Predicted
</a:t>
            </a:r>
            <a:r>
              <a:rPr lang="en-US" sz="1000"/>
              <a:t>Model 12 for EV    (3 variables, n=136)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36"/>
              <c:pt idx="0">
                <c:v>2403.1325963623021</c:v>
              </c:pt>
              <c:pt idx="1">
                <c:v>2155.5320403722271</c:v>
              </c:pt>
              <c:pt idx="2">
                <c:v>1245.617847912509</c:v>
              </c:pt>
              <c:pt idx="3">
                <c:v>-504.79826437939437</c:v>
              </c:pt>
              <c:pt idx="4">
                <c:v>8796.2492149644913</c:v>
              </c:pt>
              <c:pt idx="5">
                <c:v>42869.458971451335</c:v>
              </c:pt>
              <c:pt idx="6">
                <c:v>375.55535302464887</c:v>
              </c:pt>
              <c:pt idx="7">
                <c:v>2157.7875755209716</c:v>
              </c:pt>
              <c:pt idx="8">
                <c:v>-102.97122316379841</c:v>
              </c:pt>
              <c:pt idx="9">
                <c:v>2810.1834134486717</c:v>
              </c:pt>
              <c:pt idx="10">
                <c:v>454.09191536935441</c:v>
              </c:pt>
              <c:pt idx="11">
                <c:v>-106.31163142740706</c:v>
              </c:pt>
              <c:pt idx="12">
                <c:v>51.418272899627254</c:v>
              </c:pt>
              <c:pt idx="13">
                <c:v>413.01730499088421</c:v>
              </c:pt>
              <c:pt idx="14">
                <c:v>1559.4944538974576</c:v>
              </c:pt>
              <c:pt idx="15">
                <c:v>1296.0525897387572</c:v>
              </c:pt>
              <c:pt idx="16">
                <c:v>829.77773980793768</c:v>
              </c:pt>
              <c:pt idx="17">
                <c:v>11298.54500264827</c:v>
              </c:pt>
              <c:pt idx="18">
                <c:v>7507.7541861803529</c:v>
              </c:pt>
              <c:pt idx="19">
                <c:v>-540.66057569911902</c:v>
              </c:pt>
              <c:pt idx="20">
                <c:v>-388.34465488652154</c:v>
              </c:pt>
              <c:pt idx="21">
                <c:v>20534.182972705144</c:v>
              </c:pt>
              <c:pt idx="22">
                <c:v>1541.7023123711645</c:v>
              </c:pt>
              <c:pt idx="23">
                <c:v>4228.1939859376826</c:v>
              </c:pt>
              <c:pt idx="24">
                <c:v>2193.6656893763602</c:v>
              </c:pt>
              <c:pt idx="25">
                <c:v>7329.8241761987101</c:v>
              </c:pt>
              <c:pt idx="26">
                <c:v>1007.2294364829502</c:v>
              </c:pt>
              <c:pt idx="27">
                <c:v>3062.428280934635</c:v>
              </c:pt>
              <c:pt idx="28">
                <c:v>5806.5681609132416</c:v>
              </c:pt>
              <c:pt idx="29">
                <c:v>21423.736533682746</c:v>
              </c:pt>
              <c:pt idx="30">
                <c:v>11690.530943789297</c:v>
              </c:pt>
              <c:pt idx="31">
                <c:v>1266.7126276638653</c:v>
              </c:pt>
              <c:pt idx="32">
                <c:v>968.4999808076434</c:v>
              </c:pt>
              <c:pt idx="33">
                <c:v>141.71030281767003</c:v>
              </c:pt>
              <c:pt idx="34">
                <c:v>5198.4383851198181</c:v>
              </c:pt>
              <c:pt idx="35">
                <c:v>16186.8449637095</c:v>
              </c:pt>
              <c:pt idx="36">
                <c:v>5277.9884382939126</c:v>
              </c:pt>
              <c:pt idx="37">
                <c:v>5164.6771849655042</c:v>
              </c:pt>
              <c:pt idx="38">
                <c:v>16186.045400713225</c:v>
              </c:pt>
              <c:pt idx="39">
                <c:v>4183.3860046844438</c:v>
              </c:pt>
              <c:pt idx="40">
                <c:v>1602.3862293860623</c:v>
              </c:pt>
              <c:pt idx="41">
                <c:v>-848.16386302295268</c:v>
              </c:pt>
              <c:pt idx="42">
                <c:v>1203.5825597792229</c:v>
              </c:pt>
              <c:pt idx="43">
                <c:v>-659.96218269292058</c:v>
              </c:pt>
              <c:pt idx="44">
                <c:v>654.05523403290522</c:v>
              </c:pt>
              <c:pt idx="45">
                <c:v>1853.4503338967768</c:v>
              </c:pt>
              <c:pt idx="46">
                <c:v>10440.802089155117</c:v>
              </c:pt>
              <c:pt idx="47">
                <c:v>37453.284584003872</c:v>
              </c:pt>
              <c:pt idx="48">
                <c:v>2184.9611830418489</c:v>
              </c:pt>
              <c:pt idx="49">
                <c:v>-488.70149499584682</c:v>
              </c:pt>
              <c:pt idx="50">
                <c:v>3414.4080820998079</c:v>
              </c:pt>
              <c:pt idx="51">
                <c:v>432.66454495892071</c:v>
              </c:pt>
              <c:pt idx="52">
                <c:v>-821.29751507946708</c:v>
              </c:pt>
              <c:pt idx="53">
                <c:v>9167.0719248513815</c:v>
              </c:pt>
              <c:pt idx="54">
                <c:v>1404.3512655215534</c:v>
              </c:pt>
              <c:pt idx="55">
                <c:v>2370.5542013729546</c:v>
              </c:pt>
              <c:pt idx="56">
                <c:v>13326.4286912842</c:v>
              </c:pt>
              <c:pt idx="57">
                <c:v>3438.6201387479505</c:v>
              </c:pt>
              <c:pt idx="58">
                <c:v>-347.79880325896193</c:v>
              </c:pt>
              <c:pt idx="59">
                <c:v>6684.4132984781991</c:v>
              </c:pt>
              <c:pt idx="60">
                <c:v>3908.9596289498195</c:v>
              </c:pt>
              <c:pt idx="61">
                <c:v>3403.7020059874885</c:v>
              </c:pt>
              <c:pt idx="62">
                <c:v>2124.8720851809021</c:v>
              </c:pt>
              <c:pt idx="63">
                <c:v>2935.355882647943</c:v>
              </c:pt>
              <c:pt idx="64">
                <c:v>1252.0250739281148</c:v>
              </c:pt>
              <c:pt idx="65">
                <c:v>35106.646792252119</c:v>
              </c:pt>
              <c:pt idx="66">
                <c:v>5186.5941247975134</c:v>
              </c:pt>
              <c:pt idx="67">
                <c:v>-14.82887567116336</c:v>
              </c:pt>
              <c:pt idx="68">
                <c:v>1136.8120494463744</c:v>
              </c:pt>
              <c:pt idx="69">
                <c:v>5864.3156963632919</c:v>
              </c:pt>
              <c:pt idx="70">
                <c:v>2365.7005766572865</c:v>
              </c:pt>
              <c:pt idx="71">
                <c:v>3929.9352288992395</c:v>
              </c:pt>
              <c:pt idx="72">
                <c:v>2036.8680917016861</c:v>
              </c:pt>
              <c:pt idx="73">
                <c:v>4177.2323162211478</c:v>
              </c:pt>
              <c:pt idx="74">
                <c:v>753862.06700139074</c:v>
              </c:pt>
              <c:pt idx="75">
                <c:v>3250.386106976589</c:v>
              </c:pt>
              <c:pt idx="76">
                <c:v>1591.6932710892936</c:v>
              </c:pt>
              <c:pt idx="77">
                <c:v>1224.8265460887553</c:v>
              </c:pt>
              <c:pt idx="78">
                <c:v>-742.81097278936113</c:v>
              </c:pt>
              <c:pt idx="79">
                <c:v>1056.8061407350367</c:v>
              </c:pt>
              <c:pt idx="80">
                <c:v>825.76418171540354</c:v>
              </c:pt>
              <c:pt idx="81">
                <c:v>738.15022716097496</c:v>
              </c:pt>
              <c:pt idx="82">
                <c:v>2479.788891053704</c:v>
              </c:pt>
              <c:pt idx="83">
                <c:v>19611.651653157533</c:v>
              </c:pt>
              <c:pt idx="84">
                <c:v>14150.80212023666</c:v>
              </c:pt>
              <c:pt idx="85">
                <c:v>3588.62425641147</c:v>
              </c:pt>
              <c:pt idx="86">
                <c:v>765.9642328665409</c:v>
              </c:pt>
              <c:pt idx="87">
                <c:v>19598.905217178984</c:v>
              </c:pt>
              <c:pt idx="88">
                <c:v>642.99798166708001</c:v>
              </c:pt>
              <c:pt idx="89">
                <c:v>204626.99387843258</c:v>
              </c:pt>
              <c:pt idx="90">
                <c:v>1903.3932562498574</c:v>
              </c:pt>
              <c:pt idx="91">
                <c:v>2774.5278525424037</c:v>
              </c:pt>
              <c:pt idx="92">
                <c:v>8245.1006286296306</c:v>
              </c:pt>
              <c:pt idx="93">
                <c:v>6705.9225856086614</c:v>
              </c:pt>
              <c:pt idx="94">
                <c:v>1085.4992429427655</c:v>
              </c:pt>
              <c:pt idx="95">
                <c:v>5619.1874535324687</c:v>
              </c:pt>
              <c:pt idx="96">
                <c:v>1489.8020260484384</c:v>
              </c:pt>
              <c:pt idx="97">
                <c:v>9928.9551352087346</c:v>
              </c:pt>
              <c:pt idx="98">
                <c:v>1690.9248986724322</c:v>
              </c:pt>
              <c:pt idx="99">
                <c:v>2931.9954182401461</c:v>
              </c:pt>
              <c:pt idx="100">
                <c:v>680.120526287026</c:v>
              </c:pt>
              <c:pt idx="101">
                <c:v>1725.4232495082695</c:v>
              </c:pt>
              <c:pt idx="102">
                <c:v>6290.3755603249274</c:v>
              </c:pt>
              <c:pt idx="103">
                <c:v>21470.907639865469</c:v>
              </c:pt>
              <c:pt idx="104">
                <c:v>4722.1687186558511</c:v>
              </c:pt>
              <c:pt idx="105">
                <c:v>107560.63229240621</c:v>
              </c:pt>
              <c:pt idx="106">
                <c:v>5462.0076899727374</c:v>
              </c:pt>
              <c:pt idx="107">
                <c:v>108.55569557397507</c:v>
              </c:pt>
              <c:pt idx="108">
                <c:v>21439.678438905263</c:v>
              </c:pt>
              <c:pt idx="109">
                <c:v>9702.3362463851699</c:v>
              </c:pt>
              <c:pt idx="110">
                <c:v>-822.34030089158296</c:v>
              </c:pt>
              <c:pt idx="111">
                <c:v>397.39620198813441</c:v>
              </c:pt>
              <c:pt idx="112">
                <c:v>15914.146162758825</c:v>
              </c:pt>
              <c:pt idx="113">
                <c:v>1173.1530547249579</c:v>
              </c:pt>
              <c:pt idx="114">
                <c:v>20657.17842511482</c:v>
              </c:pt>
              <c:pt idx="115">
                <c:v>32804.700264701118</c:v>
              </c:pt>
              <c:pt idx="116">
                <c:v>22452.257910284043</c:v>
              </c:pt>
              <c:pt idx="117">
                <c:v>9167.079432430899</c:v>
              </c:pt>
              <c:pt idx="118">
                <c:v>947.92282006773326</c:v>
              </c:pt>
              <c:pt idx="119">
                <c:v>932.74505654725795</c:v>
              </c:pt>
              <c:pt idx="120">
                <c:v>1157.2497342243462</c:v>
              </c:pt>
              <c:pt idx="121">
                <c:v>17929.141876115977</c:v>
              </c:pt>
              <c:pt idx="122">
                <c:v>5760.6531066066791</c:v>
              </c:pt>
              <c:pt idx="123">
                <c:v>7824.3560932778964</c:v>
              </c:pt>
              <c:pt idx="124">
                <c:v>9572.5663291857618</c:v>
              </c:pt>
              <c:pt idx="125">
                <c:v>-100.86252545443608</c:v>
              </c:pt>
              <c:pt idx="126">
                <c:v>1171.4584654040025</c:v>
              </c:pt>
              <c:pt idx="127">
                <c:v>5085.4711432230724</c:v>
              </c:pt>
              <c:pt idx="128">
                <c:v>49090.245185888496</c:v>
              </c:pt>
              <c:pt idx="129">
                <c:v>4076.1894024471185</c:v>
              </c:pt>
              <c:pt idx="130">
                <c:v>26113.369829235835</c:v>
              </c:pt>
              <c:pt idx="131">
                <c:v>1764.8912675308495</c:v>
              </c:pt>
              <c:pt idx="132">
                <c:v>1623.1734112716974</c:v>
              </c:pt>
              <c:pt idx="133">
                <c:v>5252.59026503327</c:v>
              </c:pt>
              <c:pt idx="134">
                <c:v>7572.3371739078502</c:v>
              </c:pt>
              <c:pt idx="135">
                <c:v>1378.9254363210619</c:v>
              </c:pt>
            </c:numLit>
          </c:xVal>
          <c:yVal>
            <c:numLit>
              <c:formatCode>General</c:formatCode>
              <c:ptCount val="136"/>
              <c:pt idx="0">
                <c:v>759.67960363769771</c:v>
              </c:pt>
              <c:pt idx="1">
                <c:v>-676.82544037222715</c:v>
              </c:pt>
              <c:pt idx="2">
                <c:v>-954.93784791250891</c:v>
              </c:pt>
              <c:pt idx="3">
                <c:v>710.61716437939435</c:v>
              </c:pt>
              <c:pt idx="4">
                <c:v>-5255.7001149644911</c:v>
              </c:pt>
              <c:pt idx="5">
                <c:v>74532.081028548651</c:v>
              </c:pt>
              <c:pt idx="6">
                <c:v>-47.486153024648843</c:v>
              </c:pt>
              <c:pt idx="7">
                <c:v>-71.098775520971685</c:v>
              </c:pt>
              <c:pt idx="8">
                <c:v>220.05772316379841</c:v>
              </c:pt>
              <c:pt idx="9">
                <c:v>-466.08851344867162</c:v>
              </c:pt>
              <c:pt idx="10">
                <c:v>1909.0256846306456</c:v>
              </c:pt>
              <c:pt idx="11">
                <c:v>366.28143142740709</c:v>
              </c:pt>
              <c:pt idx="12">
                <c:v>213.59442710037274</c:v>
              </c:pt>
              <c:pt idx="13">
                <c:v>1601.3013950091158</c:v>
              </c:pt>
              <c:pt idx="14">
                <c:v>-150.18465389745757</c:v>
              </c:pt>
              <c:pt idx="15">
                <c:v>-279.92068973875723</c:v>
              </c:pt>
              <c:pt idx="16">
                <c:v>6064.8374601920623</c:v>
              </c:pt>
              <c:pt idx="17">
                <c:v>-6429.7148026482701</c:v>
              </c:pt>
              <c:pt idx="18">
                <c:v>7882.7576138196473</c:v>
              </c:pt>
              <c:pt idx="19">
                <c:v>845.185575699119</c:v>
              </c:pt>
              <c:pt idx="20">
                <c:v>1136.9506548865215</c:v>
              </c:pt>
              <c:pt idx="21">
                <c:v>7950.1044272948566</c:v>
              </c:pt>
              <c:pt idx="22">
                <c:v>985.61328762883545</c:v>
              </c:pt>
              <c:pt idx="23">
                <c:v>887.94021406231786</c:v>
              </c:pt>
              <c:pt idx="24">
                <c:v>-1087.6586893763601</c:v>
              </c:pt>
              <c:pt idx="25">
                <c:v>-3749.9752761987102</c:v>
              </c:pt>
              <c:pt idx="26">
                <c:v>1157.8898635170497</c:v>
              </c:pt>
              <c:pt idx="27">
                <c:v>-281.14858093463499</c:v>
              </c:pt>
              <c:pt idx="28">
                <c:v>-3221.7783609132416</c:v>
              </c:pt>
              <c:pt idx="29">
                <c:v>-3662.3433336827475</c:v>
              </c:pt>
              <c:pt idx="30">
                <c:v>1083.0830562107021</c:v>
              </c:pt>
              <c:pt idx="31">
                <c:v>-32.43692766386539</c:v>
              </c:pt>
              <c:pt idx="32">
                <c:v>476.04211919235649</c:v>
              </c:pt>
              <c:pt idx="33">
                <c:v>127.04779718232999</c:v>
              </c:pt>
              <c:pt idx="34">
                <c:v>7793.0117148801819</c:v>
              </c:pt>
              <c:pt idx="35">
                <c:v>-1753.7853637094995</c:v>
              </c:pt>
              <c:pt idx="36">
                <c:v>-3635.9735382939125</c:v>
              </c:pt>
              <c:pt idx="37">
                <c:v>-2915.2075849655043</c:v>
              </c:pt>
              <c:pt idx="38">
                <c:v>-2100.632700713224</c:v>
              </c:pt>
              <c:pt idx="39">
                <c:v>-1472.5261046844439</c:v>
              </c:pt>
              <c:pt idx="40">
                <c:v>1653.6764706139377</c:v>
              </c:pt>
              <c:pt idx="41">
                <c:v>1725.3444630229528</c:v>
              </c:pt>
              <c:pt idx="42">
                <c:v>918.32014022077715</c:v>
              </c:pt>
              <c:pt idx="43">
                <c:v>811.40128269292063</c:v>
              </c:pt>
              <c:pt idx="44">
                <c:v>1745.3286659670946</c:v>
              </c:pt>
              <c:pt idx="45">
                <c:v>-695.92263389677669</c:v>
              </c:pt>
              <c:pt idx="46">
                <c:v>-887.14548915511659</c:v>
              </c:pt>
              <c:pt idx="47">
                <c:v>-11595.674084003873</c:v>
              </c:pt>
              <c:pt idx="48">
                <c:v>92.151816958150903</c:v>
              </c:pt>
              <c:pt idx="49">
                <c:v>686.81729499584685</c:v>
              </c:pt>
              <c:pt idx="50">
                <c:v>-875.424782099808</c:v>
              </c:pt>
              <c:pt idx="51">
                <c:v>1022.6513550410793</c:v>
              </c:pt>
              <c:pt idx="52">
                <c:v>1319.3045150794671</c:v>
              </c:pt>
              <c:pt idx="53">
                <c:v>-5970.3419248513819</c:v>
              </c:pt>
              <c:pt idx="54">
                <c:v>661.84143447844667</c:v>
              </c:pt>
              <c:pt idx="55">
                <c:v>-1421.5240013729544</c:v>
              </c:pt>
              <c:pt idx="56">
                <c:v>-963.6270912841992</c:v>
              </c:pt>
              <c:pt idx="57">
                <c:v>-2686.7026387479505</c:v>
              </c:pt>
              <c:pt idx="58">
                <c:v>542.34840325896198</c:v>
              </c:pt>
              <c:pt idx="59">
                <c:v>-294.0568984781994</c:v>
              </c:pt>
              <c:pt idx="60">
                <c:v>-2533.2231289498195</c:v>
              </c:pt>
              <c:pt idx="61">
                <c:v>1334.4652940125115</c:v>
              </c:pt>
              <c:pt idx="62">
                <c:v>-579.95798518090214</c:v>
              </c:pt>
              <c:pt idx="63">
                <c:v>-530.40428264794309</c:v>
              </c:pt>
              <c:pt idx="64">
                <c:v>-240.79117392811486</c:v>
              </c:pt>
              <c:pt idx="65">
                <c:v>17181.07270774788</c:v>
              </c:pt>
              <c:pt idx="66">
                <c:v>-914.37492479751381</c:v>
              </c:pt>
              <c:pt idx="67">
                <c:v>1578.3167756711634</c:v>
              </c:pt>
              <c:pt idx="68">
                <c:v>77.589350553625536</c:v>
              </c:pt>
              <c:pt idx="69">
                <c:v>-1800.0188963632918</c:v>
              </c:pt>
              <c:pt idx="70">
                <c:v>-1990.7947766572865</c:v>
              </c:pt>
              <c:pt idx="71">
                <c:v>-1096.8381288992396</c:v>
              </c:pt>
              <c:pt idx="72">
                <c:v>1183.4129082983138</c:v>
              </c:pt>
              <c:pt idx="73">
                <c:v>-93.582616221147873</c:v>
              </c:pt>
              <c:pt idx="74">
                <c:v>5247.3128986093216</c:v>
              </c:pt>
              <c:pt idx="75">
                <c:v>-2530.936706976589</c:v>
              </c:pt>
              <c:pt idx="76">
                <c:v>313.7451289107064</c:v>
              </c:pt>
              <c:pt idx="77">
                <c:v>230.1724539112447</c:v>
              </c:pt>
              <c:pt idx="78">
                <c:v>1047.962572789361</c:v>
              </c:pt>
              <c:pt idx="79">
                <c:v>-713.61634073503672</c:v>
              </c:pt>
              <c:pt idx="80">
                <c:v>-354.24888171540351</c:v>
              </c:pt>
              <c:pt idx="81">
                <c:v>21.163272839025012</c:v>
              </c:pt>
              <c:pt idx="82">
                <c:v>1957.0303089462959</c:v>
              </c:pt>
              <c:pt idx="83">
                <c:v>-12884.347053157533</c:v>
              </c:pt>
              <c:pt idx="84">
                <c:v>-7914.5655202366597</c:v>
              </c:pt>
              <c:pt idx="85">
                <c:v>2002.0073435885297</c:v>
              </c:pt>
              <c:pt idx="86">
                <c:v>-166.66603286654095</c:v>
              </c:pt>
              <c:pt idx="87">
                <c:v>-8443.894217178984</c:v>
              </c:pt>
              <c:pt idx="88">
                <c:v>-518.58768166708001</c:v>
              </c:pt>
              <c:pt idx="89">
                <c:v>-25793.703478432581</c:v>
              </c:pt>
              <c:pt idx="90">
                <c:v>5503.872743750142</c:v>
              </c:pt>
              <c:pt idx="91">
                <c:v>427.71174745759618</c:v>
              </c:pt>
              <c:pt idx="92">
                <c:v>-4357.440328629631</c:v>
              </c:pt>
              <c:pt idx="93">
                <c:v>-2219.9267856086617</c:v>
              </c:pt>
              <c:pt idx="94">
                <c:v>318.02535705723449</c:v>
              </c:pt>
              <c:pt idx="95">
                <c:v>-441.95555353246891</c:v>
              </c:pt>
              <c:pt idx="96">
                <c:v>-280.70952604843842</c:v>
              </c:pt>
              <c:pt idx="97">
                <c:v>706.93136479126588</c:v>
              </c:pt>
              <c:pt idx="98">
                <c:v>368.34070132756801</c:v>
              </c:pt>
              <c:pt idx="99">
                <c:v>-2247.4073182401462</c:v>
              </c:pt>
              <c:pt idx="100">
                <c:v>1852.2541737129739</c:v>
              </c:pt>
              <c:pt idx="101">
                <c:v>-282.05834950826943</c:v>
              </c:pt>
              <c:pt idx="102">
                <c:v>-1025.5234603249273</c:v>
              </c:pt>
              <c:pt idx="103">
                <c:v>-2298.0732398654691</c:v>
              </c:pt>
              <c:pt idx="104">
                <c:v>966.70818134414912</c:v>
              </c:pt>
              <c:pt idx="105">
                <c:v>-3666.4323924062046</c:v>
              </c:pt>
              <c:pt idx="106">
                <c:v>-4343.2837899727374</c:v>
              </c:pt>
              <c:pt idx="107">
                <c:v>1238.1410044260249</c:v>
              </c:pt>
              <c:pt idx="108">
                <c:v>8629.4224610947385</c:v>
              </c:pt>
              <c:pt idx="109">
                <c:v>2061.1816536148308</c:v>
              </c:pt>
              <c:pt idx="110">
                <c:v>1210.569200891583</c:v>
              </c:pt>
              <c:pt idx="111">
                <c:v>2102.217398011866</c:v>
              </c:pt>
              <c:pt idx="112">
                <c:v>-3135.8062627588242</c:v>
              </c:pt>
              <c:pt idx="113">
                <c:v>161.91264527504222</c:v>
              </c:pt>
              <c:pt idx="114">
                <c:v>-2379.6789251148184</c:v>
              </c:pt>
              <c:pt idx="115">
                <c:v>-18176.588764701119</c:v>
              </c:pt>
              <c:pt idx="116">
                <c:v>-9197.6007102840431</c:v>
              </c:pt>
              <c:pt idx="117">
                <c:v>-1726.8102324308993</c:v>
              </c:pt>
              <c:pt idx="118">
                <c:v>760.38307993226681</c:v>
              </c:pt>
              <c:pt idx="119">
                <c:v>2029.137343452742</c:v>
              </c:pt>
              <c:pt idx="120">
                <c:v>341.37366577565376</c:v>
              </c:pt>
              <c:pt idx="121">
                <c:v>-6618.8930761159772</c:v>
              </c:pt>
              <c:pt idx="122">
                <c:v>319.11729339332123</c:v>
              </c:pt>
              <c:pt idx="123">
                <c:v>3312.2473067221035</c:v>
              </c:pt>
              <c:pt idx="124">
                <c:v>-842.13852918576231</c:v>
              </c:pt>
              <c:pt idx="125">
                <c:v>890.84192545443614</c:v>
              </c:pt>
              <c:pt idx="126">
                <c:v>465.74033459599741</c:v>
              </c:pt>
              <c:pt idx="127">
                <c:v>6407.0555567769279</c:v>
              </c:pt>
              <c:pt idx="128">
                <c:v>182.26321411150275</c:v>
              </c:pt>
              <c:pt idx="129">
                <c:v>78.092297552881064</c:v>
              </c:pt>
              <c:pt idx="130">
                <c:v>-656.49152923583461</c:v>
              </c:pt>
              <c:pt idx="131">
                <c:v>-404.52606753084956</c:v>
              </c:pt>
              <c:pt idx="132">
                <c:v>173.92948872830266</c:v>
              </c:pt>
              <c:pt idx="133">
                <c:v>363.51923496672953</c:v>
              </c:pt>
              <c:pt idx="134">
                <c:v>-4713.6287739078507</c:v>
              </c:pt>
              <c:pt idx="135">
                <c:v>823.83996367893837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0638-41FE-AA7C-C4D4EA032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273752"/>
        <c:axId val="726274144"/>
      </c:scatterChart>
      <c:valAx>
        <c:axId val="726273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26274144"/>
        <c:crossesAt val="-40000"/>
        <c:crossBetween val="midCat"/>
      </c:valAx>
      <c:valAx>
        <c:axId val="72627414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26273752"/>
        <c:crossesAt val="-100000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Histogram of Residuals
</a:t>
            </a:r>
            <a:r>
              <a:rPr lang="en-US" sz="1000"/>
              <a:t>Model 12 for EV    (3 variables, n=136)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Actual</c:v>
          </c:tx>
          <c:spPr>
            <a:solidFill>
              <a:srgbClr val="9999FF"/>
            </a:solidFill>
            <a:ln w="9525" cap="flat" cmpd="sng" algn="ctr">
              <a:solidFill>
                <a:srgbClr val="0000FF"/>
              </a:solidFill>
              <a:prstDash val="solid"/>
              <a:round/>
              <a:headEnd type="none" w="med" len="med"/>
              <a:tailEnd type="none" w="med" len="med"/>
            </a:ln>
          </c:spPr>
          <c:invertIfNegative val="0"/>
          <c:cat>
            <c:strLit>
              <c:ptCount val="21"/>
              <c:pt idx="0">
                <c:v>-75,000</c:v>
              </c:pt>
              <c:pt idx="1">
                <c:v>-67,500</c:v>
              </c:pt>
              <c:pt idx="2">
                <c:v>-60,000</c:v>
              </c:pt>
              <c:pt idx="3">
                <c:v>-52,500</c:v>
              </c:pt>
              <c:pt idx="4">
                <c:v>-45,000</c:v>
              </c:pt>
              <c:pt idx="5">
                <c:v>-37,500</c:v>
              </c:pt>
              <c:pt idx="6">
                <c:v>-30,000</c:v>
              </c:pt>
              <c:pt idx="7">
                <c:v>-22,500</c:v>
              </c:pt>
              <c:pt idx="8">
                <c:v>-15,000</c:v>
              </c:pt>
              <c:pt idx="9">
                <c:v>-7,500</c:v>
              </c:pt>
              <c:pt idx="10">
                <c:v>0</c:v>
              </c:pt>
              <c:pt idx="11">
                <c:v>7,500</c:v>
              </c:pt>
              <c:pt idx="12">
                <c:v>15,000</c:v>
              </c:pt>
              <c:pt idx="13">
                <c:v>22,500</c:v>
              </c:pt>
              <c:pt idx="14">
                <c:v>30,000</c:v>
              </c:pt>
              <c:pt idx="15">
                <c:v>37,500</c:v>
              </c:pt>
              <c:pt idx="16">
                <c:v>45,000</c:v>
              </c:pt>
              <c:pt idx="17">
                <c:v>52,500</c:v>
              </c:pt>
              <c:pt idx="18">
                <c:v>60,000</c:v>
              </c:pt>
              <c:pt idx="19">
                <c:v>67,500</c:v>
              </c:pt>
              <c:pt idx="20">
                <c:v>75,000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1</c:v>
              </c:pt>
              <c:pt idx="8">
                <c:v>3</c:v>
              </c:pt>
              <c:pt idx="9">
                <c:v>10</c:v>
              </c:pt>
              <c:pt idx="10">
                <c:v>112</c:v>
              </c:pt>
              <c:pt idx="11">
                <c:v>8</c:v>
              </c:pt>
              <c:pt idx="12">
                <c:v>1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D5FD-4BB8-B39D-39F93D04D960}"/>
            </c:ext>
          </c:extLst>
        </c:ser>
        <c:ser>
          <c:idx val="1"/>
          <c:order val="1"/>
          <c:tx>
            <c:v>Normal</c:v>
          </c:tx>
          <c:spPr>
            <a:solidFill>
              <a:srgbClr val="FFD2D2"/>
            </a:solidFill>
            <a:ln w="9525">
              <a:solidFill>
                <a:srgbClr val="FF0000"/>
              </a:solidFill>
              <a:prstDash val="solid"/>
            </a:ln>
          </c:spPr>
          <c:invertIfNegative val="0"/>
          <c:cat>
            <c:strLit>
              <c:ptCount val="21"/>
              <c:pt idx="0">
                <c:v>-75,000</c:v>
              </c:pt>
              <c:pt idx="1">
                <c:v>-67,500</c:v>
              </c:pt>
              <c:pt idx="2">
                <c:v>-60,000</c:v>
              </c:pt>
              <c:pt idx="3">
                <c:v>-52,500</c:v>
              </c:pt>
              <c:pt idx="4">
                <c:v>-45,000</c:v>
              </c:pt>
              <c:pt idx="5">
                <c:v>-37,500</c:v>
              </c:pt>
              <c:pt idx="6">
                <c:v>-30,000</c:v>
              </c:pt>
              <c:pt idx="7">
                <c:v>-22,500</c:v>
              </c:pt>
              <c:pt idx="8">
                <c:v>-15,000</c:v>
              </c:pt>
              <c:pt idx="9">
                <c:v>-7,500</c:v>
              </c:pt>
              <c:pt idx="10">
                <c:v>0</c:v>
              </c:pt>
              <c:pt idx="11">
                <c:v>7,500</c:v>
              </c:pt>
              <c:pt idx="12">
                <c:v>15,000</c:v>
              </c:pt>
              <c:pt idx="13">
                <c:v>22,500</c:v>
              </c:pt>
              <c:pt idx="14">
                <c:v>30,000</c:v>
              </c:pt>
              <c:pt idx="15">
                <c:v>37,500</c:v>
              </c:pt>
              <c:pt idx="16">
                <c:v>45,000</c:v>
              </c:pt>
              <c:pt idx="17">
                <c:v>52,500</c:v>
              </c:pt>
              <c:pt idx="18">
                <c:v>60,000</c:v>
              </c:pt>
              <c:pt idx="19">
                <c:v>67,500</c:v>
              </c:pt>
              <c:pt idx="20">
                <c:v>75,000</c:v>
              </c:pt>
            </c:strLit>
          </c:cat>
          <c:val>
            <c:numLit>
              <c:formatCode>General</c:formatCode>
              <c:ptCount val="21"/>
              <c:pt idx="0">
                <c:v>4.2850479958721023E-18</c:v>
              </c:pt>
              <c:pt idx="1">
                <c:v>1.9780658033070498E-14</c:v>
              </c:pt>
              <c:pt idx="2">
                <c:v>3.6651087061101297E-11</c:v>
              </c:pt>
              <c:pt idx="3">
                <c:v>2.7340607764862407E-8</c:v>
              </c:pt>
              <c:pt idx="4">
                <c:v>8.2442587247994998E-6</c:v>
              </c:pt>
              <c:pt idx="5">
                <c:v>1.0102427430729102E-3</c:v>
              </c:pt>
              <c:pt idx="6">
                <c:v>5.0653780571709141E-2</c:v>
              </c:pt>
              <c:pt idx="7">
                <c:v>1.0480396265726388</c:v>
              </c:pt>
              <c:pt idx="8">
                <c:v>9.033619961326119</c:v>
              </c:pt>
              <c:pt idx="9">
                <c:v>32.741739435151061</c:v>
              </c:pt>
              <c:pt idx="10">
                <c:v>50.249857363998785</c:v>
              </c:pt>
              <c:pt idx="11">
                <c:v>32.741739435151061</c:v>
              </c:pt>
              <c:pt idx="12">
                <c:v>9.0336199613261385</c:v>
              </c:pt>
              <c:pt idx="13">
                <c:v>1.0480396265726313</c:v>
              </c:pt>
              <c:pt idx="14">
                <c:v>5.065378057170733E-2</c:v>
              </c:pt>
              <c:pt idx="15">
                <c:v>1.0102427430638272E-3</c:v>
              </c:pt>
              <c:pt idx="16">
                <c:v>8.2442587370223919E-6</c:v>
              </c:pt>
              <c:pt idx="17">
                <c:v>2.73406044470903E-8</c:v>
              </c:pt>
              <c:pt idx="18">
                <c:v>3.6635583455790766E-11</c:v>
              </c:pt>
              <c:pt idx="19">
                <c:v>0</c:v>
              </c:pt>
              <c:pt idx="2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1-D5FD-4BB8-B39D-39F93D04D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726274928"/>
        <c:axId val="726275320"/>
      </c:barChart>
      <c:catAx>
        <c:axId val="726274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</a:t>
                </a:r>
                <a:r>
                  <a:rPr lang="en-US" sz="900"/>
                  <a:t>ormality test (A-D*):  P &lt; 0.001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6275320"/>
        <c:crosses val="autoZero"/>
        <c:auto val="1"/>
        <c:lblAlgn val="ctr"/>
        <c:lblOffset val="100"/>
        <c:noMultiLvlLbl val="0"/>
      </c:catAx>
      <c:valAx>
        <c:axId val="72627532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26274928"/>
        <c:crosses val="autoZero"/>
        <c:crossBetween val="between"/>
      </c:valAx>
      <c:spPr>
        <a:ln w="6350">
          <a:solidFill>
            <a:srgbClr val="808080"/>
          </a:solidFill>
          <a:prstDash val="solid"/>
        </a:ln>
      </c:spPr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Normal Quantile Plot
</a:t>
            </a:r>
            <a:r>
              <a:rPr lang="en-US" sz="1000"/>
              <a:t>Model 12 for EV    (3 variables, n=136)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36"/>
              <c:pt idx="0">
                <c:v>-2.4421880491253143</c:v>
              </c:pt>
              <c:pt idx="1">
                <c:v>-2.1808153021682743</c:v>
              </c:pt>
              <c:pt idx="2">
                <c:v>-2.0160416527263889</c:v>
              </c:pt>
              <c:pt idx="3">
                <c:v>-1.8927271749816086</c:v>
              </c:pt>
              <c:pt idx="4">
                <c:v>-1.7928763311641345</c:v>
              </c:pt>
              <c:pt idx="5">
                <c:v>-1.7082431184356848</c:v>
              </c:pt>
              <c:pt idx="6">
                <c:v>-1.6343290311739951</c:v>
              </c:pt>
              <c:pt idx="7">
                <c:v>-1.5683978131253791</c:v>
              </c:pt>
              <c:pt idx="8">
                <c:v>-1.5086554288199723</c:v>
              </c:pt>
              <c:pt idx="9">
                <c:v>-1.4538590016426736</c:v>
              </c:pt>
              <c:pt idx="10">
                <c:v>-1.4031103288021298</c:v>
              </c:pt>
              <c:pt idx="11">
                <c:v>-1.3557381963313866</c:v>
              </c:pt>
              <c:pt idx="12">
                <c:v>-1.3112271808003206</c:v>
              </c:pt>
              <c:pt idx="13">
                <c:v>-1.269172457559324</c:v>
              </c:pt>
              <c:pt idx="14">
                <c:v>-1.2292499609031462</c:v>
              </c:pt>
              <c:pt idx="15">
                <c:v>-1.1911960182089929</c:v>
              </c:pt>
              <c:pt idx="16">
                <c:v>-1.1547930533436743</c:v>
              </c:pt>
              <c:pt idx="17">
                <c:v>-1.1198593043168414</c:v>
              </c:pt>
              <c:pt idx="18">
                <c:v>-1.0862412702562496</c:v>
              </c:pt>
              <c:pt idx="19">
                <c:v>-1.0538080593349772</c:v>
              </c:pt>
              <c:pt idx="20">
                <c:v>-1.0224470891122484</c:v>
              </c:pt>
              <c:pt idx="21">
                <c:v>-0.99206076735168713</c:v>
              </c:pt>
              <c:pt idx="22">
                <c:v>-0.96256389575654266</c:v>
              </c:pt>
              <c:pt idx="23">
                <c:v>-0.93388161486624266</c:v>
              </c:pt>
              <c:pt idx="24">
                <c:v>-0.90594775965164942</c:v>
              </c:pt>
              <c:pt idx="25">
                <c:v>-0.87870353070900364</c:v>
              </c:pt>
              <c:pt idx="26">
                <c:v>-0.85209641074996312</c:v>
              </c:pt>
              <c:pt idx="27">
                <c:v>-0.82607927374516243</c:v>
              </c:pt>
              <c:pt idx="28">
                <c:v>-0.80060964683518954</c:v>
              </c:pt>
              <c:pt idx="29">
                <c:v>-0.77564909445822994</c:v>
              </c:pt>
              <c:pt idx="30">
                <c:v>-0.75116270105805993</c:v>
              </c:pt>
              <c:pt idx="31">
                <c:v>-0.72711863391436637</c:v>
              </c:pt>
              <c:pt idx="32">
                <c:v>-0.70348777155606745</c:v>
              </c:pt>
              <c:pt idx="33">
                <c:v>-0.68024338621206992</c:v>
              </c:pt>
              <c:pt idx="34">
                <c:v>-0.65736087106186036</c:v>
              </c:pt>
              <c:pt idx="35">
                <c:v>-0.63481750484239274</c:v>
              </c:pt>
              <c:pt idx="36">
                <c:v>-0.61259224777345078</c:v>
              </c:pt>
              <c:pt idx="37">
                <c:v>-0.59066556387310731</c:v>
              </c:pt>
              <c:pt idx="38">
                <c:v>-0.56901926561672789</c:v>
              </c:pt>
              <c:pt idx="39">
                <c:v>-0.54763637759838146</c:v>
              </c:pt>
              <c:pt idx="40">
                <c:v>-0.52650101642132652</c:v>
              </c:pt>
              <c:pt idx="41">
                <c:v>-0.5055982845039646</c:v>
              </c:pt>
              <c:pt idx="42">
                <c:v>-0.48491417586189661</c:v>
              </c:pt>
              <c:pt idx="43">
                <c:v>-0.46443549223297398</c:v>
              </c:pt>
              <c:pt idx="44">
                <c:v>-0.44414976816409463</c:v>
              </c:pt>
              <c:pt idx="45">
                <c:v>-0.42404520388658756</c:v>
              </c:pt>
              <c:pt idx="46">
                <c:v>-0.40411060497970364</c:v>
              </c:pt>
              <c:pt idx="47">
                <c:v>-0.38433532796565362</c:v>
              </c:pt>
              <c:pt idx="48">
                <c:v>-0.36470923110000675</c:v>
              </c:pt>
              <c:pt idx="49">
                <c:v>-0.34522262972237733</c:v>
              </c:pt>
              <c:pt idx="50">
                <c:v>-0.32586625561750387</c:v>
              </c:pt>
              <c:pt idx="51">
                <c:v>-0.30663121990884307</c:v>
              </c:pt>
              <c:pt idx="52">
                <c:v>-0.28750897906785555</c:v>
              </c:pt>
              <c:pt idx="53">
                <c:v>-0.26849130367407431</c:v>
              </c:pt>
              <c:pt idx="54">
                <c:v>-0.24957024960527571</c:v>
              </c:pt>
              <c:pt idx="55">
                <c:v>-0.23073813137485966</c:v>
              </c:pt>
              <c:pt idx="56">
                <c:v>-0.21198749736584974</c:v>
              </c:pt>
              <c:pt idx="57">
                <c:v>-0.19331110673860696</c:v>
              </c:pt>
              <c:pt idx="58">
                <c:v>-0.17470190781306269</c:v>
              </c:pt>
              <c:pt idx="59">
                <c:v>-0.15615301774660617</c:v>
              </c:pt>
              <c:pt idx="60">
                <c:v>-0.13765770334616576</c:v>
              </c:pt>
              <c:pt idx="61">
                <c:v>-0.11920936286789212</c:v>
              </c:pt>
              <c:pt idx="62">
                <c:v>-0.10080150867052502</c:v>
              </c:pt>
              <c:pt idx="63">
                <c:v>-8.2427750599248076E-2</c:v>
              </c:pt>
              <c:pt idx="64">
                <c:v>-6.4081779985855875E-2</c:v>
              </c:pt>
              <c:pt idx="65">
                <c:v>-4.5757354158539494E-2</c:v>
              </c:pt>
              <c:pt idx="66">
                <c:v>-2.7448281360703052E-2</c:v>
              </c:pt>
              <c:pt idx="67">
                <c:v>-9.1484059830602652E-3</c:v>
              </c:pt>
              <c:pt idx="68">
                <c:v>9.1484059830604057E-3</c:v>
              </c:pt>
              <c:pt idx="69">
                <c:v>2.7448281360703194E-2</c:v>
              </c:pt>
              <c:pt idx="70">
                <c:v>4.575735415853964E-2</c:v>
              </c:pt>
              <c:pt idx="71">
                <c:v>6.4081779985855875E-2</c:v>
              </c:pt>
              <c:pt idx="72">
                <c:v>8.2427750599248076E-2</c:v>
              </c:pt>
              <c:pt idx="73">
                <c:v>0.10080150867052502</c:v>
              </c:pt>
              <c:pt idx="74">
                <c:v>0.11920936286789212</c:v>
              </c:pt>
              <c:pt idx="75">
                <c:v>0.13765770334616576</c:v>
              </c:pt>
              <c:pt idx="76">
                <c:v>0.15615301774660617</c:v>
              </c:pt>
              <c:pt idx="77">
                <c:v>0.17470190781306255</c:v>
              </c:pt>
              <c:pt idx="78">
                <c:v>0.19331110673860685</c:v>
              </c:pt>
              <c:pt idx="79">
                <c:v>0.21198749736584957</c:v>
              </c:pt>
              <c:pt idx="80">
                <c:v>0.23073813137485977</c:v>
              </c:pt>
              <c:pt idx="81">
                <c:v>0.24957024960527588</c:v>
              </c:pt>
              <c:pt idx="82">
                <c:v>0.26849130367407442</c:v>
              </c:pt>
              <c:pt idx="83">
                <c:v>0.28750897906785572</c:v>
              </c:pt>
              <c:pt idx="84">
                <c:v>0.30663121990884307</c:v>
              </c:pt>
              <c:pt idx="85">
                <c:v>0.32586625561750387</c:v>
              </c:pt>
              <c:pt idx="86">
                <c:v>0.34522262972237733</c:v>
              </c:pt>
              <c:pt idx="87">
                <c:v>0.36470923110000675</c:v>
              </c:pt>
              <c:pt idx="88">
                <c:v>0.38433532796565362</c:v>
              </c:pt>
              <c:pt idx="89">
                <c:v>0.40411060497970364</c:v>
              </c:pt>
              <c:pt idx="90">
                <c:v>0.42404520388658723</c:v>
              </c:pt>
              <c:pt idx="91">
                <c:v>0.44414976816409452</c:v>
              </c:pt>
              <c:pt idx="92">
                <c:v>0.46443549223297381</c:v>
              </c:pt>
              <c:pt idx="93">
                <c:v>0.48491417586189683</c:v>
              </c:pt>
              <c:pt idx="94">
                <c:v>0.50559828450396482</c:v>
              </c:pt>
              <c:pt idx="95">
                <c:v>0.52650101642132674</c:v>
              </c:pt>
              <c:pt idx="96">
                <c:v>0.54763637759838146</c:v>
              </c:pt>
              <c:pt idx="97">
                <c:v>0.56901926561672789</c:v>
              </c:pt>
              <c:pt idx="98">
                <c:v>0.59066556387310731</c:v>
              </c:pt>
              <c:pt idx="99">
                <c:v>0.61259224777345078</c:v>
              </c:pt>
              <c:pt idx="100">
                <c:v>0.63481750484239274</c:v>
              </c:pt>
              <c:pt idx="101">
                <c:v>0.65736087106186036</c:v>
              </c:pt>
              <c:pt idx="102">
                <c:v>0.68024338621206992</c:v>
              </c:pt>
              <c:pt idx="103">
                <c:v>0.70348777155606745</c:v>
              </c:pt>
              <c:pt idx="104">
                <c:v>0.72711863391436626</c:v>
              </c:pt>
              <c:pt idx="105">
                <c:v>0.75116270105806004</c:v>
              </c:pt>
              <c:pt idx="106">
                <c:v>0.7756490944582306</c:v>
              </c:pt>
              <c:pt idx="107">
                <c:v>0.80060964683518954</c:v>
              </c:pt>
              <c:pt idx="108">
                <c:v>0.82607927374516243</c:v>
              </c:pt>
              <c:pt idx="109">
                <c:v>0.85209641074996312</c:v>
              </c:pt>
              <c:pt idx="110">
                <c:v>0.87870353070900364</c:v>
              </c:pt>
              <c:pt idx="111">
                <c:v>0.90594775965164942</c:v>
              </c:pt>
              <c:pt idx="112">
                <c:v>0.93388161486624266</c:v>
              </c:pt>
              <c:pt idx="113">
                <c:v>0.96256389575654266</c:v>
              </c:pt>
              <c:pt idx="114">
                <c:v>0.99206076735168713</c:v>
              </c:pt>
              <c:pt idx="115">
                <c:v>1.0224470891122484</c:v>
              </c:pt>
              <c:pt idx="116">
                <c:v>1.053808059334977</c:v>
              </c:pt>
              <c:pt idx="117">
                <c:v>1.0862412702562496</c:v>
              </c:pt>
              <c:pt idx="118">
                <c:v>1.1198593043168414</c:v>
              </c:pt>
              <c:pt idx="119">
                <c:v>1.1547930533436743</c:v>
              </c:pt>
              <c:pt idx="120">
                <c:v>1.1911960182089929</c:v>
              </c:pt>
              <c:pt idx="121">
                <c:v>1.2292499609031462</c:v>
              </c:pt>
              <c:pt idx="122">
                <c:v>1.269172457559324</c:v>
              </c:pt>
              <c:pt idx="123">
                <c:v>1.3112271808003206</c:v>
              </c:pt>
              <c:pt idx="124">
                <c:v>1.3557381963313866</c:v>
              </c:pt>
              <c:pt idx="125">
                <c:v>1.4031103288021298</c:v>
              </c:pt>
              <c:pt idx="126">
                <c:v>1.453859001642674</c:v>
              </c:pt>
              <c:pt idx="127">
                <c:v>1.5086554288199729</c:v>
              </c:pt>
              <c:pt idx="128">
                <c:v>1.5683978131253788</c:v>
              </c:pt>
              <c:pt idx="129">
                <c:v>1.6343290311739946</c:v>
              </c:pt>
              <c:pt idx="130">
                <c:v>1.7082431184356857</c:v>
              </c:pt>
              <c:pt idx="131">
                <c:v>1.7928763311641345</c:v>
              </c:pt>
              <c:pt idx="132">
                <c:v>1.8927271749816097</c:v>
              </c:pt>
              <c:pt idx="133">
                <c:v>2.0160416527263894</c:v>
              </c:pt>
              <c:pt idx="134">
                <c:v>2.1808153021682743</c:v>
              </c:pt>
              <c:pt idx="135">
                <c:v>2.4421880491253143</c:v>
              </c:pt>
            </c:numLit>
          </c:xVal>
          <c:yVal>
            <c:numLit>
              <c:formatCode>General</c:formatCode>
              <c:ptCount val="136"/>
              <c:pt idx="0">
                <c:v>-3.3084795669796883</c:v>
              </c:pt>
              <c:pt idx="1">
                <c:v>-2.3314555265663848</c:v>
              </c:pt>
              <c:pt idx="2">
                <c:v>-1.6526358456004486</c:v>
              </c:pt>
              <c:pt idx="3">
                <c:v>-1.4873416996656121</c:v>
              </c:pt>
              <c:pt idx="4">
                <c:v>-1.179748152127776</c:v>
              </c:pt>
              <c:pt idx="5">
                <c:v>-1.0830725222003774</c:v>
              </c:pt>
              <c:pt idx="6">
                <c:v>-1.0151771469002002</c:v>
              </c:pt>
              <c:pt idx="7">
                <c:v>-0.84898519968888786</c:v>
              </c:pt>
              <c:pt idx="8">
                <c:v>-0.82471988033264476</c:v>
              </c:pt>
              <c:pt idx="9">
                <c:v>-0.76579752429771308</c:v>
              </c:pt>
              <c:pt idx="10">
                <c:v>-0.67413260197676228</c:v>
              </c:pt>
              <c:pt idx="11">
                <c:v>-0.6046027666341659</c:v>
              </c:pt>
              <c:pt idx="12">
                <c:v>-0.55891556261623154</c:v>
              </c:pt>
              <c:pt idx="13">
                <c:v>-0.55709974663910156</c:v>
              </c:pt>
              <c:pt idx="14">
                <c:v>-0.48099787563877089</c:v>
              </c:pt>
              <c:pt idx="15">
                <c:v>-0.47028208508836872</c:v>
              </c:pt>
              <c:pt idx="16">
                <c:v>-0.46975759401456657</c:v>
              </c:pt>
              <c:pt idx="17">
                <c:v>-0.46637522089771866</c:v>
              </c:pt>
              <c:pt idx="18">
                <c:v>-0.41324767051507194</c:v>
              </c:pt>
              <c:pt idx="19">
                <c:v>-0.40222029205768622</c:v>
              </c:pt>
              <c:pt idx="20">
                <c:v>-0.37392477340166247</c:v>
              </c:pt>
              <c:pt idx="21">
                <c:v>-0.34461514184190201</c:v>
              </c:pt>
              <c:pt idx="22">
                <c:v>-0.32492879387167906</c:v>
              </c:pt>
              <c:pt idx="23">
                <c:v>-0.32463552150828029</c:v>
              </c:pt>
              <c:pt idx="24">
                <c:v>-0.30523414779493291</c:v>
              </c:pt>
              <c:pt idx="25">
                <c:v>-0.29476683578513946</c:v>
              </c:pt>
              <c:pt idx="26">
                <c:v>-0.28826807276028976</c:v>
              </c:pt>
              <c:pt idx="27">
                <c:v>-0.28474322876970087</c:v>
              </c:pt>
              <c:pt idx="28">
                <c:v>-0.26944174084385453</c:v>
              </c:pt>
              <c:pt idx="29">
                <c:v>-0.25535316578822553</c:v>
              </c:pt>
              <c:pt idx="30">
                <c:v>-0.2308829262837277</c:v>
              </c:pt>
              <c:pt idx="31">
                <c:v>-0.22495269225501369</c:v>
              </c:pt>
              <c:pt idx="32">
                <c:v>-0.22149267455238067</c:v>
              </c:pt>
              <c:pt idx="33">
                <c:v>-0.18887642611175451</c:v>
              </c:pt>
              <c:pt idx="34">
                <c:v>-0.18233454208877417</c:v>
              </c:pt>
              <c:pt idx="35">
                <c:v>-0.14068807687045198</c:v>
              </c:pt>
              <c:pt idx="36">
                <c:v>-0.13951065819836536</c:v>
              </c:pt>
              <c:pt idx="37">
                <c:v>-0.13154076213911362</c:v>
              </c:pt>
              <c:pt idx="38">
                <c:v>-0.12360150392391731</c:v>
              </c:pt>
              <c:pt idx="39">
                <c:v>-0.1224869612150043</c:v>
              </c:pt>
              <c:pt idx="40">
                <c:v>-0.11728407895286067</c:v>
              </c:pt>
              <c:pt idx="41">
                <c:v>-0.11379144240617063</c:v>
              </c:pt>
              <c:pt idx="42">
                <c:v>-0.11228806310914695</c:v>
              </c:pt>
              <c:pt idx="43">
                <c:v>-0.10801853710953542</c:v>
              </c:pt>
              <c:pt idx="44">
                <c:v>-9.1533388524793383E-2</c:v>
              </c:pt>
              <c:pt idx="45">
                <c:v>-8.9263870788131042E-2</c:v>
              </c:pt>
              <c:pt idx="46">
                <c:v>-8.6814332100696751E-2</c:v>
              </c:pt>
              <c:pt idx="47">
                <c:v>-8.4206163422329686E-2</c:v>
              </c:pt>
              <c:pt idx="48">
                <c:v>-7.4389439472393404E-2</c:v>
              </c:pt>
              <c:pt idx="49">
                <c:v>-6.8033337393621759E-2</c:v>
              </c:pt>
              <c:pt idx="50">
                <c:v>-6.6517658075642985E-2</c:v>
              </c:pt>
              <c:pt idx="51">
                <c:v>-5.9783750109333816E-2</c:v>
              </c:pt>
              <c:pt idx="52">
                <c:v>-5.6688289046898266E-2</c:v>
              </c:pt>
              <c:pt idx="53">
                <c:v>-5.1887323193256722E-2</c:v>
              </c:pt>
              <c:pt idx="54">
                <c:v>-4.5438422123477019E-2</c:v>
              </c:pt>
              <c:pt idx="55">
                <c:v>-3.7717780269825099E-2</c:v>
              </c:pt>
              <c:pt idx="56">
                <c:v>-3.6178763038987691E-2</c:v>
              </c:pt>
              <c:pt idx="57">
                <c:v>-3.6062069802629965E-2</c:v>
              </c:pt>
              <c:pt idx="58">
                <c:v>-3.6005753573323127E-2</c:v>
              </c:pt>
              <c:pt idx="59">
                <c:v>-3.5904571949115727E-2</c:v>
              </c:pt>
              <c:pt idx="60">
                <c:v>-3.088554846404053E-2</c:v>
              </c:pt>
              <c:pt idx="61">
                <c:v>-2.1377743010404793E-2</c:v>
              </c:pt>
              <c:pt idx="62">
                <c:v>-1.9263726866873679E-2</c:v>
              </c:pt>
              <c:pt idx="63">
                <c:v>-1.2003556366035433E-2</c:v>
              </c:pt>
              <c:pt idx="64">
                <c:v>-9.1196227887591717E-3</c:v>
              </c:pt>
              <c:pt idx="65">
                <c:v>-6.0909038179758294E-3</c:v>
              </c:pt>
              <c:pt idx="66">
                <c:v>-4.1605856437494501E-3</c:v>
              </c:pt>
              <c:pt idx="67">
                <c:v>2.714548370957132E-3</c:v>
              </c:pt>
              <c:pt idx="68">
                <c:v>9.9521490249175129E-3</c:v>
              </c:pt>
              <c:pt idx="69">
                <c:v>1.0016660500429434E-2</c:v>
              </c:pt>
              <c:pt idx="70">
                <c:v>1.1820032114466316E-2</c:v>
              </c:pt>
              <c:pt idx="71">
                <c:v>1.6296032919777565E-2</c:v>
              </c:pt>
              <c:pt idx="72">
                <c:v>2.0768040501668195E-2</c:v>
              </c:pt>
              <c:pt idx="73">
                <c:v>2.2309404310008048E-2</c:v>
              </c:pt>
              <c:pt idx="74">
                <c:v>2.3378345812347632E-2</c:v>
              </c:pt>
              <c:pt idx="75">
                <c:v>2.7397104811769303E-2</c:v>
              </c:pt>
              <c:pt idx="76">
                <c:v>2.8226132057859191E-2</c:v>
              </c:pt>
              <c:pt idx="77">
                <c:v>2.9523517678788285E-2</c:v>
              </c:pt>
              <c:pt idx="78">
                <c:v>4.0243129456319478E-2</c:v>
              </c:pt>
              <c:pt idx="79">
                <c:v>4.0792141248156208E-2</c:v>
              </c:pt>
              <c:pt idx="80">
                <c:v>4.0932200587033479E-2</c:v>
              </c:pt>
              <c:pt idx="81">
                <c:v>4.3786957497905468E-2</c:v>
              </c:pt>
              <c:pt idx="82">
                <c:v>4.6627502021846061E-2</c:v>
              </c:pt>
              <c:pt idx="83">
                <c:v>4.6981800525656363E-2</c:v>
              </c:pt>
              <c:pt idx="84">
                <c:v>4.7245936786402154E-2</c:v>
              </c:pt>
              <c:pt idx="85">
                <c:v>5.486127954459312E-2</c:v>
              </c:pt>
              <c:pt idx="86">
                <c:v>5.9739090271296591E-2</c:v>
              </c:pt>
              <c:pt idx="87">
                <c:v>6.1060468718132609E-2</c:v>
              </c:pt>
              <c:pt idx="88">
                <c:v>6.9565373265094779E-2</c:v>
              </c:pt>
              <c:pt idx="89">
                <c:v>8.4892379428311904E-2</c:v>
              </c:pt>
              <c:pt idx="90">
                <c:v>8.8095956776506432E-2</c:v>
              </c:pt>
              <c:pt idx="91">
                <c:v>9.0675927077498317E-2</c:v>
              </c:pt>
              <c:pt idx="92">
                <c:v>9.1148693333631403E-2</c:v>
              </c:pt>
              <c:pt idx="93">
                <c:v>9.7441782572561531E-2</c:v>
              </c:pt>
              <c:pt idx="94">
                <c:v>9.7532015328333985E-2</c:v>
              </c:pt>
              <c:pt idx="95">
                <c:v>0.10407596437848825</c:v>
              </c:pt>
              <c:pt idx="96">
                <c:v>0.10567143599879392</c:v>
              </c:pt>
              <c:pt idx="97">
                <c:v>0.10840937245962412</c:v>
              </c:pt>
              <c:pt idx="98">
                <c:v>0.1138933793427972</c:v>
              </c:pt>
              <c:pt idx="99">
                <c:v>0.11426557300076193</c:v>
              </c:pt>
              <c:pt idx="100">
                <c:v>0.117790119685868</c:v>
              </c:pt>
              <c:pt idx="101">
                <c:v>0.12399670593575295</c:v>
              </c:pt>
              <c:pt idx="102">
                <c:v>0.12642160617959591</c:v>
              </c:pt>
              <c:pt idx="103">
                <c:v>0.1311723659662348</c:v>
              </c:pt>
              <c:pt idx="104">
                <c:v>0.13441895856219854</c:v>
              </c:pt>
              <c:pt idx="105">
                <c:v>0.13892375570694018</c:v>
              </c:pt>
              <c:pt idx="106">
                <c:v>0.14583318806861054</c:v>
              </c:pt>
              <c:pt idx="107">
                <c:v>0.14851899640787258</c:v>
              </c:pt>
              <c:pt idx="108">
                <c:v>0.15179275941040252</c:v>
              </c:pt>
              <c:pt idx="109">
                <c:v>0.15527601412157177</c:v>
              </c:pt>
              <c:pt idx="110">
                <c:v>0.15881256515212672</c:v>
              </c:pt>
              <c:pt idx="111">
                <c:v>0.16922316077697683</c:v>
              </c:pt>
              <c:pt idx="112">
                <c:v>0.17116778758721424</c:v>
              </c:pt>
              <c:pt idx="113">
                <c:v>0.20244587237716927</c:v>
              </c:pt>
              <c:pt idx="114">
                <c:v>0.20539403930085301</c:v>
              </c:pt>
              <c:pt idx="115">
                <c:v>0.21211203028661663</c:v>
              </c:pt>
              <c:pt idx="116">
                <c:v>0.22130466478712343</c:v>
              </c:pt>
              <c:pt idx="117">
                <c:v>0.22386797746373666</c:v>
              </c:pt>
              <c:pt idx="118">
                <c:v>0.23758298577427131</c:v>
              </c:pt>
              <c:pt idx="119">
                <c:v>0.24486489409018003</c:v>
              </c:pt>
              <c:pt idx="120">
                <c:v>0.2510223006371563</c:v>
              </c:pt>
              <c:pt idx="121">
                <c:v>0.25679136750347858</c:v>
              </c:pt>
              <c:pt idx="122">
                <c:v>0.26027124972659405</c:v>
              </c:pt>
              <c:pt idx="123">
                <c:v>0.26438147552250879</c:v>
              </c:pt>
              <c:pt idx="124">
                <c:v>0.26964500512642603</c:v>
              </c:pt>
              <c:pt idx="125">
                <c:v>0.42485184588698333</c:v>
              </c:pt>
              <c:pt idx="126">
                <c:v>0.6730567993508183</c:v>
              </c:pt>
              <c:pt idx="127">
                <c:v>0.70596494711120572</c:v>
              </c:pt>
              <c:pt idx="128">
                <c:v>0.77791817801100627</c:v>
              </c:pt>
              <c:pt idx="129">
                <c:v>0.82181344806977918</c:v>
              </c:pt>
              <c:pt idx="130">
                <c:v>0.99958581153237303</c:v>
              </c:pt>
              <c:pt idx="131">
                <c:v>1.0110972438906505</c:v>
              </c:pt>
              <c:pt idx="132">
                <c:v>1.0197356139669069</c:v>
              </c:pt>
              <c:pt idx="133">
                <c:v>1.10686966341378</c:v>
              </c:pt>
              <c:pt idx="134">
                <c:v>2.2037637224102289</c:v>
              </c:pt>
              <c:pt idx="135">
                <c:v>9.5600024003382167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AE57-41BA-817A-609508063D31}"/>
            </c:ext>
          </c:extLst>
        </c:ser>
        <c:ser>
          <c:idx val="1"/>
          <c:order val="1"/>
          <c:tx>
            <c:v>Theoretical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136"/>
              <c:pt idx="0">
                <c:v>-2.4421880491253143</c:v>
              </c:pt>
              <c:pt idx="1">
                <c:v>-2.1808153021682743</c:v>
              </c:pt>
              <c:pt idx="2">
                <c:v>-2.0160416527263889</c:v>
              </c:pt>
              <c:pt idx="3">
                <c:v>-1.8927271749816086</c:v>
              </c:pt>
              <c:pt idx="4">
                <c:v>-1.7928763311641345</c:v>
              </c:pt>
              <c:pt idx="5">
                <c:v>-1.7082431184356848</c:v>
              </c:pt>
              <c:pt idx="6">
                <c:v>-1.6343290311739951</c:v>
              </c:pt>
              <c:pt idx="7">
                <c:v>-1.5683978131253791</c:v>
              </c:pt>
              <c:pt idx="8">
                <c:v>-1.5086554288199723</c:v>
              </c:pt>
              <c:pt idx="9">
                <c:v>-1.4538590016426736</c:v>
              </c:pt>
              <c:pt idx="10">
                <c:v>-1.4031103288021298</c:v>
              </c:pt>
              <c:pt idx="11">
                <c:v>-1.3557381963313866</c:v>
              </c:pt>
              <c:pt idx="12">
                <c:v>-1.3112271808003206</c:v>
              </c:pt>
              <c:pt idx="13">
                <c:v>-1.269172457559324</c:v>
              </c:pt>
              <c:pt idx="14">
                <c:v>-1.2292499609031462</c:v>
              </c:pt>
              <c:pt idx="15">
                <c:v>-1.1911960182089929</c:v>
              </c:pt>
              <c:pt idx="16">
                <c:v>-1.1547930533436743</c:v>
              </c:pt>
              <c:pt idx="17">
                <c:v>-1.1198593043168414</c:v>
              </c:pt>
              <c:pt idx="18">
                <c:v>-1.0862412702562496</c:v>
              </c:pt>
              <c:pt idx="19">
                <c:v>-1.0538080593349772</c:v>
              </c:pt>
              <c:pt idx="20">
                <c:v>-1.0224470891122484</c:v>
              </c:pt>
              <c:pt idx="21">
                <c:v>-0.99206076735168713</c:v>
              </c:pt>
              <c:pt idx="22">
                <c:v>-0.96256389575654266</c:v>
              </c:pt>
              <c:pt idx="23">
                <c:v>-0.93388161486624266</c:v>
              </c:pt>
              <c:pt idx="24">
                <c:v>-0.90594775965164942</c:v>
              </c:pt>
              <c:pt idx="25">
                <c:v>-0.87870353070900364</c:v>
              </c:pt>
              <c:pt idx="26">
                <c:v>-0.85209641074996312</c:v>
              </c:pt>
              <c:pt idx="27">
                <c:v>-0.82607927374516243</c:v>
              </c:pt>
              <c:pt idx="28">
                <c:v>-0.80060964683518954</c:v>
              </c:pt>
              <c:pt idx="29">
                <c:v>-0.77564909445822994</c:v>
              </c:pt>
              <c:pt idx="30">
                <c:v>-0.75116270105805993</c:v>
              </c:pt>
              <c:pt idx="31">
                <c:v>-0.72711863391436637</c:v>
              </c:pt>
              <c:pt idx="32">
                <c:v>-0.70348777155606745</c:v>
              </c:pt>
              <c:pt idx="33">
                <c:v>-0.68024338621206992</c:v>
              </c:pt>
              <c:pt idx="34">
                <c:v>-0.65736087106186036</c:v>
              </c:pt>
              <c:pt idx="35">
                <c:v>-0.63481750484239274</c:v>
              </c:pt>
              <c:pt idx="36">
                <c:v>-0.61259224777345078</c:v>
              </c:pt>
              <c:pt idx="37">
                <c:v>-0.59066556387310731</c:v>
              </c:pt>
              <c:pt idx="38">
                <c:v>-0.56901926561672789</c:v>
              </c:pt>
              <c:pt idx="39">
                <c:v>-0.54763637759838146</c:v>
              </c:pt>
              <c:pt idx="40">
                <c:v>-0.52650101642132652</c:v>
              </c:pt>
              <c:pt idx="41">
                <c:v>-0.5055982845039646</c:v>
              </c:pt>
              <c:pt idx="42">
                <c:v>-0.48491417586189661</c:v>
              </c:pt>
              <c:pt idx="43">
                <c:v>-0.46443549223297398</c:v>
              </c:pt>
              <c:pt idx="44">
                <c:v>-0.44414976816409463</c:v>
              </c:pt>
              <c:pt idx="45">
                <c:v>-0.42404520388658756</c:v>
              </c:pt>
              <c:pt idx="46">
                <c:v>-0.40411060497970364</c:v>
              </c:pt>
              <c:pt idx="47">
                <c:v>-0.38433532796565362</c:v>
              </c:pt>
              <c:pt idx="48">
                <c:v>-0.36470923110000675</c:v>
              </c:pt>
              <c:pt idx="49">
                <c:v>-0.34522262972237733</c:v>
              </c:pt>
              <c:pt idx="50">
                <c:v>-0.32586625561750387</c:v>
              </c:pt>
              <c:pt idx="51">
                <c:v>-0.30663121990884307</c:v>
              </c:pt>
              <c:pt idx="52">
                <c:v>-0.28750897906785555</c:v>
              </c:pt>
              <c:pt idx="53">
                <c:v>-0.26849130367407431</c:v>
              </c:pt>
              <c:pt idx="54">
                <c:v>-0.24957024960527571</c:v>
              </c:pt>
              <c:pt idx="55">
                <c:v>-0.23073813137485966</c:v>
              </c:pt>
              <c:pt idx="56">
                <c:v>-0.21198749736584974</c:v>
              </c:pt>
              <c:pt idx="57">
                <c:v>-0.19331110673860696</c:v>
              </c:pt>
              <c:pt idx="58">
                <c:v>-0.17470190781306269</c:v>
              </c:pt>
              <c:pt idx="59">
                <c:v>-0.15615301774660617</c:v>
              </c:pt>
              <c:pt idx="60">
                <c:v>-0.13765770334616576</c:v>
              </c:pt>
              <c:pt idx="61">
                <c:v>-0.11920936286789212</c:v>
              </c:pt>
              <c:pt idx="62">
                <c:v>-0.10080150867052502</c:v>
              </c:pt>
              <c:pt idx="63">
                <c:v>-8.2427750599248076E-2</c:v>
              </c:pt>
              <c:pt idx="64">
                <c:v>-6.4081779985855875E-2</c:v>
              </c:pt>
              <c:pt idx="65">
                <c:v>-4.5757354158539494E-2</c:v>
              </c:pt>
              <c:pt idx="66">
                <c:v>-2.7448281360703052E-2</c:v>
              </c:pt>
              <c:pt idx="67">
                <c:v>-9.1484059830602652E-3</c:v>
              </c:pt>
              <c:pt idx="68">
                <c:v>9.1484059830604057E-3</c:v>
              </c:pt>
              <c:pt idx="69">
                <c:v>2.7448281360703194E-2</c:v>
              </c:pt>
              <c:pt idx="70">
                <c:v>4.575735415853964E-2</c:v>
              </c:pt>
              <c:pt idx="71">
                <c:v>6.4081779985855875E-2</c:v>
              </c:pt>
              <c:pt idx="72">
                <c:v>8.2427750599248076E-2</c:v>
              </c:pt>
              <c:pt idx="73">
                <c:v>0.10080150867052502</c:v>
              </c:pt>
              <c:pt idx="74">
                <c:v>0.11920936286789212</c:v>
              </c:pt>
              <c:pt idx="75">
                <c:v>0.13765770334616576</c:v>
              </c:pt>
              <c:pt idx="76">
                <c:v>0.15615301774660617</c:v>
              </c:pt>
              <c:pt idx="77">
                <c:v>0.17470190781306255</c:v>
              </c:pt>
              <c:pt idx="78">
                <c:v>0.19331110673860685</c:v>
              </c:pt>
              <c:pt idx="79">
                <c:v>0.21198749736584957</c:v>
              </c:pt>
              <c:pt idx="80">
                <c:v>0.23073813137485977</c:v>
              </c:pt>
              <c:pt idx="81">
                <c:v>0.24957024960527588</c:v>
              </c:pt>
              <c:pt idx="82">
                <c:v>0.26849130367407442</c:v>
              </c:pt>
              <c:pt idx="83">
                <c:v>0.28750897906785572</c:v>
              </c:pt>
              <c:pt idx="84">
                <c:v>0.30663121990884307</c:v>
              </c:pt>
              <c:pt idx="85">
                <c:v>0.32586625561750387</c:v>
              </c:pt>
              <c:pt idx="86">
                <c:v>0.34522262972237733</c:v>
              </c:pt>
              <c:pt idx="87">
                <c:v>0.36470923110000675</c:v>
              </c:pt>
              <c:pt idx="88">
                <c:v>0.38433532796565362</c:v>
              </c:pt>
              <c:pt idx="89">
                <c:v>0.40411060497970364</c:v>
              </c:pt>
              <c:pt idx="90">
                <c:v>0.42404520388658723</c:v>
              </c:pt>
              <c:pt idx="91">
                <c:v>0.44414976816409452</c:v>
              </c:pt>
              <c:pt idx="92">
                <c:v>0.46443549223297381</c:v>
              </c:pt>
              <c:pt idx="93">
                <c:v>0.48491417586189683</c:v>
              </c:pt>
              <c:pt idx="94">
                <c:v>0.50559828450396482</c:v>
              </c:pt>
              <c:pt idx="95">
                <c:v>0.52650101642132674</c:v>
              </c:pt>
              <c:pt idx="96">
                <c:v>0.54763637759838146</c:v>
              </c:pt>
              <c:pt idx="97">
                <c:v>0.56901926561672789</c:v>
              </c:pt>
              <c:pt idx="98">
                <c:v>0.59066556387310731</c:v>
              </c:pt>
              <c:pt idx="99">
                <c:v>0.61259224777345078</c:v>
              </c:pt>
              <c:pt idx="100">
                <c:v>0.63481750484239274</c:v>
              </c:pt>
              <c:pt idx="101">
                <c:v>0.65736087106186036</c:v>
              </c:pt>
              <c:pt idx="102">
                <c:v>0.68024338621206992</c:v>
              </c:pt>
              <c:pt idx="103">
                <c:v>0.70348777155606745</c:v>
              </c:pt>
              <c:pt idx="104">
                <c:v>0.72711863391436626</c:v>
              </c:pt>
              <c:pt idx="105">
                <c:v>0.75116270105806004</c:v>
              </c:pt>
              <c:pt idx="106">
                <c:v>0.7756490944582306</c:v>
              </c:pt>
              <c:pt idx="107">
                <c:v>0.80060964683518954</c:v>
              </c:pt>
              <c:pt idx="108">
                <c:v>0.82607927374516243</c:v>
              </c:pt>
              <c:pt idx="109">
                <c:v>0.85209641074996312</c:v>
              </c:pt>
              <c:pt idx="110">
                <c:v>0.87870353070900364</c:v>
              </c:pt>
              <c:pt idx="111">
                <c:v>0.90594775965164942</c:v>
              </c:pt>
              <c:pt idx="112">
                <c:v>0.93388161486624266</c:v>
              </c:pt>
              <c:pt idx="113">
                <c:v>0.96256389575654266</c:v>
              </c:pt>
              <c:pt idx="114">
                <c:v>0.99206076735168713</c:v>
              </c:pt>
              <c:pt idx="115">
                <c:v>1.0224470891122484</c:v>
              </c:pt>
              <c:pt idx="116">
                <c:v>1.053808059334977</c:v>
              </c:pt>
              <c:pt idx="117">
                <c:v>1.0862412702562496</c:v>
              </c:pt>
              <c:pt idx="118">
                <c:v>1.1198593043168414</c:v>
              </c:pt>
              <c:pt idx="119">
                <c:v>1.1547930533436743</c:v>
              </c:pt>
              <c:pt idx="120">
                <c:v>1.1911960182089929</c:v>
              </c:pt>
              <c:pt idx="121">
                <c:v>1.2292499609031462</c:v>
              </c:pt>
              <c:pt idx="122">
                <c:v>1.269172457559324</c:v>
              </c:pt>
              <c:pt idx="123">
                <c:v>1.3112271808003206</c:v>
              </c:pt>
              <c:pt idx="124">
                <c:v>1.3557381963313866</c:v>
              </c:pt>
              <c:pt idx="125">
                <c:v>1.4031103288021298</c:v>
              </c:pt>
              <c:pt idx="126">
                <c:v>1.453859001642674</c:v>
              </c:pt>
              <c:pt idx="127">
                <c:v>1.5086554288199729</c:v>
              </c:pt>
              <c:pt idx="128">
                <c:v>1.5683978131253788</c:v>
              </c:pt>
              <c:pt idx="129">
                <c:v>1.6343290311739946</c:v>
              </c:pt>
              <c:pt idx="130">
                <c:v>1.7082431184356857</c:v>
              </c:pt>
              <c:pt idx="131">
                <c:v>1.7928763311641345</c:v>
              </c:pt>
              <c:pt idx="132">
                <c:v>1.8927271749816097</c:v>
              </c:pt>
              <c:pt idx="133">
                <c:v>2.0160416527263894</c:v>
              </c:pt>
              <c:pt idx="134">
                <c:v>2.1808153021682743</c:v>
              </c:pt>
              <c:pt idx="135">
                <c:v>2.4421880491253143</c:v>
              </c:pt>
            </c:numLit>
          </c:xVal>
          <c:yVal>
            <c:numLit>
              <c:formatCode>General</c:formatCode>
              <c:ptCount val="136"/>
              <c:pt idx="0">
                <c:v>-2.4421880491253143</c:v>
              </c:pt>
              <c:pt idx="1">
                <c:v>-2.1808153021682743</c:v>
              </c:pt>
              <c:pt idx="2">
                <c:v>-2.0160416527263889</c:v>
              </c:pt>
              <c:pt idx="3">
                <c:v>-1.8927271749816086</c:v>
              </c:pt>
              <c:pt idx="4">
                <c:v>-1.7928763311641345</c:v>
              </c:pt>
              <c:pt idx="5">
                <c:v>-1.7082431184356848</c:v>
              </c:pt>
              <c:pt idx="6">
                <c:v>-1.6343290311739951</c:v>
              </c:pt>
              <c:pt idx="7">
                <c:v>-1.5683978131253791</c:v>
              </c:pt>
              <c:pt idx="8">
                <c:v>-1.5086554288199723</c:v>
              </c:pt>
              <c:pt idx="9">
                <c:v>-1.4538590016426736</c:v>
              </c:pt>
              <c:pt idx="10">
                <c:v>-1.4031103288021298</c:v>
              </c:pt>
              <c:pt idx="11">
                <c:v>-1.3557381963313866</c:v>
              </c:pt>
              <c:pt idx="12">
                <c:v>-1.3112271808003206</c:v>
              </c:pt>
              <c:pt idx="13">
                <c:v>-1.269172457559324</c:v>
              </c:pt>
              <c:pt idx="14">
                <c:v>-1.2292499609031462</c:v>
              </c:pt>
              <c:pt idx="15">
                <c:v>-1.1911960182089929</c:v>
              </c:pt>
              <c:pt idx="16">
                <c:v>-1.1547930533436743</c:v>
              </c:pt>
              <c:pt idx="17">
                <c:v>-1.1198593043168414</c:v>
              </c:pt>
              <c:pt idx="18">
                <c:v>-1.0862412702562496</c:v>
              </c:pt>
              <c:pt idx="19">
                <c:v>-1.0538080593349772</c:v>
              </c:pt>
              <c:pt idx="20">
                <c:v>-1.0224470891122484</c:v>
              </c:pt>
              <c:pt idx="21">
                <c:v>-0.99206076735168713</c:v>
              </c:pt>
              <c:pt idx="22">
                <c:v>-0.96256389575654266</c:v>
              </c:pt>
              <c:pt idx="23">
                <c:v>-0.93388161486624266</c:v>
              </c:pt>
              <c:pt idx="24">
                <c:v>-0.90594775965164942</c:v>
              </c:pt>
              <c:pt idx="25">
                <c:v>-0.87870353070900364</c:v>
              </c:pt>
              <c:pt idx="26">
                <c:v>-0.85209641074996312</c:v>
              </c:pt>
              <c:pt idx="27">
                <c:v>-0.82607927374516243</c:v>
              </c:pt>
              <c:pt idx="28">
                <c:v>-0.80060964683518954</c:v>
              </c:pt>
              <c:pt idx="29">
                <c:v>-0.77564909445822994</c:v>
              </c:pt>
              <c:pt idx="30">
                <c:v>-0.75116270105805993</c:v>
              </c:pt>
              <c:pt idx="31">
                <c:v>-0.72711863391436637</c:v>
              </c:pt>
              <c:pt idx="32">
                <c:v>-0.70348777155606745</c:v>
              </c:pt>
              <c:pt idx="33">
                <c:v>-0.68024338621206992</c:v>
              </c:pt>
              <c:pt idx="34">
                <c:v>-0.65736087106186036</c:v>
              </c:pt>
              <c:pt idx="35">
                <c:v>-0.63481750484239274</c:v>
              </c:pt>
              <c:pt idx="36">
                <c:v>-0.61259224777345078</c:v>
              </c:pt>
              <c:pt idx="37">
                <c:v>-0.59066556387310731</c:v>
              </c:pt>
              <c:pt idx="38">
                <c:v>-0.56901926561672789</c:v>
              </c:pt>
              <c:pt idx="39">
                <c:v>-0.54763637759838146</c:v>
              </c:pt>
              <c:pt idx="40">
                <c:v>-0.52650101642132652</c:v>
              </c:pt>
              <c:pt idx="41">
                <c:v>-0.5055982845039646</c:v>
              </c:pt>
              <c:pt idx="42">
                <c:v>-0.48491417586189661</c:v>
              </c:pt>
              <c:pt idx="43">
                <c:v>-0.46443549223297398</c:v>
              </c:pt>
              <c:pt idx="44">
                <c:v>-0.44414976816409463</c:v>
              </c:pt>
              <c:pt idx="45">
                <c:v>-0.42404520388658756</c:v>
              </c:pt>
              <c:pt idx="46">
                <c:v>-0.40411060497970364</c:v>
              </c:pt>
              <c:pt idx="47">
                <c:v>-0.38433532796565362</c:v>
              </c:pt>
              <c:pt idx="48">
                <c:v>-0.36470923110000675</c:v>
              </c:pt>
              <c:pt idx="49">
                <c:v>-0.34522262972237733</c:v>
              </c:pt>
              <c:pt idx="50">
                <c:v>-0.32586625561750387</c:v>
              </c:pt>
              <c:pt idx="51">
                <c:v>-0.30663121990884307</c:v>
              </c:pt>
              <c:pt idx="52">
                <c:v>-0.28750897906785555</c:v>
              </c:pt>
              <c:pt idx="53">
                <c:v>-0.26849130367407431</c:v>
              </c:pt>
              <c:pt idx="54">
                <c:v>-0.24957024960527571</c:v>
              </c:pt>
              <c:pt idx="55">
                <c:v>-0.23073813137485966</c:v>
              </c:pt>
              <c:pt idx="56">
                <c:v>-0.21198749736584974</c:v>
              </c:pt>
              <c:pt idx="57">
                <c:v>-0.19331110673860696</c:v>
              </c:pt>
              <c:pt idx="58">
                <c:v>-0.17470190781306269</c:v>
              </c:pt>
              <c:pt idx="59">
                <c:v>-0.15615301774660617</c:v>
              </c:pt>
              <c:pt idx="60">
                <c:v>-0.13765770334616576</c:v>
              </c:pt>
              <c:pt idx="61">
                <c:v>-0.11920936286789212</c:v>
              </c:pt>
              <c:pt idx="62">
                <c:v>-0.10080150867052502</c:v>
              </c:pt>
              <c:pt idx="63">
                <c:v>-8.2427750599248076E-2</c:v>
              </c:pt>
              <c:pt idx="64">
                <c:v>-6.4081779985855875E-2</c:v>
              </c:pt>
              <c:pt idx="65">
                <c:v>-4.5757354158539494E-2</c:v>
              </c:pt>
              <c:pt idx="66">
                <c:v>-2.7448281360703052E-2</c:v>
              </c:pt>
              <c:pt idx="67">
                <c:v>-9.1484059830602652E-3</c:v>
              </c:pt>
              <c:pt idx="68">
                <c:v>9.1484059830604057E-3</c:v>
              </c:pt>
              <c:pt idx="69">
                <c:v>2.7448281360703194E-2</c:v>
              </c:pt>
              <c:pt idx="70">
                <c:v>4.575735415853964E-2</c:v>
              </c:pt>
              <c:pt idx="71">
                <c:v>6.4081779985855875E-2</c:v>
              </c:pt>
              <c:pt idx="72">
                <c:v>8.2427750599248076E-2</c:v>
              </c:pt>
              <c:pt idx="73">
                <c:v>0.10080150867052502</c:v>
              </c:pt>
              <c:pt idx="74">
                <c:v>0.11920936286789212</c:v>
              </c:pt>
              <c:pt idx="75">
                <c:v>0.13765770334616576</c:v>
              </c:pt>
              <c:pt idx="76">
                <c:v>0.15615301774660617</c:v>
              </c:pt>
              <c:pt idx="77">
                <c:v>0.17470190781306255</c:v>
              </c:pt>
              <c:pt idx="78">
                <c:v>0.19331110673860685</c:v>
              </c:pt>
              <c:pt idx="79">
                <c:v>0.21198749736584957</c:v>
              </c:pt>
              <c:pt idx="80">
                <c:v>0.23073813137485977</c:v>
              </c:pt>
              <c:pt idx="81">
                <c:v>0.24957024960527588</c:v>
              </c:pt>
              <c:pt idx="82">
                <c:v>0.26849130367407442</c:v>
              </c:pt>
              <c:pt idx="83">
                <c:v>0.28750897906785572</c:v>
              </c:pt>
              <c:pt idx="84">
                <c:v>0.30663121990884307</c:v>
              </c:pt>
              <c:pt idx="85">
                <c:v>0.32586625561750387</c:v>
              </c:pt>
              <c:pt idx="86">
                <c:v>0.34522262972237733</c:v>
              </c:pt>
              <c:pt idx="87">
                <c:v>0.36470923110000675</c:v>
              </c:pt>
              <c:pt idx="88">
                <c:v>0.38433532796565362</c:v>
              </c:pt>
              <c:pt idx="89">
                <c:v>0.40411060497970364</c:v>
              </c:pt>
              <c:pt idx="90">
                <c:v>0.42404520388658723</c:v>
              </c:pt>
              <c:pt idx="91">
                <c:v>0.44414976816409452</c:v>
              </c:pt>
              <c:pt idx="92">
                <c:v>0.46443549223297381</c:v>
              </c:pt>
              <c:pt idx="93">
                <c:v>0.48491417586189683</c:v>
              </c:pt>
              <c:pt idx="94">
                <c:v>0.50559828450396482</c:v>
              </c:pt>
              <c:pt idx="95">
                <c:v>0.52650101642132674</c:v>
              </c:pt>
              <c:pt idx="96">
                <c:v>0.54763637759838146</c:v>
              </c:pt>
              <c:pt idx="97">
                <c:v>0.56901926561672789</c:v>
              </c:pt>
              <c:pt idx="98">
                <c:v>0.59066556387310731</c:v>
              </c:pt>
              <c:pt idx="99">
                <c:v>0.61259224777345078</c:v>
              </c:pt>
              <c:pt idx="100">
                <c:v>0.63481750484239274</c:v>
              </c:pt>
              <c:pt idx="101">
                <c:v>0.65736087106186036</c:v>
              </c:pt>
              <c:pt idx="102">
                <c:v>0.68024338621206992</c:v>
              </c:pt>
              <c:pt idx="103">
                <c:v>0.70348777155606745</c:v>
              </c:pt>
              <c:pt idx="104">
                <c:v>0.72711863391436626</c:v>
              </c:pt>
              <c:pt idx="105">
                <c:v>0.75116270105806004</c:v>
              </c:pt>
              <c:pt idx="106">
                <c:v>0.7756490944582306</c:v>
              </c:pt>
              <c:pt idx="107">
                <c:v>0.80060964683518954</c:v>
              </c:pt>
              <c:pt idx="108">
                <c:v>0.82607927374516243</c:v>
              </c:pt>
              <c:pt idx="109">
                <c:v>0.85209641074996312</c:v>
              </c:pt>
              <c:pt idx="110">
                <c:v>0.87870353070900364</c:v>
              </c:pt>
              <c:pt idx="111">
                <c:v>0.90594775965164942</c:v>
              </c:pt>
              <c:pt idx="112">
                <c:v>0.93388161486624266</c:v>
              </c:pt>
              <c:pt idx="113">
                <c:v>0.96256389575654266</c:v>
              </c:pt>
              <c:pt idx="114">
                <c:v>0.99206076735168713</c:v>
              </c:pt>
              <c:pt idx="115">
                <c:v>1.0224470891122484</c:v>
              </c:pt>
              <c:pt idx="116">
                <c:v>1.053808059334977</c:v>
              </c:pt>
              <c:pt idx="117">
                <c:v>1.0862412702562496</c:v>
              </c:pt>
              <c:pt idx="118">
                <c:v>1.1198593043168414</c:v>
              </c:pt>
              <c:pt idx="119">
                <c:v>1.1547930533436743</c:v>
              </c:pt>
              <c:pt idx="120">
                <c:v>1.1911960182089929</c:v>
              </c:pt>
              <c:pt idx="121">
                <c:v>1.2292499609031462</c:v>
              </c:pt>
              <c:pt idx="122">
                <c:v>1.269172457559324</c:v>
              </c:pt>
              <c:pt idx="123">
                <c:v>1.3112271808003206</c:v>
              </c:pt>
              <c:pt idx="124">
                <c:v>1.3557381963313866</c:v>
              </c:pt>
              <c:pt idx="125">
                <c:v>1.4031103288021298</c:v>
              </c:pt>
              <c:pt idx="126">
                <c:v>1.453859001642674</c:v>
              </c:pt>
              <c:pt idx="127">
                <c:v>1.5086554288199729</c:v>
              </c:pt>
              <c:pt idx="128">
                <c:v>1.5683978131253788</c:v>
              </c:pt>
              <c:pt idx="129">
                <c:v>1.6343290311739946</c:v>
              </c:pt>
              <c:pt idx="130">
                <c:v>1.7082431184356857</c:v>
              </c:pt>
              <c:pt idx="131">
                <c:v>1.7928763311641345</c:v>
              </c:pt>
              <c:pt idx="132">
                <c:v>1.8927271749816097</c:v>
              </c:pt>
              <c:pt idx="133">
                <c:v>2.0160416527263894</c:v>
              </c:pt>
              <c:pt idx="134">
                <c:v>2.1808153021682743</c:v>
              </c:pt>
              <c:pt idx="135">
                <c:v>2.4421880491253143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AE57-41BA-817A-609508063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276104"/>
        <c:axId val="726276496"/>
      </c:scatterChart>
      <c:valAx>
        <c:axId val="726276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</a:t>
                </a:r>
                <a:r>
                  <a:rPr lang="en-US" sz="900"/>
                  <a:t>ormality test (A-D*):  P &lt; 0.001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crossAx val="726276496"/>
        <c:crosses val="autoZero"/>
        <c:crossBetween val="midCat"/>
        <c:majorUnit val="1"/>
      </c:valAx>
      <c:valAx>
        <c:axId val="7262764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26276104"/>
        <c:crossesAt val="-3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TTM_EBITDA
</a:t>
            </a:r>
            <a:r>
              <a:rPr lang="en-US" sz="1000"/>
              <a:t>Model 12 for EV    (3 variables, n=136)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36"/>
              <c:pt idx="0">
                <c:v>-26.742999999999999</c:v>
              </c:pt>
              <c:pt idx="1">
                <c:v>-13.42</c:v>
              </c:pt>
              <c:pt idx="2">
                <c:v>-9.2555696202529987</c:v>
              </c:pt>
              <c:pt idx="3">
                <c:v>18.034611999999999</c:v>
              </c:pt>
              <c:pt idx="4">
                <c:v>214.69400000000002</c:v>
              </c:pt>
              <c:pt idx="5">
                <c:v>3089.8100000000004</c:v>
              </c:pt>
              <c:pt idx="6">
                <c:v>6.6750000000000007</c:v>
              </c:pt>
              <c:pt idx="7">
                <c:v>78.801000000000002</c:v>
              </c:pt>
              <c:pt idx="8">
                <c:v>-8.6230000000000011</c:v>
              </c:pt>
              <c:pt idx="9">
                <c:v>-3.4740000000000002</c:v>
              </c:pt>
              <c:pt idx="10">
                <c:v>-13.546000000000001</c:v>
              </c:pt>
              <c:pt idx="11">
                <c:v>-4.3256870000000003</c:v>
              </c:pt>
              <c:pt idx="12">
                <c:v>16.959000000000003</c:v>
              </c:pt>
              <c:pt idx="13">
                <c:v>31.149000000000001</c:v>
              </c:pt>
              <c:pt idx="14">
                <c:v>-30.616</c:v>
              </c:pt>
              <c:pt idx="15">
                <c:v>-14.339075949367</c:v>
              </c:pt>
              <c:pt idx="16">
                <c:v>218.595</c:v>
              </c:pt>
              <c:pt idx="17">
                <c:v>325.79999999999995</c:v>
              </c:pt>
              <c:pt idx="18">
                <c:v>43.517999999999994</c:v>
              </c:pt>
              <c:pt idx="19">
                <c:v>3.6139999999999999</c:v>
              </c:pt>
              <c:pt idx="20">
                <c:v>-12.381475760643527</c:v>
              </c:pt>
              <c:pt idx="21">
                <c:v>-131.1</c:v>
              </c:pt>
              <c:pt idx="22">
                <c:v>-43.302999999999997</c:v>
              </c:pt>
              <c:pt idx="23">
                <c:v>163.30981038419148</c:v>
              </c:pt>
              <c:pt idx="24">
                <c:v>-11.269886075949</c:v>
              </c:pt>
              <c:pt idx="25">
                <c:v>162.346</c:v>
              </c:pt>
              <c:pt idx="26">
                <c:v>-13.472000000000001</c:v>
              </c:pt>
              <c:pt idx="27">
                <c:v>54.477999999999994</c:v>
              </c:pt>
              <c:pt idx="28">
                <c:v>-104.10600000000001</c:v>
              </c:pt>
              <c:pt idx="29">
                <c:v>1440</c:v>
              </c:pt>
              <c:pt idx="30">
                <c:v>518.21699999999998</c:v>
              </c:pt>
              <c:pt idx="31">
                <c:v>35.430999999999997</c:v>
              </c:pt>
              <c:pt idx="32">
                <c:v>-48.109000000000002</c:v>
              </c:pt>
              <c:pt idx="33">
                <c:v>-4.3410000000000002</c:v>
              </c:pt>
              <c:pt idx="34">
                <c:v>949.65100000000007</c:v>
              </c:pt>
              <c:pt idx="35">
                <c:v>891.87300000000005</c:v>
              </c:pt>
              <c:pt idx="36">
                <c:v>-176.494</c:v>
              </c:pt>
              <c:pt idx="37">
                <c:v>20.122</c:v>
              </c:pt>
              <c:pt idx="38">
                <c:v>707.22400000000005</c:v>
              </c:pt>
              <c:pt idx="39">
                <c:v>15.740000000000002</c:v>
              </c:pt>
              <c:pt idx="40">
                <c:v>-34.963000000000001</c:v>
              </c:pt>
              <c:pt idx="41">
                <c:v>20.859000000000002</c:v>
              </c:pt>
              <c:pt idx="42">
                <c:v>33.942999999999998</c:v>
              </c:pt>
              <c:pt idx="43">
                <c:v>-12.440999999999999</c:v>
              </c:pt>
              <c:pt idx="44">
                <c:v>83.233999999999995</c:v>
              </c:pt>
              <c:pt idx="45">
                <c:v>-158.636</c:v>
              </c:pt>
              <c:pt idx="46">
                <c:v>68.100000000000009</c:v>
              </c:pt>
              <c:pt idx="47">
                <c:v>1151</c:v>
              </c:pt>
              <c:pt idx="48">
                <c:v>145.13300000000001</c:v>
              </c:pt>
              <c:pt idx="49">
                <c:v>1.6520000000000001</c:v>
              </c:pt>
              <c:pt idx="50">
                <c:v>85.867999999999995</c:v>
              </c:pt>
              <c:pt idx="51">
                <c:v>-24.664999999999999</c:v>
              </c:pt>
              <c:pt idx="52">
                <c:v>12.963605572070199</c:v>
              </c:pt>
              <c:pt idx="53">
                <c:v>-128.273</c:v>
              </c:pt>
              <c:pt idx="54">
                <c:v>10.643000000000001</c:v>
              </c:pt>
              <c:pt idx="55">
                <c:v>-82.965000000000003</c:v>
              </c:pt>
              <c:pt idx="56">
                <c:v>213.77799999999999</c:v>
              </c:pt>
              <c:pt idx="57">
                <c:v>-42.642000000000003</c:v>
              </c:pt>
              <c:pt idx="58">
                <c:v>-10.102160110826825</c:v>
              </c:pt>
              <c:pt idx="59">
                <c:v>28.280999999999985</c:v>
              </c:pt>
              <c:pt idx="60">
                <c:v>-163.124</c:v>
              </c:pt>
              <c:pt idx="61">
                <c:v>-24.503810126582</c:v>
              </c:pt>
              <c:pt idx="62">
                <c:v>7.0558987341769992</c:v>
              </c:pt>
              <c:pt idx="63">
                <c:v>100.64099999999999</c:v>
              </c:pt>
              <c:pt idx="64">
                <c:v>-40.238</c:v>
              </c:pt>
              <c:pt idx="65">
                <c:v>1823</c:v>
              </c:pt>
              <c:pt idx="66">
                <c:v>412.85069230769199</c:v>
              </c:pt>
              <c:pt idx="67">
                <c:v>35.331999999999994</c:v>
              </c:pt>
              <c:pt idx="68">
                <c:v>9.7840000000000007</c:v>
              </c:pt>
              <c:pt idx="69">
                <c:v>389.65500000000003</c:v>
              </c:pt>
              <c:pt idx="70">
                <c:v>41.933999999999997</c:v>
              </c:pt>
              <c:pt idx="71">
                <c:v>152.07</c:v>
              </c:pt>
              <c:pt idx="72">
                <c:v>-107.69300000000001</c:v>
              </c:pt>
              <c:pt idx="73">
                <c:v>82.144000000000005</c:v>
              </c:pt>
              <c:pt idx="74">
                <c:v>45319</c:v>
              </c:pt>
              <c:pt idx="75">
                <c:v>47.558000000000007</c:v>
              </c:pt>
              <c:pt idx="76">
                <c:v>17.619</c:v>
              </c:pt>
              <c:pt idx="77">
                <c:v>-11.435911392404998</c:v>
              </c:pt>
              <c:pt idx="78">
                <c:v>6.4513846153849999</c:v>
              </c:pt>
              <c:pt idx="79">
                <c:v>-47.040999999999997</c:v>
              </c:pt>
              <c:pt idx="80">
                <c:v>-12.936999999999999</c:v>
              </c:pt>
              <c:pt idx="81">
                <c:v>40.060203810127</c:v>
              </c:pt>
              <c:pt idx="82">
                <c:v>-2.2589999999999986</c:v>
              </c:pt>
              <c:pt idx="83">
                <c:v>344.83600000000001</c:v>
              </c:pt>
              <c:pt idx="84">
                <c:v>-222.005860759494</c:v>
              </c:pt>
              <c:pt idx="85">
                <c:v>-116.569</c:v>
              </c:pt>
              <c:pt idx="86">
                <c:v>18.504999999999999</c:v>
              </c:pt>
              <c:pt idx="87">
                <c:v>991.54299999999989</c:v>
              </c:pt>
              <c:pt idx="88">
                <c:v>-23.433501</c:v>
              </c:pt>
              <c:pt idx="89">
                <c:v>17054</c:v>
              </c:pt>
              <c:pt idx="90">
                <c:v>148.13299999999998</c:v>
              </c:pt>
              <c:pt idx="91">
                <c:v>46.511999999999993</c:v>
              </c:pt>
              <c:pt idx="92">
                <c:v>16.656999999999996</c:v>
              </c:pt>
              <c:pt idx="93">
                <c:v>-146.059</c:v>
              </c:pt>
              <c:pt idx="94">
                <c:v>142.37699999999998</c:v>
              </c:pt>
              <c:pt idx="95">
                <c:v>-23.048000000000005</c:v>
              </c:pt>
              <c:pt idx="96">
                <c:v>-44.247999999999998</c:v>
              </c:pt>
              <c:pt idx="97">
                <c:v>170.774</c:v>
              </c:pt>
              <c:pt idx="98">
                <c:v>-7.5960000000000001</c:v>
              </c:pt>
              <c:pt idx="99">
                <c:v>6.7769999999999992</c:v>
              </c:pt>
              <c:pt idx="100">
                <c:v>67.129000000000005</c:v>
              </c:pt>
              <c:pt idx="101">
                <c:v>-47.295392405064</c:v>
              </c:pt>
              <c:pt idx="102">
                <c:v>151.96100000000001</c:v>
              </c:pt>
              <c:pt idx="103">
                <c:v>602.68600000000004</c:v>
              </c:pt>
              <c:pt idx="104">
                <c:v>1.981681596884</c:v>
              </c:pt>
              <c:pt idx="105">
                <c:v>1308.0920000000001</c:v>
              </c:pt>
              <c:pt idx="106">
                <c:v>-32.902000000000001</c:v>
              </c:pt>
              <c:pt idx="107">
                <c:v>4.5019999999999998</c:v>
              </c:pt>
              <c:pt idx="108">
                <c:v>59.362000000000002</c:v>
              </c:pt>
              <c:pt idx="109">
                <c:v>-41.38</c:v>
              </c:pt>
              <c:pt idx="110">
                <c:v>0.91400000000000003</c:v>
              </c:pt>
              <c:pt idx="111">
                <c:v>-44.902000000000001</c:v>
              </c:pt>
              <c:pt idx="112">
                <c:v>-257.30799999999999</c:v>
              </c:pt>
              <c:pt idx="113">
                <c:v>24.942</c:v>
              </c:pt>
              <c:pt idx="114">
                <c:v>748.41300000000001</c:v>
              </c:pt>
              <c:pt idx="115">
                <c:v>1276</c:v>
              </c:pt>
              <c:pt idx="116">
                <c:v>650.30199999999991</c:v>
              </c:pt>
              <c:pt idx="117">
                <c:v>-123.949</c:v>
              </c:pt>
              <c:pt idx="118">
                <c:v>-30.723999999999997</c:v>
              </c:pt>
              <c:pt idx="119">
                <c:v>-36.067999999999998</c:v>
              </c:pt>
              <c:pt idx="120">
                <c:v>17.134</c:v>
              </c:pt>
              <c:pt idx="121">
                <c:v>287.15600000000006</c:v>
              </c:pt>
              <c:pt idx="122">
                <c:v>-68.85692307692301</c:v>
              </c:pt>
              <c:pt idx="123">
                <c:v>942.26823079258611</c:v>
              </c:pt>
              <c:pt idx="124">
                <c:v>114.41199999999999</c:v>
              </c:pt>
              <c:pt idx="125">
                <c:v>25.582999999999998</c:v>
              </c:pt>
              <c:pt idx="126">
                <c:v>-20.379999999999995</c:v>
              </c:pt>
              <c:pt idx="127">
                <c:v>188.203</c:v>
              </c:pt>
              <c:pt idx="128">
                <c:v>2515</c:v>
              </c:pt>
              <c:pt idx="129">
                <c:v>-27.757000000000005</c:v>
              </c:pt>
              <c:pt idx="130">
                <c:v>-107.83699999999999</c:v>
              </c:pt>
              <c:pt idx="131">
                <c:v>-48.74664556962</c:v>
              </c:pt>
              <c:pt idx="132">
                <c:v>-68.009</c:v>
              </c:pt>
              <c:pt idx="133">
                <c:v>-86.045139240506003</c:v>
              </c:pt>
              <c:pt idx="134">
                <c:v>82.168000000000006</c:v>
              </c:pt>
              <c:pt idx="135">
                <c:v>-39.728000000000002</c:v>
              </c:pt>
            </c:numLit>
          </c:xVal>
          <c:yVal>
            <c:numLit>
              <c:formatCode>General</c:formatCode>
              <c:ptCount val="136"/>
              <c:pt idx="0">
                <c:v>759.67960363769771</c:v>
              </c:pt>
              <c:pt idx="1">
                <c:v>-676.82544037222715</c:v>
              </c:pt>
              <c:pt idx="2">
                <c:v>-954.93784791250891</c:v>
              </c:pt>
              <c:pt idx="3">
                <c:v>710.61716437939435</c:v>
              </c:pt>
              <c:pt idx="4">
                <c:v>-5255.7001149644911</c:v>
              </c:pt>
              <c:pt idx="5">
                <c:v>74532.081028548651</c:v>
              </c:pt>
              <c:pt idx="6">
                <c:v>-47.486153024648843</c:v>
              </c:pt>
              <c:pt idx="7">
                <c:v>-71.098775520971685</c:v>
              </c:pt>
              <c:pt idx="8">
                <c:v>220.05772316379841</c:v>
              </c:pt>
              <c:pt idx="9">
                <c:v>-466.08851344867162</c:v>
              </c:pt>
              <c:pt idx="10">
                <c:v>1909.0256846306456</c:v>
              </c:pt>
              <c:pt idx="11">
                <c:v>366.28143142740709</c:v>
              </c:pt>
              <c:pt idx="12">
                <c:v>213.59442710037274</c:v>
              </c:pt>
              <c:pt idx="13">
                <c:v>1601.3013950091158</c:v>
              </c:pt>
              <c:pt idx="14">
                <c:v>-150.18465389745757</c:v>
              </c:pt>
              <c:pt idx="15">
                <c:v>-279.92068973875723</c:v>
              </c:pt>
              <c:pt idx="16">
                <c:v>6064.8374601920623</c:v>
              </c:pt>
              <c:pt idx="17">
                <c:v>-6429.7148026482701</c:v>
              </c:pt>
              <c:pt idx="18">
                <c:v>7882.7576138196473</c:v>
              </c:pt>
              <c:pt idx="19">
                <c:v>845.185575699119</c:v>
              </c:pt>
              <c:pt idx="20">
                <c:v>1136.9506548865215</c:v>
              </c:pt>
              <c:pt idx="21">
                <c:v>7950.1044272948566</c:v>
              </c:pt>
              <c:pt idx="22">
                <c:v>985.61328762883545</c:v>
              </c:pt>
              <c:pt idx="23">
                <c:v>887.94021406231786</c:v>
              </c:pt>
              <c:pt idx="24">
                <c:v>-1087.6586893763601</c:v>
              </c:pt>
              <c:pt idx="25">
                <c:v>-3749.9752761987102</c:v>
              </c:pt>
              <c:pt idx="26">
                <c:v>1157.8898635170497</c:v>
              </c:pt>
              <c:pt idx="27">
                <c:v>-281.14858093463499</c:v>
              </c:pt>
              <c:pt idx="28">
                <c:v>-3221.7783609132416</c:v>
              </c:pt>
              <c:pt idx="29">
                <c:v>-3662.3433336827475</c:v>
              </c:pt>
              <c:pt idx="30">
                <c:v>1083.0830562107021</c:v>
              </c:pt>
              <c:pt idx="31">
                <c:v>-32.43692766386539</c:v>
              </c:pt>
              <c:pt idx="32">
                <c:v>476.04211919235649</c:v>
              </c:pt>
              <c:pt idx="33">
                <c:v>127.04779718232999</c:v>
              </c:pt>
              <c:pt idx="34">
                <c:v>7793.0117148801819</c:v>
              </c:pt>
              <c:pt idx="35">
                <c:v>-1753.7853637094995</c:v>
              </c:pt>
              <c:pt idx="36">
                <c:v>-3635.9735382939125</c:v>
              </c:pt>
              <c:pt idx="37">
                <c:v>-2915.2075849655043</c:v>
              </c:pt>
              <c:pt idx="38">
                <c:v>-2100.632700713224</c:v>
              </c:pt>
              <c:pt idx="39">
                <c:v>-1472.5261046844439</c:v>
              </c:pt>
              <c:pt idx="40">
                <c:v>1653.6764706139377</c:v>
              </c:pt>
              <c:pt idx="41">
                <c:v>1725.3444630229528</c:v>
              </c:pt>
              <c:pt idx="42">
                <c:v>918.32014022077715</c:v>
              </c:pt>
              <c:pt idx="43">
                <c:v>811.40128269292063</c:v>
              </c:pt>
              <c:pt idx="44">
                <c:v>1745.3286659670946</c:v>
              </c:pt>
              <c:pt idx="45">
                <c:v>-695.92263389677669</c:v>
              </c:pt>
              <c:pt idx="46">
                <c:v>-887.14548915511659</c:v>
              </c:pt>
              <c:pt idx="47">
                <c:v>-11595.674084003873</c:v>
              </c:pt>
              <c:pt idx="48">
                <c:v>92.151816958150903</c:v>
              </c:pt>
              <c:pt idx="49">
                <c:v>686.81729499584685</c:v>
              </c:pt>
              <c:pt idx="50">
                <c:v>-875.424782099808</c:v>
              </c:pt>
              <c:pt idx="51">
                <c:v>1022.6513550410793</c:v>
              </c:pt>
              <c:pt idx="52">
                <c:v>1319.3045150794671</c:v>
              </c:pt>
              <c:pt idx="53">
                <c:v>-5970.3419248513819</c:v>
              </c:pt>
              <c:pt idx="54">
                <c:v>661.84143447844667</c:v>
              </c:pt>
              <c:pt idx="55">
                <c:v>-1421.5240013729544</c:v>
              </c:pt>
              <c:pt idx="56">
                <c:v>-963.6270912841992</c:v>
              </c:pt>
              <c:pt idx="57">
                <c:v>-2686.7026387479505</c:v>
              </c:pt>
              <c:pt idx="58">
                <c:v>542.34840325896198</c:v>
              </c:pt>
              <c:pt idx="59">
                <c:v>-294.0568984781994</c:v>
              </c:pt>
              <c:pt idx="60">
                <c:v>-2533.2231289498195</c:v>
              </c:pt>
              <c:pt idx="61">
                <c:v>1334.4652940125115</c:v>
              </c:pt>
              <c:pt idx="62">
                <c:v>-579.95798518090214</c:v>
              </c:pt>
              <c:pt idx="63">
                <c:v>-530.40428264794309</c:v>
              </c:pt>
              <c:pt idx="64">
                <c:v>-240.79117392811486</c:v>
              </c:pt>
              <c:pt idx="65">
                <c:v>17181.07270774788</c:v>
              </c:pt>
              <c:pt idx="66">
                <c:v>-914.37492479751381</c:v>
              </c:pt>
              <c:pt idx="67">
                <c:v>1578.3167756711634</c:v>
              </c:pt>
              <c:pt idx="68">
                <c:v>77.589350553625536</c:v>
              </c:pt>
              <c:pt idx="69">
                <c:v>-1800.0188963632918</c:v>
              </c:pt>
              <c:pt idx="70">
                <c:v>-1990.7947766572865</c:v>
              </c:pt>
              <c:pt idx="71">
                <c:v>-1096.8381288992396</c:v>
              </c:pt>
              <c:pt idx="72">
                <c:v>1183.4129082983138</c:v>
              </c:pt>
              <c:pt idx="73">
                <c:v>-93.582616221147873</c:v>
              </c:pt>
              <c:pt idx="74">
                <c:v>5247.3128986093216</c:v>
              </c:pt>
              <c:pt idx="75">
                <c:v>-2530.936706976589</c:v>
              </c:pt>
              <c:pt idx="76">
                <c:v>313.7451289107064</c:v>
              </c:pt>
              <c:pt idx="77">
                <c:v>230.1724539112447</c:v>
              </c:pt>
              <c:pt idx="78">
                <c:v>1047.962572789361</c:v>
              </c:pt>
              <c:pt idx="79">
                <c:v>-713.61634073503672</c:v>
              </c:pt>
              <c:pt idx="80">
                <c:v>-354.24888171540351</c:v>
              </c:pt>
              <c:pt idx="81">
                <c:v>21.163272839025012</c:v>
              </c:pt>
              <c:pt idx="82">
                <c:v>1957.0303089462959</c:v>
              </c:pt>
              <c:pt idx="83">
                <c:v>-12884.347053157533</c:v>
              </c:pt>
              <c:pt idx="84">
                <c:v>-7914.5655202366597</c:v>
              </c:pt>
              <c:pt idx="85">
                <c:v>2002.0073435885297</c:v>
              </c:pt>
              <c:pt idx="86">
                <c:v>-166.66603286654095</c:v>
              </c:pt>
              <c:pt idx="87">
                <c:v>-8443.894217178984</c:v>
              </c:pt>
              <c:pt idx="88">
                <c:v>-518.58768166708001</c:v>
              </c:pt>
              <c:pt idx="89">
                <c:v>-25793.703478432581</c:v>
              </c:pt>
              <c:pt idx="90">
                <c:v>5503.872743750142</c:v>
              </c:pt>
              <c:pt idx="91">
                <c:v>427.71174745759618</c:v>
              </c:pt>
              <c:pt idx="92">
                <c:v>-4357.440328629631</c:v>
              </c:pt>
              <c:pt idx="93">
                <c:v>-2219.9267856086617</c:v>
              </c:pt>
              <c:pt idx="94">
                <c:v>318.02535705723449</c:v>
              </c:pt>
              <c:pt idx="95">
                <c:v>-441.95555353246891</c:v>
              </c:pt>
              <c:pt idx="96">
                <c:v>-280.70952604843842</c:v>
              </c:pt>
              <c:pt idx="97">
                <c:v>706.93136479126588</c:v>
              </c:pt>
              <c:pt idx="98">
                <c:v>368.34070132756801</c:v>
              </c:pt>
              <c:pt idx="99">
                <c:v>-2247.4073182401462</c:v>
              </c:pt>
              <c:pt idx="100">
                <c:v>1852.2541737129739</c:v>
              </c:pt>
              <c:pt idx="101">
                <c:v>-282.05834950826943</c:v>
              </c:pt>
              <c:pt idx="102">
                <c:v>-1025.5234603249273</c:v>
              </c:pt>
              <c:pt idx="103">
                <c:v>-2298.0732398654691</c:v>
              </c:pt>
              <c:pt idx="104">
                <c:v>966.70818134414912</c:v>
              </c:pt>
              <c:pt idx="105">
                <c:v>-3666.4323924062046</c:v>
              </c:pt>
              <c:pt idx="106">
                <c:v>-4343.2837899727374</c:v>
              </c:pt>
              <c:pt idx="107">
                <c:v>1238.1410044260249</c:v>
              </c:pt>
              <c:pt idx="108">
                <c:v>8629.4224610947385</c:v>
              </c:pt>
              <c:pt idx="109">
                <c:v>2061.1816536148308</c:v>
              </c:pt>
              <c:pt idx="110">
                <c:v>1210.569200891583</c:v>
              </c:pt>
              <c:pt idx="111">
                <c:v>2102.217398011866</c:v>
              </c:pt>
              <c:pt idx="112">
                <c:v>-3135.8062627588242</c:v>
              </c:pt>
              <c:pt idx="113">
                <c:v>161.91264527504222</c:v>
              </c:pt>
              <c:pt idx="114">
                <c:v>-2379.6789251148184</c:v>
              </c:pt>
              <c:pt idx="115">
                <c:v>-18176.588764701119</c:v>
              </c:pt>
              <c:pt idx="116">
                <c:v>-9197.6007102840431</c:v>
              </c:pt>
              <c:pt idx="117">
                <c:v>-1726.8102324308993</c:v>
              </c:pt>
              <c:pt idx="118">
                <c:v>760.38307993226681</c:v>
              </c:pt>
              <c:pt idx="119">
                <c:v>2029.137343452742</c:v>
              </c:pt>
              <c:pt idx="120">
                <c:v>341.37366577565376</c:v>
              </c:pt>
              <c:pt idx="121">
                <c:v>-6618.8930761159772</c:v>
              </c:pt>
              <c:pt idx="122">
                <c:v>319.11729339332123</c:v>
              </c:pt>
              <c:pt idx="123">
                <c:v>3312.2473067221035</c:v>
              </c:pt>
              <c:pt idx="124">
                <c:v>-842.13852918576231</c:v>
              </c:pt>
              <c:pt idx="125">
                <c:v>890.84192545443614</c:v>
              </c:pt>
              <c:pt idx="126">
                <c:v>465.74033459599741</c:v>
              </c:pt>
              <c:pt idx="127">
                <c:v>6407.0555567769279</c:v>
              </c:pt>
              <c:pt idx="128">
                <c:v>182.26321411150275</c:v>
              </c:pt>
              <c:pt idx="129">
                <c:v>78.092297552881064</c:v>
              </c:pt>
              <c:pt idx="130">
                <c:v>-656.49152923583461</c:v>
              </c:pt>
              <c:pt idx="131">
                <c:v>-404.52606753084956</c:v>
              </c:pt>
              <c:pt idx="132">
                <c:v>173.92948872830266</c:v>
              </c:pt>
              <c:pt idx="133">
                <c:v>363.51923496672953</c:v>
              </c:pt>
              <c:pt idx="134">
                <c:v>-4713.6287739078507</c:v>
              </c:pt>
              <c:pt idx="135">
                <c:v>823.83996367893837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BF6-40AE-9CFA-1DBB7474C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277280"/>
        <c:axId val="726277672"/>
      </c:scatterChart>
      <c:valAx>
        <c:axId val="726277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TTM_EBITDA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6277672"/>
        <c:crossesAt val="-40000"/>
        <c:crossBetween val="midCat"/>
      </c:valAx>
      <c:valAx>
        <c:axId val="72627767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6277280"/>
        <c:crossesAt val="-10000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TTM_GP
</a:t>
            </a:r>
            <a:r>
              <a:rPr lang="en-US" sz="1000"/>
              <a:t>Model 12 for EV    (3 variables, n=136)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36"/>
              <c:pt idx="0">
                <c:v>287.72500283813474</c:v>
              </c:pt>
              <c:pt idx="1">
                <c:v>234.64100097656251</c:v>
              </c:pt>
              <c:pt idx="2">
                <c:v>179.79799935913087</c:v>
              </c:pt>
              <c:pt idx="3">
                <c:v>79.795185569702141</c:v>
              </c:pt>
              <c:pt idx="4">
                <c:v>549.45199468994144</c:v>
              </c:pt>
              <c:pt idx="5">
                <c:v>7465.3680576171873</c:v>
              </c:pt>
              <c:pt idx="6">
                <c:v>65.636000694274898</c:v>
              </c:pt>
              <c:pt idx="7">
                <c:v>251.41600036621094</c:v>
              </c:pt>
              <c:pt idx="8">
                <c:v>60.490999809265134</c:v>
              </c:pt>
              <c:pt idx="9">
                <c:v>250.68500076293947</c:v>
              </c:pt>
              <c:pt idx="10">
                <c:v>140.40400271606444</c:v>
              </c:pt>
              <c:pt idx="11">
                <c:v>44.329346749023436</c:v>
              </c:pt>
              <c:pt idx="12">
                <c:v>61.229999687194827</c:v>
              </c:pt>
              <c:pt idx="13">
                <c:v>102.44899972534179</c:v>
              </c:pt>
              <c:pt idx="14">
                <c:v>128.89599989318847</c:v>
              </c:pt>
              <c:pt idx="15">
                <c:v>147.23399932861327</c:v>
              </c:pt>
              <c:pt idx="16">
                <c:v>448.87000836181642</c:v>
              </c:pt>
              <c:pt idx="17">
                <c:v>696.89999084472652</c:v>
              </c:pt>
              <c:pt idx="18">
                <c:v>769.6390129394531</c:v>
              </c:pt>
              <c:pt idx="19">
                <c:v>62.064999832153319</c:v>
              </c:pt>
              <c:pt idx="20">
                <c:v>10.568609400887199</c:v>
              </c:pt>
              <c:pt idx="21">
                <c:v>1953.5000061035157</c:v>
              </c:pt>
              <c:pt idx="22">
                <c:v>155.18199999999999</c:v>
              </c:pt>
              <c:pt idx="23">
                <c:v>462.07363936766961</c:v>
              </c:pt>
              <c:pt idx="24">
                <c:v>126.30899749755859</c:v>
              </c:pt>
              <c:pt idx="25">
                <c:v>461.10500335693359</c:v>
              </c:pt>
              <c:pt idx="26">
                <c:v>157.49099987792968</c:v>
              </c:pt>
              <c:pt idx="27">
                <c:v>220.96600073242186</c:v>
              </c:pt>
              <c:pt idx="28">
                <c:v>403.28800524902346</c:v>
              </c:pt>
              <c:pt idx="29">
                <c:v>3546</c:v>
              </c:pt>
              <c:pt idx="30">
                <c:v>1826.9869919433593</c:v>
              </c:pt>
              <c:pt idx="31">
                <c:v>189.59500091552735</c:v>
              </c:pt>
              <c:pt idx="32">
                <c:v>126.376</c:v>
              </c:pt>
              <c:pt idx="33">
                <c:v>101.39099937438965</c:v>
              </c:pt>
              <c:pt idx="34">
                <c:v>1698.6110100097656</c:v>
              </c:pt>
              <c:pt idx="35">
                <c:v>2463.42801171875</c:v>
              </c:pt>
              <c:pt idx="36">
                <c:v>279.62800469970705</c:v>
              </c:pt>
              <c:pt idx="37">
                <c:v>605.50099267578128</c:v>
              </c:pt>
              <c:pt idx="38">
                <c:v>2459.358009765625</c:v>
              </c:pt>
              <c:pt idx="39">
                <c:v>372.4000010986328</c:v>
              </c:pt>
              <c:pt idx="40">
                <c:v>150.86900170898437</c:v>
              </c:pt>
              <c:pt idx="41">
                <c:v>63.660000076293947</c:v>
              </c:pt>
              <c:pt idx="42">
                <c:v>249.10499847412109</c:v>
              </c:pt>
              <c:pt idx="43">
                <c:v>19.025000007629394</c:v>
              </c:pt>
              <c:pt idx="44">
                <c:v>189.24499960327148</c:v>
              </c:pt>
              <c:pt idx="45">
                <c:v>63.605000000000004</c:v>
              </c:pt>
              <c:pt idx="46">
                <c:v>737.9</c:v>
              </c:pt>
              <c:pt idx="47">
                <c:v>3503</c:v>
              </c:pt>
              <c:pt idx="48">
                <c:v>273.81199511718751</c:v>
              </c:pt>
              <c:pt idx="49">
                <c:v>38.971000602722171</c:v>
              </c:pt>
              <c:pt idx="50">
                <c:v>273.98900335693361</c:v>
              </c:pt>
              <c:pt idx="51">
                <c:v>85.026000061035163</c:v>
              </c:pt>
              <c:pt idx="52">
                <c:v>32.362014866124603</c:v>
              </c:pt>
              <c:pt idx="53">
                <c:v>520.84100958251952</c:v>
              </c:pt>
              <c:pt idx="54">
                <c:v>133.13299966430662</c:v>
              </c:pt>
              <c:pt idx="55">
                <c:v>194.42499871826172</c:v>
              </c:pt>
              <c:pt idx="56">
                <c:v>1221.8169738769532</c:v>
              </c:pt>
              <c:pt idx="57">
                <c:v>180.10199858093262</c:v>
              </c:pt>
              <c:pt idx="58">
                <c:v>65.752319670119391</c:v>
              </c:pt>
              <c:pt idx="59">
                <c:v>364.36000024414062</c:v>
              </c:pt>
              <c:pt idx="60">
                <c:v>220.4609998474121</c:v>
              </c:pt>
              <c:pt idx="61">
                <c:v>354.10500488281252</c:v>
              </c:pt>
              <c:pt idx="62">
                <c:v>274.43599694824218</c:v>
              </c:pt>
              <c:pt idx="63">
                <c:v>327.95800305175783</c:v>
              </c:pt>
              <c:pt idx="64">
                <c:v>130.4860018157959</c:v>
              </c:pt>
              <c:pt idx="65">
                <c:v>4992</c:v>
              </c:pt>
              <c:pt idx="66">
                <c:v>974.26899780273436</c:v>
              </c:pt>
              <c:pt idx="67">
                <c:v>101.70600183105469</c:v>
              </c:pt>
              <c:pt idx="68">
                <c:v>174.50399725341796</c:v>
              </c:pt>
              <c:pt idx="69">
                <c:v>883.36700305175782</c:v>
              </c:pt>
              <c:pt idx="70">
                <c:v>87.58700073242187</c:v>
              </c:pt>
              <c:pt idx="71">
                <c:v>322.08900360107418</c:v>
              </c:pt>
              <c:pt idx="72">
                <c:v>138.52599877929688</c:v>
              </c:pt>
              <c:pt idx="73">
                <c:v>460.99100408935544</c:v>
              </c:pt>
              <c:pt idx="74">
                <c:v>72007</c:v>
              </c:pt>
              <c:pt idx="75">
                <c:v>407.5589940185547</c:v>
              </c:pt>
              <c:pt idx="76">
                <c:v>206.71999600219726</c:v>
              </c:pt>
              <c:pt idx="77">
                <c:v>149.78799795532225</c:v>
              </c:pt>
              <c:pt idx="78">
                <c:v>48.276000267028806</c:v>
              </c:pt>
              <c:pt idx="79">
                <c:v>150.5580012512207</c:v>
              </c:pt>
              <c:pt idx="80">
                <c:v>91.647999832153317</c:v>
              </c:pt>
              <c:pt idx="81">
                <c:v>197.1649987182617</c:v>
              </c:pt>
              <c:pt idx="82">
                <c:v>318.38299798583984</c:v>
              </c:pt>
              <c:pt idx="83">
                <c:v>1132.4420061035157</c:v>
              </c:pt>
              <c:pt idx="84">
                <c:v>769.42700024414057</c:v>
              </c:pt>
              <c:pt idx="85">
                <c:v>228.25000210571289</c:v>
              </c:pt>
              <c:pt idx="86">
                <c:v>143.23199945068359</c:v>
              </c:pt>
              <c:pt idx="87">
                <c:v>1863.8300090332032</c:v>
              </c:pt>
              <c:pt idx="88">
                <c:v>72.534188598388667</c:v>
              </c:pt>
              <c:pt idx="89">
                <c:v>31737</c:v>
              </c:pt>
              <c:pt idx="90">
                <c:v>416.48600439453128</c:v>
              </c:pt>
              <c:pt idx="91">
                <c:v>228.32999908447266</c:v>
              </c:pt>
              <c:pt idx="92">
                <c:v>558.17699633789061</c:v>
              </c:pt>
              <c:pt idx="93">
                <c:v>281.04199999999997</c:v>
              </c:pt>
              <c:pt idx="94">
                <c:v>333.70999957275393</c:v>
              </c:pt>
              <c:pt idx="95">
                <c:v>439.7080033569336</c:v>
              </c:pt>
              <c:pt idx="96">
                <c:v>109.50099978637695</c:v>
              </c:pt>
              <c:pt idx="97">
                <c:v>904.73300866699219</c:v>
              </c:pt>
              <c:pt idx="98">
                <c:v>106.53599938964844</c:v>
              </c:pt>
              <c:pt idx="99">
                <c:v>169.04300082397461</c:v>
              </c:pt>
              <c:pt idx="100">
                <c:v>196.15400054931641</c:v>
              </c:pt>
              <c:pt idx="101">
                <c:v>155.65399899291992</c:v>
              </c:pt>
              <c:pt idx="102">
                <c:v>470.14299932861331</c:v>
              </c:pt>
              <c:pt idx="103">
                <c:v>2690.5739580078125</c:v>
              </c:pt>
              <c:pt idx="104">
                <c:v>443.33000299072262</c:v>
              </c:pt>
              <c:pt idx="105">
                <c:v>8749.5439453125</c:v>
              </c:pt>
              <c:pt idx="106">
                <c:v>254.20199630737304</c:v>
              </c:pt>
              <c:pt idx="107">
                <c:v>95.234000320434575</c:v>
              </c:pt>
              <c:pt idx="108">
                <c:v>1706.5400173339845</c:v>
              </c:pt>
              <c:pt idx="109">
                <c:v>481.96899993896483</c:v>
              </c:pt>
              <c:pt idx="110">
                <c:v>15.933999778747559</c:v>
              </c:pt>
              <c:pt idx="111">
                <c:v>89.570999999999998</c:v>
              </c:pt>
              <c:pt idx="112">
                <c:v>1148.2299877929688</c:v>
              </c:pt>
              <c:pt idx="113">
                <c:v>156.26900183105468</c:v>
              </c:pt>
              <c:pt idx="114">
                <c:v>895.99100952148433</c:v>
              </c:pt>
              <c:pt idx="115">
                <c:v>3803</c:v>
              </c:pt>
              <c:pt idx="116">
                <c:v>2310.4400556640626</c:v>
              </c:pt>
              <c:pt idx="117">
                <c:v>864.88000952148434</c:v>
              </c:pt>
              <c:pt idx="118">
                <c:v>135.33699801635743</c:v>
              </c:pt>
              <c:pt idx="119">
                <c:v>162.13900000000001</c:v>
              </c:pt>
              <c:pt idx="120">
                <c:v>52.637000358581545</c:v>
              </c:pt>
              <c:pt idx="121">
                <c:v>927.55099047851559</c:v>
              </c:pt>
              <c:pt idx="122">
                <c:v>261.8499954833984</c:v>
              </c:pt>
              <c:pt idx="123">
                <c:v>1679.9929314420062</c:v>
              </c:pt>
              <c:pt idx="124">
                <c:v>648.36900695800773</c:v>
              </c:pt>
              <c:pt idx="125">
                <c:v>81.369998809814447</c:v>
              </c:pt>
              <c:pt idx="126">
                <c:v>218.322998046875</c:v>
              </c:pt>
              <c:pt idx="127">
                <c:v>534.71100567626956</c:v>
              </c:pt>
              <c:pt idx="128">
                <c:v>7285</c:v>
              </c:pt>
              <c:pt idx="129">
                <c:v>418.44500848388674</c:v>
              </c:pt>
              <c:pt idx="130">
                <c:v>1715.5240270996094</c:v>
              </c:pt>
              <c:pt idx="131">
                <c:v>161.06200064086914</c:v>
              </c:pt>
              <c:pt idx="132">
                <c:v>147.79099822998046</c:v>
              </c:pt>
              <c:pt idx="133">
                <c:v>356.01800524902342</c:v>
              </c:pt>
              <c:pt idx="134">
                <c:v>610.00600537109381</c:v>
              </c:pt>
              <c:pt idx="135">
                <c:v>88.019999999999982</c:v>
              </c:pt>
            </c:numLit>
          </c:xVal>
          <c:yVal>
            <c:numLit>
              <c:formatCode>General</c:formatCode>
              <c:ptCount val="136"/>
              <c:pt idx="0">
                <c:v>759.67960363769771</c:v>
              </c:pt>
              <c:pt idx="1">
                <c:v>-676.82544037222715</c:v>
              </c:pt>
              <c:pt idx="2">
                <c:v>-954.93784791250891</c:v>
              </c:pt>
              <c:pt idx="3">
                <c:v>710.61716437939435</c:v>
              </c:pt>
              <c:pt idx="4">
                <c:v>-5255.7001149644911</c:v>
              </c:pt>
              <c:pt idx="5">
                <c:v>74532.081028548651</c:v>
              </c:pt>
              <c:pt idx="6">
                <c:v>-47.486153024648843</c:v>
              </c:pt>
              <c:pt idx="7">
                <c:v>-71.098775520971685</c:v>
              </c:pt>
              <c:pt idx="8">
                <c:v>220.05772316379841</c:v>
              </c:pt>
              <c:pt idx="9">
                <c:v>-466.08851344867162</c:v>
              </c:pt>
              <c:pt idx="10">
                <c:v>1909.0256846306456</c:v>
              </c:pt>
              <c:pt idx="11">
                <c:v>366.28143142740709</c:v>
              </c:pt>
              <c:pt idx="12">
                <c:v>213.59442710037274</c:v>
              </c:pt>
              <c:pt idx="13">
                <c:v>1601.3013950091158</c:v>
              </c:pt>
              <c:pt idx="14">
                <c:v>-150.18465389745757</c:v>
              </c:pt>
              <c:pt idx="15">
                <c:v>-279.92068973875723</c:v>
              </c:pt>
              <c:pt idx="16">
                <c:v>6064.8374601920623</c:v>
              </c:pt>
              <c:pt idx="17">
                <c:v>-6429.7148026482701</c:v>
              </c:pt>
              <c:pt idx="18">
                <c:v>7882.7576138196473</c:v>
              </c:pt>
              <c:pt idx="19">
                <c:v>845.185575699119</c:v>
              </c:pt>
              <c:pt idx="20">
                <c:v>1136.9506548865215</c:v>
              </c:pt>
              <c:pt idx="21">
                <c:v>7950.1044272948566</c:v>
              </c:pt>
              <c:pt idx="22">
                <c:v>985.61328762883545</c:v>
              </c:pt>
              <c:pt idx="23">
                <c:v>887.94021406231786</c:v>
              </c:pt>
              <c:pt idx="24">
                <c:v>-1087.6586893763601</c:v>
              </c:pt>
              <c:pt idx="25">
                <c:v>-3749.9752761987102</c:v>
              </c:pt>
              <c:pt idx="26">
                <c:v>1157.8898635170497</c:v>
              </c:pt>
              <c:pt idx="27">
                <c:v>-281.14858093463499</c:v>
              </c:pt>
              <c:pt idx="28">
                <c:v>-3221.7783609132416</c:v>
              </c:pt>
              <c:pt idx="29">
                <c:v>-3662.3433336827475</c:v>
              </c:pt>
              <c:pt idx="30">
                <c:v>1083.0830562107021</c:v>
              </c:pt>
              <c:pt idx="31">
                <c:v>-32.43692766386539</c:v>
              </c:pt>
              <c:pt idx="32">
                <c:v>476.04211919235649</c:v>
              </c:pt>
              <c:pt idx="33">
                <c:v>127.04779718232999</c:v>
              </c:pt>
              <c:pt idx="34">
                <c:v>7793.0117148801819</c:v>
              </c:pt>
              <c:pt idx="35">
                <c:v>-1753.7853637094995</c:v>
              </c:pt>
              <c:pt idx="36">
                <c:v>-3635.9735382939125</c:v>
              </c:pt>
              <c:pt idx="37">
                <c:v>-2915.2075849655043</c:v>
              </c:pt>
              <c:pt idx="38">
                <c:v>-2100.632700713224</c:v>
              </c:pt>
              <c:pt idx="39">
                <c:v>-1472.5261046844439</c:v>
              </c:pt>
              <c:pt idx="40">
                <c:v>1653.6764706139377</c:v>
              </c:pt>
              <c:pt idx="41">
                <c:v>1725.3444630229528</c:v>
              </c:pt>
              <c:pt idx="42">
                <c:v>918.32014022077715</c:v>
              </c:pt>
              <c:pt idx="43">
                <c:v>811.40128269292063</c:v>
              </c:pt>
              <c:pt idx="44">
                <c:v>1745.3286659670946</c:v>
              </c:pt>
              <c:pt idx="45">
                <c:v>-695.92263389677669</c:v>
              </c:pt>
              <c:pt idx="46">
                <c:v>-887.14548915511659</c:v>
              </c:pt>
              <c:pt idx="47">
                <c:v>-11595.674084003873</c:v>
              </c:pt>
              <c:pt idx="48">
                <c:v>92.151816958150903</c:v>
              </c:pt>
              <c:pt idx="49">
                <c:v>686.81729499584685</c:v>
              </c:pt>
              <c:pt idx="50">
                <c:v>-875.424782099808</c:v>
              </c:pt>
              <c:pt idx="51">
                <c:v>1022.6513550410793</c:v>
              </c:pt>
              <c:pt idx="52">
                <c:v>1319.3045150794671</c:v>
              </c:pt>
              <c:pt idx="53">
                <c:v>-5970.3419248513819</c:v>
              </c:pt>
              <c:pt idx="54">
                <c:v>661.84143447844667</c:v>
              </c:pt>
              <c:pt idx="55">
                <c:v>-1421.5240013729544</c:v>
              </c:pt>
              <c:pt idx="56">
                <c:v>-963.6270912841992</c:v>
              </c:pt>
              <c:pt idx="57">
                <c:v>-2686.7026387479505</c:v>
              </c:pt>
              <c:pt idx="58">
                <c:v>542.34840325896198</c:v>
              </c:pt>
              <c:pt idx="59">
                <c:v>-294.0568984781994</c:v>
              </c:pt>
              <c:pt idx="60">
                <c:v>-2533.2231289498195</c:v>
              </c:pt>
              <c:pt idx="61">
                <c:v>1334.4652940125115</c:v>
              </c:pt>
              <c:pt idx="62">
                <c:v>-579.95798518090214</c:v>
              </c:pt>
              <c:pt idx="63">
                <c:v>-530.40428264794309</c:v>
              </c:pt>
              <c:pt idx="64">
                <c:v>-240.79117392811486</c:v>
              </c:pt>
              <c:pt idx="65">
                <c:v>17181.07270774788</c:v>
              </c:pt>
              <c:pt idx="66">
                <c:v>-914.37492479751381</c:v>
              </c:pt>
              <c:pt idx="67">
                <c:v>1578.3167756711634</c:v>
              </c:pt>
              <c:pt idx="68">
                <c:v>77.589350553625536</c:v>
              </c:pt>
              <c:pt idx="69">
                <c:v>-1800.0188963632918</c:v>
              </c:pt>
              <c:pt idx="70">
                <c:v>-1990.7947766572865</c:v>
              </c:pt>
              <c:pt idx="71">
                <c:v>-1096.8381288992396</c:v>
              </c:pt>
              <c:pt idx="72">
                <c:v>1183.4129082983138</c:v>
              </c:pt>
              <c:pt idx="73">
                <c:v>-93.582616221147873</c:v>
              </c:pt>
              <c:pt idx="74">
                <c:v>5247.3128986093216</c:v>
              </c:pt>
              <c:pt idx="75">
                <c:v>-2530.936706976589</c:v>
              </c:pt>
              <c:pt idx="76">
                <c:v>313.7451289107064</c:v>
              </c:pt>
              <c:pt idx="77">
                <c:v>230.1724539112447</c:v>
              </c:pt>
              <c:pt idx="78">
                <c:v>1047.962572789361</c:v>
              </c:pt>
              <c:pt idx="79">
                <c:v>-713.61634073503672</c:v>
              </c:pt>
              <c:pt idx="80">
                <c:v>-354.24888171540351</c:v>
              </c:pt>
              <c:pt idx="81">
                <c:v>21.163272839025012</c:v>
              </c:pt>
              <c:pt idx="82">
                <c:v>1957.0303089462959</c:v>
              </c:pt>
              <c:pt idx="83">
                <c:v>-12884.347053157533</c:v>
              </c:pt>
              <c:pt idx="84">
                <c:v>-7914.5655202366597</c:v>
              </c:pt>
              <c:pt idx="85">
                <c:v>2002.0073435885297</c:v>
              </c:pt>
              <c:pt idx="86">
                <c:v>-166.66603286654095</c:v>
              </c:pt>
              <c:pt idx="87">
                <c:v>-8443.894217178984</c:v>
              </c:pt>
              <c:pt idx="88">
                <c:v>-518.58768166708001</c:v>
              </c:pt>
              <c:pt idx="89">
                <c:v>-25793.703478432581</c:v>
              </c:pt>
              <c:pt idx="90">
                <c:v>5503.872743750142</c:v>
              </c:pt>
              <c:pt idx="91">
                <c:v>427.71174745759618</c:v>
              </c:pt>
              <c:pt idx="92">
                <c:v>-4357.440328629631</c:v>
              </c:pt>
              <c:pt idx="93">
                <c:v>-2219.9267856086617</c:v>
              </c:pt>
              <c:pt idx="94">
                <c:v>318.02535705723449</c:v>
              </c:pt>
              <c:pt idx="95">
                <c:v>-441.95555353246891</c:v>
              </c:pt>
              <c:pt idx="96">
                <c:v>-280.70952604843842</c:v>
              </c:pt>
              <c:pt idx="97">
                <c:v>706.93136479126588</c:v>
              </c:pt>
              <c:pt idx="98">
                <c:v>368.34070132756801</c:v>
              </c:pt>
              <c:pt idx="99">
                <c:v>-2247.4073182401462</c:v>
              </c:pt>
              <c:pt idx="100">
                <c:v>1852.2541737129739</c:v>
              </c:pt>
              <c:pt idx="101">
                <c:v>-282.05834950826943</c:v>
              </c:pt>
              <c:pt idx="102">
                <c:v>-1025.5234603249273</c:v>
              </c:pt>
              <c:pt idx="103">
                <c:v>-2298.0732398654691</c:v>
              </c:pt>
              <c:pt idx="104">
                <c:v>966.70818134414912</c:v>
              </c:pt>
              <c:pt idx="105">
                <c:v>-3666.4323924062046</c:v>
              </c:pt>
              <c:pt idx="106">
                <c:v>-4343.2837899727374</c:v>
              </c:pt>
              <c:pt idx="107">
                <c:v>1238.1410044260249</c:v>
              </c:pt>
              <c:pt idx="108">
                <c:v>8629.4224610947385</c:v>
              </c:pt>
              <c:pt idx="109">
                <c:v>2061.1816536148308</c:v>
              </c:pt>
              <c:pt idx="110">
                <c:v>1210.569200891583</c:v>
              </c:pt>
              <c:pt idx="111">
                <c:v>2102.217398011866</c:v>
              </c:pt>
              <c:pt idx="112">
                <c:v>-3135.8062627588242</c:v>
              </c:pt>
              <c:pt idx="113">
                <c:v>161.91264527504222</c:v>
              </c:pt>
              <c:pt idx="114">
                <c:v>-2379.6789251148184</c:v>
              </c:pt>
              <c:pt idx="115">
                <c:v>-18176.588764701119</c:v>
              </c:pt>
              <c:pt idx="116">
                <c:v>-9197.6007102840431</c:v>
              </c:pt>
              <c:pt idx="117">
                <c:v>-1726.8102324308993</c:v>
              </c:pt>
              <c:pt idx="118">
                <c:v>760.38307993226681</c:v>
              </c:pt>
              <c:pt idx="119">
                <c:v>2029.137343452742</c:v>
              </c:pt>
              <c:pt idx="120">
                <c:v>341.37366577565376</c:v>
              </c:pt>
              <c:pt idx="121">
                <c:v>-6618.8930761159772</c:v>
              </c:pt>
              <c:pt idx="122">
                <c:v>319.11729339332123</c:v>
              </c:pt>
              <c:pt idx="123">
                <c:v>3312.2473067221035</c:v>
              </c:pt>
              <c:pt idx="124">
                <c:v>-842.13852918576231</c:v>
              </c:pt>
              <c:pt idx="125">
                <c:v>890.84192545443614</c:v>
              </c:pt>
              <c:pt idx="126">
                <c:v>465.74033459599741</c:v>
              </c:pt>
              <c:pt idx="127">
                <c:v>6407.0555567769279</c:v>
              </c:pt>
              <c:pt idx="128">
                <c:v>182.26321411150275</c:v>
              </c:pt>
              <c:pt idx="129">
                <c:v>78.092297552881064</c:v>
              </c:pt>
              <c:pt idx="130">
                <c:v>-656.49152923583461</c:v>
              </c:pt>
              <c:pt idx="131">
                <c:v>-404.52606753084956</c:v>
              </c:pt>
              <c:pt idx="132">
                <c:v>173.92948872830266</c:v>
              </c:pt>
              <c:pt idx="133">
                <c:v>363.51923496672953</c:v>
              </c:pt>
              <c:pt idx="134">
                <c:v>-4713.6287739078507</c:v>
              </c:pt>
              <c:pt idx="135">
                <c:v>823.83996367893837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A4BF-469E-9AC2-64C72F43FB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278456"/>
        <c:axId val="809138480"/>
      </c:scatterChart>
      <c:valAx>
        <c:axId val="726278456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TTM_GP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138480"/>
        <c:crossesAt val="-40000"/>
        <c:crossBetween val="midCat"/>
      </c:valAx>
      <c:valAx>
        <c:axId val="80913848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6278456"/>
        <c:crossesAt val="0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TTM_Rev
</a:t>
            </a:r>
            <a:r>
              <a:rPr lang="en-US" sz="1000"/>
              <a:t>Model 12 for EV    (3 variables, n=136)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36"/>
              <c:pt idx="0">
                <c:v>346.63900000000001</c:v>
              </c:pt>
              <c:pt idx="1">
                <c:v>310.62700000000001</c:v>
              </c:pt>
              <c:pt idx="2">
                <c:v>231.34999999999997</c:v>
              </c:pt>
              <c:pt idx="3">
                <c:v>93.621832000000012</c:v>
              </c:pt>
              <c:pt idx="4">
                <c:v>996.43500000000006</c:v>
              </c:pt>
              <c:pt idx="5">
                <c:v>8571.9779999999992</c:v>
              </c:pt>
              <c:pt idx="6">
                <c:v>127.502</c:v>
              </c:pt>
              <c:pt idx="7">
                <c:v>375.99900000000002</c:v>
              </c:pt>
              <c:pt idx="8">
                <c:v>88.789999999999992</c:v>
              </c:pt>
              <c:pt idx="9">
                <c:v>362.10199999999998</c:v>
              </c:pt>
              <c:pt idx="10">
                <c:v>162.35999999999999</c:v>
              </c:pt>
              <c:pt idx="11">
                <c:v>81.967006999999995</c:v>
              </c:pt>
              <c:pt idx="12">
                <c:v>113.21600000000001</c:v>
              </c:pt>
              <c:pt idx="13">
                <c:v>165.38</c:v>
              </c:pt>
              <c:pt idx="14">
                <c:v>206.78900000000002</c:v>
              </c:pt>
              <c:pt idx="15">
                <c:v>212.47800000000001</c:v>
              </c:pt>
              <c:pt idx="16">
                <c:v>499.51400000000001</c:v>
              </c:pt>
              <c:pt idx="17">
                <c:v>1286.5</c:v>
              </c:pt>
              <c:pt idx="18">
                <c:v>947.42399999999998</c:v>
              </c:pt>
              <c:pt idx="19">
                <c:v>72.800999999999988</c:v>
              </c:pt>
              <c:pt idx="20">
                <c:v>42.178586942867071</c:v>
              </c:pt>
              <c:pt idx="21">
                <c:v>2240.6999999999998</c:v>
              </c:pt>
              <c:pt idx="22">
                <c:v>213.15899999999999</c:v>
              </c:pt>
              <c:pt idx="23">
                <c:v>662.16275290332658</c:v>
              </c:pt>
              <c:pt idx="24">
                <c:v>252.16</c:v>
              </c:pt>
              <c:pt idx="25">
                <c:v>833.04499999999996</c:v>
              </c:pt>
              <c:pt idx="26">
                <c:v>202.84200000000001</c:v>
              </c:pt>
              <c:pt idx="27">
                <c:v>394.09599999999995</c:v>
              </c:pt>
              <c:pt idx="28">
                <c:v>554.70800000000008</c:v>
              </c:pt>
              <c:pt idx="29">
                <c:v>4148</c:v>
              </c:pt>
              <c:pt idx="30">
                <c:v>2069.8940000000002</c:v>
              </c:pt>
              <c:pt idx="31">
                <c:v>265.089</c:v>
              </c:pt>
              <c:pt idx="32">
                <c:v>162.01400000000001</c:v>
              </c:pt>
              <c:pt idx="33">
                <c:v>128.30699999999999</c:v>
              </c:pt>
              <c:pt idx="34">
                <c:v>1896.9269999999999</c:v>
              </c:pt>
              <c:pt idx="35">
                <c:v>2908.3389999999999</c:v>
              </c:pt>
              <c:pt idx="36">
                <c:v>411.06400000000002</c:v>
              </c:pt>
              <c:pt idx="37">
                <c:v>709.59799999999996</c:v>
              </c:pt>
              <c:pt idx="38">
                <c:v>2794.5149999999999</c:v>
              </c:pt>
              <c:pt idx="39">
                <c:v>519.38200000000006</c:v>
              </c:pt>
              <c:pt idx="40">
                <c:v>219.095</c:v>
              </c:pt>
              <c:pt idx="41">
                <c:v>67.067000000000007</c:v>
              </c:pt>
              <c:pt idx="42">
                <c:v>294.68199999999996</c:v>
              </c:pt>
              <c:pt idx="43">
                <c:v>31.908999999999999</c:v>
              </c:pt>
              <c:pt idx="44">
                <c:v>259.76499999999999</c:v>
              </c:pt>
              <c:pt idx="45">
                <c:v>108.524</c:v>
              </c:pt>
              <c:pt idx="46">
                <c:v>1106.8</c:v>
              </c:pt>
              <c:pt idx="47">
                <c:v>4838</c:v>
              </c:pt>
              <c:pt idx="48">
                <c:v>430.33699999999999</c:v>
              </c:pt>
              <c:pt idx="49">
                <c:v>61.307000000000002</c:v>
              </c:pt>
              <c:pt idx="50">
                <c:v>462.851</c:v>
              </c:pt>
              <c:pt idx="51">
                <c:v>122.828</c:v>
              </c:pt>
              <c:pt idx="52">
                <c:v>45.913776851069429</c:v>
              </c:pt>
              <c:pt idx="53">
                <c:v>793.64200000000005</c:v>
              </c:pt>
              <c:pt idx="54">
                <c:v>225.50900000000001</c:v>
              </c:pt>
              <c:pt idx="55">
                <c:v>257.60300000000001</c:v>
              </c:pt>
              <c:pt idx="56">
                <c:v>1631.1849999999999</c:v>
              </c:pt>
              <c:pt idx="57">
                <c:v>332.99599999999998</c:v>
              </c:pt>
              <c:pt idx="58">
                <c:v>77.324254925706967</c:v>
              </c:pt>
              <c:pt idx="59">
                <c:v>661.06700000000001</c:v>
              </c:pt>
              <c:pt idx="60">
                <c:v>309.411</c:v>
              </c:pt>
              <c:pt idx="61">
                <c:v>441.399</c:v>
              </c:pt>
              <c:pt idx="62">
                <c:v>344.017</c:v>
              </c:pt>
              <c:pt idx="63">
                <c:v>476.02700000000004</c:v>
              </c:pt>
              <c:pt idx="64">
                <c:v>184.83700000000002</c:v>
              </c:pt>
              <c:pt idx="65">
                <c:v>5964</c:v>
              </c:pt>
              <c:pt idx="66">
                <c:v>1158.5079999999998</c:v>
              </c:pt>
              <c:pt idx="67">
                <c:v>143.75199999999998</c:v>
              </c:pt>
              <c:pt idx="68">
                <c:v>233.78399999999999</c:v>
              </c:pt>
              <c:pt idx="69">
                <c:v>1130.17</c:v>
              </c:pt>
              <c:pt idx="70">
                <c:v>271.697</c:v>
              </c:pt>
              <c:pt idx="71">
                <c:v>558.87699999999995</c:v>
              </c:pt>
              <c:pt idx="72">
                <c:v>192.24099999999999</c:v>
              </c:pt>
              <c:pt idx="73">
                <c:v>609.726</c:v>
              </c:pt>
              <c:pt idx="74">
                <c:v>110360</c:v>
              </c:pt>
              <c:pt idx="75">
                <c:v>506.92600000000004</c:v>
              </c:pt>
              <c:pt idx="76">
                <c:v>282.14300000000003</c:v>
              </c:pt>
              <c:pt idx="77">
                <c:v>211.739</c:v>
              </c:pt>
              <c:pt idx="78">
                <c:v>55.426000000000002</c:v>
              </c:pt>
              <c:pt idx="79">
                <c:v>181.369</c:v>
              </c:pt>
              <c:pt idx="80">
                <c:v>155.49099999999999</c:v>
              </c:pt>
              <c:pt idx="81">
                <c:v>242.89300000000003</c:v>
              </c:pt>
              <c:pt idx="82">
                <c:v>383.18099999999998</c:v>
              </c:pt>
              <c:pt idx="83">
                <c:v>2007.8210000000001</c:v>
              </c:pt>
              <c:pt idx="84">
                <c:v>1155.4570000000001</c:v>
              </c:pt>
              <c:pt idx="85">
                <c:v>324.19499999999999</c:v>
              </c:pt>
              <c:pt idx="86">
                <c:v>200.61800000000002</c:v>
              </c:pt>
              <c:pt idx="87">
                <c:v>2815.241</c:v>
              </c:pt>
              <c:pt idx="88">
                <c:v>128.101112</c:v>
              </c:pt>
              <c:pt idx="89">
                <c:v>39836</c:v>
              </c:pt>
              <c:pt idx="90">
                <c:v>498.02800000000002</c:v>
              </c:pt>
              <c:pt idx="91">
                <c:v>377.52699999999999</c:v>
              </c:pt>
              <c:pt idx="92">
                <c:v>851.31600000000003</c:v>
              </c:pt>
              <c:pt idx="93">
                <c:v>509.43599999999998</c:v>
              </c:pt>
              <c:pt idx="94">
                <c:v>401.911</c:v>
              </c:pt>
              <c:pt idx="95">
                <c:v>614.04600000000005</c:v>
              </c:pt>
              <c:pt idx="96">
                <c:v>183.61700000000002</c:v>
              </c:pt>
              <c:pt idx="97">
                <c:v>1235.683</c:v>
              </c:pt>
              <c:pt idx="98">
                <c:v>215.20100000000002</c:v>
              </c:pt>
              <c:pt idx="99">
                <c:v>328.411</c:v>
              </c:pt>
              <c:pt idx="100">
                <c:v>255.43600000000001</c:v>
              </c:pt>
              <c:pt idx="101">
                <c:v>221.20800000000003</c:v>
              </c:pt>
              <c:pt idx="102">
                <c:v>774.29099999999994</c:v>
              </c:pt>
              <c:pt idx="103">
                <c:v>3156.587</c:v>
              </c:pt>
              <c:pt idx="104">
                <c:v>581.47399999999993</c:v>
              </c:pt>
              <c:pt idx="105">
                <c:v>11817.844000000001</c:v>
              </c:pt>
              <c:pt idx="106">
                <c:v>493.41899999999998</c:v>
              </c:pt>
              <c:pt idx="107">
                <c:v>128.28899999999999</c:v>
              </c:pt>
              <c:pt idx="108">
                <c:v>2264.8180000000002</c:v>
              </c:pt>
              <c:pt idx="109">
                <c:v>853.57299999999998</c:v>
              </c:pt>
              <c:pt idx="110">
                <c:v>29.199000000000002</c:v>
              </c:pt>
              <c:pt idx="111">
                <c:v>111.253</c:v>
              </c:pt>
              <c:pt idx="112">
                <c:v>1448.318</c:v>
              </c:pt>
              <c:pt idx="113">
                <c:v>234.53299999999999</c:v>
              </c:pt>
              <c:pt idx="114">
                <c:v>2174.3449999999998</c:v>
              </c:pt>
              <c:pt idx="115">
                <c:v>4827</c:v>
              </c:pt>
              <c:pt idx="116">
                <c:v>3022.62</c:v>
              </c:pt>
              <c:pt idx="117">
                <c:v>992.76900000000001</c:v>
              </c:pt>
              <c:pt idx="118">
                <c:v>176.48500000000001</c:v>
              </c:pt>
              <c:pt idx="119">
                <c:v>187.727</c:v>
              </c:pt>
              <c:pt idx="120">
                <c:v>169.74299999999999</c:v>
              </c:pt>
              <c:pt idx="121">
                <c:v>1762.6579999999999</c:v>
              </c:pt>
              <c:pt idx="122">
                <c:v>492.64800000000002</c:v>
              </c:pt>
              <c:pt idx="123">
                <c:v>2027.4701488016447</c:v>
              </c:pt>
              <c:pt idx="124">
                <c:v>1035.461</c:v>
              </c:pt>
              <c:pt idx="125">
                <c:v>121.47999999999999</c:v>
              </c:pt>
              <c:pt idx="126">
                <c:v>242.52799999999999</c:v>
              </c:pt>
              <c:pt idx="127">
                <c:v>766.22400000000005</c:v>
              </c:pt>
              <c:pt idx="128">
                <c:v>8467</c:v>
              </c:pt>
              <c:pt idx="129">
                <c:v>513.48300000000006</c:v>
              </c:pt>
              <c:pt idx="130">
                <c:v>2428.232</c:v>
              </c:pt>
              <c:pt idx="131">
                <c:v>225.61</c:v>
              </c:pt>
              <c:pt idx="132">
                <c:v>198.54300000000001</c:v>
              </c:pt>
              <c:pt idx="133">
                <c:v>507.88499999999999</c:v>
              </c:pt>
              <c:pt idx="134">
                <c:v>883.15200000000004</c:v>
              </c:pt>
              <c:pt idx="135">
                <c:v>167.92599999999999</c:v>
              </c:pt>
            </c:numLit>
          </c:xVal>
          <c:yVal>
            <c:numLit>
              <c:formatCode>General</c:formatCode>
              <c:ptCount val="136"/>
              <c:pt idx="0">
                <c:v>759.67960363769771</c:v>
              </c:pt>
              <c:pt idx="1">
                <c:v>-676.82544037222715</c:v>
              </c:pt>
              <c:pt idx="2">
                <c:v>-954.93784791250891</c:v>
              </c:pt>
              <c:pt idx="3">
                <c:v>710.61716437939435</c:v>
              </c:pt>
              <c:pt idx="4">
                <c:v>-5255.7001149644911</c:v>
              </c:pt>
              <c:pt idx="5">
                <c:v>74532.081028548651</c:v>
              </c:pt>
              <c:pt idx="6">
                <c:v>-47.486153024648843</c:v>
              </c:pt>
              <c:pt idx="7">
                <c:v>-71.098775520971685</c:v>
              </c:pt>
              <c:pt idx="8">
                <c:v>220.05772316379841</c:v>
              </c:pt>
              <c:pt idx="9">
                <c:v>-466.08851344867162</c:v>
              </c:pt>
              <c:pt idx="10">
                <c:v>1909.0256846306456</c:v>
              </c:pt>
              <c:pt idx="11">
                <c:v>366.28143142740709</c:v>
              </c:pt>
              <c:pt idx="12">
                <c:v>213.59442710037274</c:v>
              </c:pt>
              <c:pt idx="13">
                <c:v>1601.3013950091158</c:v>
              </c:pt>
              <c:pt idx="14">
                <c:v>-150.18465389745757</c:v>
              </c:pt>
              <c:pt idx="15">
                <c:v>-279.92068973875723</c:v>
              </c:pt>
              <c:pt idx="16">
                <c:v>6064.8374601920623</c:v>
              </c:pt>
              <c:pt idx="17">
                <c:v>-6429.7148026482701</c:v>
              </c:pt>
              <c:pt idx="18">
                <c:v>7882.7576138196473</c:v>
              </c:pt>
              <c:pt idx="19">
                <c:v>845.185575699119</c:v>
              </c:pt>
              <c:pt idx="20">
                <c:v>1136.9506548865215</c:v>
              </c:pt>
              <c:pt idx="21">
                <c:v>7950.1044272948566</c:v>
              </c:pt>
              <c:pt idx="22">
                <c:v>985.61328762883545</c:v>
              </c:pt>
              <c:pt idx="23">
                <c:v>887.94021406231786</c:v>
              </c:pt>
              <c:pt idx="24">
                <c:v>-1087.6586893763601</c:v>
              </c:pt>
              <c:pt idx="25">
                <c:v>-3749.9752761987102</c:v>
              </c:pt>
              <c:pt idx="26">
                <c:v>1157.8898635170497</c:v>
              </c:pt>
              <c:pt idx="27">
                <c:v>-281.14858093463499</c:v>
              </c:pt>
              <c:pt idx="28">
                <c:v>-3221.7783609132416</c:v>
              </c:pt>
              <c:pt idx="29">
                <c:v>-3662.3433336827475</c:v>
              </c:pt>
              <c:pt idx="30">
                <c:v>1083.0830562107021</c:v>
              </c:pt>
              <c:pt idx="31">
                <c:v>-32.43692766386539</c:v>
              </c:pt>
              <c:pt idx="32">
                <c:v>476.04211919235649</c:v>
              </c:pt>
              <c:pt idx="33">
                <c:v>127.04779718232999</c:v>
              </c:pt>
              <c:pt idx="34">
                <c:v>7793.0117148801819</c:v>
              </c:pt>
              <c:pt idx="35">
                <c:v>-1753.7853637094995</c:v>
              </c:pt>
              <c:pt idx="36">
                <c:v>-3635.9735382939125</c:v>
              </c:pt>
              <c:pt idx="37">
                <c:v>-2915.2075849655043</c:v>
              </c:pt>
              <c:pt idx="38">
                <c:v>-2100.632700713224</c:v>
              </c:pt>
              <c:pt idx="39">
                <c:v>-1472.5261046844439</c:v>
              </c:pt>
              <c:pt idx="40">
                <c:v>1653.6764706139377</c:v>
              </c:pt>
              <c:pt idx="41">
                <c:v>1725.3444630229528</c:v>
              </c:pt>
              <c:pt idx="42">
                <c:v>918.32014022077715</c:v>
              </c:pt>
              <c:pt idx="43">
                <c:v>811.40128269292063</c:v>
              </c:pt>
              <c:pt idx="44">
                <c:v>1745.3286659670946</c:v>
              </c:pt>
              <c:pt idx="45">
                <c:v>-695.92263389677669</c:v>
              </c:pt>
              <c:pt idx="46">
                <c:v>-887.14548915511659</c:v>
              </c:pt>
              <c:pt idx="47">
                <c:v>-11595.674084003873</c:v>
              </c:pt>
              <c:pt idx="48">
                <c:v>92.151816958150903</c:v>
              </c:pt>
              <c:pt idx="49">
                <c:v>686.81729499584685</c:v>
              </c:pt>
              <c:pt idx="50">
                <c:v>-875.424782099808</c:v>
              </c:pt>
              <c:pt idx="51">
                <c:v>1022.6513550410793</c:v>
              </c:pt>
              <c:pt idx="52">
                <c:v>1319.3045150794671</c:v>
              </c:pt>
              <c:pt idx="53">
                <c:v>-5970.3419248513819</c:v>
              </c:pt>
              <c:pt idx="54">
                <c:v>661.84143447844667</c:v>
              </c:pt>
              <c:pt idx="55">
                <c:v>-1421.5240013729544</c:v>
              </c:pt>
              <c:pt idx="56">
                <c:v>-963.6270912841992</c:v>
              </c:pt>
              <c:pt idx="57">
                <c:v>-2686.7026387479505</c:v>
              </c:pt>
              <c:pt idx="58">
                <c:v>542.34840325896198</c:v>
              </c:pt>
              <c:pt idx="59">
                <c:v>-294.0568984781994</c:v>
              </c:pt>
              <c:pt idx="60">
                <c:v>-2533.2231289498195</c:v>
              </c:pt>
              <c:pt idx="61">
                <c:v>1334.4652940125115</c:v>
              </c:pt>
              <c:pt idx="62">
                <c:v>-579.95798518090214</c:v>
              </c:pt>
              <c:pt idx="63">
                <c:v>-530.40428264794309</c:v>
              </c:pt>
              <c:pt idx="64">
                <c:v>-240.79117392811486</c:v>
              </c:pt>
              <c:pt idx="65">
                <c:v>17181.07270774788</c:v>
              </c:pt>
              <c:pt idx="66">
                <c:v>-914.37492479751381</c:v>
              </c:pt>
              <c:pt idx="67">
                <c:v>1578.3167756711634</c:v>
              </c:pt>
              <c:pt idx="68">
                <c:v>77.589350553625536</c:v>
              </c:pt>
              <c:pt idx="69">
                <c:v>-1800.0188963632918</c:v>
              </c:pt>
              <c:pt idx="70">
                <c:v>-1990.7947766572865</c:v>
              </c:pt>
              <c:pt idx="71">
                <c:v>-1096.8381288992396</c:v>
              </c:pt>
              <c:pt idx="72">
                <c:v>1183.4129082983138</c:v>
              </c:pt>
              <c:pt idx="73">
                <c:v>-93.582616221147873</c:v>
              </c:pt>
              <c:pt idx="74">
                <c:v>5247.3128986093216</c:v>
              </c:pt>
              <c:pt idx="75">
                <c:v>-2530.936706976589</c:v>
              </c:pt>
              <c:pt idx="76">
                <c:v>313.7451289107064</c:v>
              </c:pt>
              <c:pt idx="77">
                <c:v>230.1724539112447</c:v>
              </c:pt>
              <c:pt idx="78">
                <c:v>1047.962572789361</c:v>
              </c:pt>
              <c:pt idx="79">
                <c:v>-713.61634073503672</c:v>
              </c:pt>
              <c:pt idx="80">
                <c:v>-354.24888171540351</c:v>
              </c:pt>
              <c:pt idx="81">
                <c:v>21.163272839025012</c:v>
              </c:pt>
              <c:pt idx="82">
                <c:v>1957.0303089462959</c:v>
              </c:pt>
              <c:pt idx="83">
                <c:v>-12884.347053157533</c:v>
              </c:pt>
              <c:pt idx="84">
                <c:v>-7914.5655202366597</c:v>
              </c:pt>
              <c:pt idx="85">
                <c:v>2002.0073435885297</c:v>
              </c:pt>
              <c:pt idx="86">
                <c:v>-166.66603286654095</c:v>
              </c:pt>
              <c:pt idx="87">
                <c:v>-8443.894217178984</c:v>
              </c:pt>
              <c:pt idx="88">
                <c:v>-518.58768166708001</c:v>
              </c:pt>
              <c:pt idx="89">
                <c:v>-25793.703478432581</c:v>
              </c:pt>
              <c:pt idx="90">
                <c:v>5503.872743750142</c:v>
              </c:pt>
              <c:pt idx="91">
                <c:v>427.71174745759618</c:v>
              </c:pt>
              <c:pt idx="92">
                <c:v>-4357.440328629631</c:v>
              </c:pt>
              <c:pt idx="93">
                <c:v>-2219.9267856086617</c:v>
              </c:pt>
              <c:pt idx="94">
                <c:v>318.02535705723449</c:v>
              </c:pt>
              <c:pt idx="95">
                <c:v>-441.95555353246891</c:v>
              </c:pt>
              <c:pt idx="96">
                <c:v>-280.70952604843842</c:v>
              </c:pt>
              <c:pt idx="97">
                <c:v>706.93136479126588</c:v>
              </c:pt>
              <c:pt idx="98">
                <c:v>368.34070132756801</c:v>
              </c:pt>
              <c:pt idx="99">
                <c:v>-2247.4073182401462</c:v>
              </c:pt>
              <c:pt idx="100">
                <c:v>1852.2541737129739</c:v>
              </c:pt>
              <c:pt idx="101">
                <c:v>-282.05834950826943</c:v>
              </c:pt>
              <c:pt idx="102">
                <c:v>-1025.5234603249273</c:v>
              </c:pt>
              <c:pt idx="103">
                <c:v>-2298.0732398654691</c:v>
              </c:pt>
              <c:pt idx="104">
                <c:v>966.70818134414912</c:v>
              </c:pt>
              <c:pt idx="105">
                <c:v>-3666.4323924062046</c:v>
              </c:pt>
              <c:pt idx="106">
                <c:v>-4343.2837899727374</c:v>
              </c:pt>
              <c:pt idx="107">
                <c:v>1238.1410044260249</c:v>
              </c:pt>
              <c:pt idx="108">
                <c:v>8629.4224610947385</c:v>
              </c:pt>
              <c:pt idx="109">
                <c:v>2061.1816536148308</c:v>
              </c:pt>
              <c:pt idx="110">
                <c:v>1210.569200891583</c:v>
              </c:pt>
              <c:pt idx="111">
                <c:v>2102.217398011866</c:v>
              </c:pt>
              <c:pt idx="112">
                <c:v>-3135.8062627588242</c:v>
              </c:pt>
              <c:pt idx="113">
                <c:v>161.91264527504222</c:v>
              </c:pt>
              <c:pt idx="114">
                <c:v>-2379.6789251148184</c:v>
              </c:pt>
              <c:pt idx="115">
                <c:v>-18176.588764701119</c:v>
              </c:pt>
              <c:pt idx="116">
                <c:v>-9197.6007102840431</c:v>
              </c:pt>
              <c:pt idx="117">
                <c:v>-1726.8102324308993</c:v>
              </c:pt>
              <c:pt idx="118">
                <c:v>760.38307993226681</c:v>
              </c:pt>
              <c:pt idx="119">
                <c:v>2029.137343452742</c:v>
              </c:pt>
              <c:pt idx="120">
                <c:v>341.37366577565376</c:v>
              </c:pt>
              <c:pt idx="121">
                <c:v>-6618.8930761159772</c:v>
              </c:pt>
              <c:pt idx="122">
                <c:v>319.11729339332123</c:v>
              </c:pt>
              <c:pt idx="123">
                <c:v>3312.2473067221035</c:v>
              </c:pt>
              <c:pt idx="124">
                <c:v>-842.13852918576231</c:v>
              </c:pt>
              <c:pt idx="125">
                <c:v>890.84192545443614</c:v>
              </c:pt>
              <c:pt idx="126">
                <c:v>465.74033459599741</c:v>
              </c:pt>
              <c:pt idx="127">
                <c:v>6407.0555567769279</c:v>
              </c:pt>
              <c:pt idx="128">
                <c:v>182.26321411150275</c:v>
              </c:pt>
              <c:pt idx="129">
                <c:v>78.092297552881064</c:v>
              </c:pt>
              <c:pt idx="130">
                <c:v>-656.49152923583461</c:v>
              </c:pt>
              <c:pt idx="131">
                <c:v>-404.52606753084956</c:v>
              </c:pt>
              <c:pt idx="132">
                <c:v>173.92948872830266</c:v>
              </c:pt>
              <c:pt idx="133">
                <c:v>363.51923496672953</c:v>
              </c:pt>
              <c:pt idx="134">
                <c:v>-4713.6287739078507</c:v>
              </c:pt>
              <c:pt idx="135">
                <c:v>823.83996367893837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7868-4D25-935F-3CC8E8892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139264"/>
        <c:axId val="809139656"/>
      </c:scatterChart>
      <c:valAx>
        <c:axId val="809139264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TTM_Rev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139656"/>
        <c:crossesAt val="-40000"/>
        <c:crossBetween val="midCat"/>
      </c:valAx>
      <c:valAx>
        <c:axId val="809139656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139264"/>
        <c:crossesAt val="0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Rev Growth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EV/Rev</c:v>
          </c:tx>
          <c:spPr>
            <a:ln w="19050">
              <a:noFill/>
            </a:ln>
          </c:spPr>
          <c:xVal>
            <c:numRef>
              <c:f>'Filtered Sample'!$D$2:$D$121</c:f>
              <c:numCache>
                <c:formatCode>#,##0.0_);\(#,##0.0\);0.0_);@_)</c:formatCode>
                <c:ptCount val="120"/>
                <c:pt idx="0">
                  <c:v>1.0939254096816726</c:v>
                </c:pt>
                <c:pt idx="1">
                  <c:v>0.36518189524897715</c:v>
                </c:pt>
                <c:pt idx="2">
                  <c:v>2.5665012608801829E-2</c:v>
                </c:pt>
                <c:pt idx="3" formatCode="0.0%_);\(0.0%\)">
                  <c:v>0.18481063775957018</c:v>
                </c:pt>
                <c:pt idx="4" formatCode="0.0%_);\(0.0%\)">
                  <c:v>0.32427403147904221</c:v>
                </c:pt>
                <c:pt idx="5">
                  <c:v>0.12643285236175972</c:v>
                </c:pt>
                <c:pt idx="6">
                  <c:v>3.6360003995604906E-2</c:v>
                </c:pt>
                <c:pt idx="7" formatCode="0.0%_);\(0.0%\)">
                  <c:v>6.3581033618146598E-2</c:v>
                </c:pt>
                <c:pt idx="8" formatCode="0.0%_);\(0.0%\)">
                  <c:v>0.28482204336323713</c:v>
                </c:pt>
                <c:pt idx="9" formatCode="0.0%_);\(0.0%\)">
                  <c:v>0.33777285869172391</c:v>
                </c:pt>
                <c:pt idx="10" formatCode="0.0%_);\(0.0%\)">
                  <c:v>0.76024916182035529</c:v>
                </c:pt>
                <c:pt idx="11" formatCode="0.0%_);\(0.0%\)">
                  <c:v>0.25282277859597468</c:v>
                </c:pt>
                <c:pt idx="12" formatCode="0.0%_);\(0.0%\)">
                  <c:v>6.0124762155143952E-2</c:v>
                </c:pt>
                <c:pt idx="13">
                  <c:v>-3.982098141349466E-2</c:v>
                </c:pt>
                <c:pt idx="14" formatCode="0.0%_);\(0.0%\)">
                  <c:v>0.21536079842022415</c:v>
                </c:pt>
                <c:pt idx="15" formatCode="0.0%_);\(0.0%\)">
                  <c:v>0.39882973076400785</c:v>
                </c:pt>
                <c:pt idx="16" formatCode="0.0%_);\(0.0%\)">
                  <c:v>0.44355718873420802</c:v>
                </c:pt>
                <c:pt idx="17">
                  <c:v>0.21000344730326859</c:v>
                </c:pt>
                <c:pt idx="18" formatCode="0.0%_);\(0.0%\)">
                  <c:v>0.56704682863946054</c:v>
                </c:pt>
                <c:pt idx="19" formatCode="0.0%_);\(0.0%\)">
                  <c:v>7.4866249518044548E-2</c:v>
                </c:pt>
                <c:pt idx="20" formatCode="0.0%_);\(0.0%\)">
                  <c:v>0.12118158993992911</c:v>
                </c:pt>
                <c:pt idx="21" formatCode="0.0%_);\(0.0%\)">
                  <c:v>0.13434688178715493</c:v>
                </c:pt>
                <c:pt idx="22" formatCode="0.0%_);\(0.0%\)">
                  <c:v>7.1619985310756862E-2</c:v>
                </c:pt>
                <c:pt idx="23">
                  <c:v>0.20755124106546718</c:v>
                </c:pt>
                <c:pt idx="24">
                  <c:v>8.4287875513293642E-3</c:v>
                </c:pt>
                <c:pt idx="25" formatCode="0.0%_);\(0.0%\)">
                  <c:v>0.18236074557512727</c:v>
                </c:pt>
                <c:pt idx="26" formatCode="0.0%_);\(0.0%\)">
                  <c:v>0.25131331930295331</c:v>
                </c:pt>
                <c:pt idx="27" formatCode="0.0%_);\(0.0%\)">
                  <c:v>0.13407566857822273</c:v>
                </c:pt>
                <c:pt idx="28" formatCode="0.0%_);\(0.0%\)">
                  <c:v>0.11455611954642619</c:v>
                </c:pt>
                <c:pt idx="29">
                  <c:v>1.4443445708518534</c:v>
                </c:pt>
                <c:pt idx="30" formatCode="0.0%_);\(0.0%\)">
                  <c:v>0.20546846268667451</c:v>
                </c:pt>
                <c:pt idx="31">
                  <c:v>0.11687126928708191</c:v>
                </c:pt>
                <c:pt idx="32">
                  <c:v>7.7772521897988778E-2</c:v>
                </c:pt>
                <c:pt idx="33" formatCode="0.0%_);\(0.0%\)">
                  <c:v>0.21729844335835513</c:v>
                </c:pt>
                <c:pt idx="34" formatCode="0.0%_);\(0.0%\)">
                  <c:v>0.17806318035514068</c:v>
                </c:pt>
                <c:pt idx="35" formatCode="0.0%_);\(0.0%\)">
                  <c:v>0.52388552100329933</c:v>
                </c:pt>
                <c:pt idx="36" formatCode="0.0%_);\(0.0%\)">
                  <c:v>0.31519733798005456</c:v>
                </c:pt>
                <c:pt idx="37">
                  <c:v>0.13566846010258682</c:v>
                </c:pt>
                <c:pt idx="38">
                  <c:v>4.5909889906875501E-2</c:v>
                </c:pt>
                <c:pt idx="39" formatCode="0.0%_);\(0.0%\)">
                  <c:v>0.29012158698208257</c:v>
                </c:pt>
                <c:pt idx="40" formatCode="0.0%_);\(0.0%\)">
                  <c:v>0.28899937720859659</c:v>
                </c:pt>
                <c:pt idx="41" formatCode="0.0%_);\(0.0%\)">
                  <c:v>7.2605999763788898E-2</c:v>
                </c:pt>
                <c:pt idx="42" formatCode="0.0%_);\(0.0%\)">
                  <c:v>0.21314041853990284</c:v>
                </c:pt>
                <c:pt idx="43">
                  <c:v>-3.2419882822799839E-2</c:v>
                </c:pt>
                <c:pt idx="44" formatCode="0.0%_);\(0.0%\)">
                  <c:v>0.10840677397719656</c:v>
                </c:pt>
                <c:pt idx="45" formatCode="0.0%_);\(0.0%\)">
                  <c:v>-1.180070437124503E-2</c:v>
                </c:pt>
                <c:pt idx="46" formatCode="0.0%_);\(0.0%\)">
                  <c:v>6.989213197969546E-2</c:v>
                </c:pt>
                <c:pt idx="47" formatCode="0.0%_);\(0.0%\)">
                  <c:v>0.1762724303997889</c:v>
                </c:pt>
                <c:pt idx="48" formatCode="0.0%_);\(0.0%\)">
                  <c:v>0.27870379794405276</c:v>
                </c:pt>
                <c:pt idx="49" formatCode="0.0%_);\(0.0%\)">
                  <c:v>0.32675608348697449</c:v>
                </c:pt>
                <c:pt idx="50" formatCode="0.0%_);\(0.0%\)">
                  <c:v>9.2588012202160064E-2</c:v>
                </c:pt>
                <c:pt idx="51">
                  <c:v>0.19284075768190023</c:v>
                </c:pt>
                <c:pt idx="52" formatCode="0.0%_);\(0.0%\)">
                  <c:v>-1.4085207919166232E-2</c:v>
                </c:pt>
                <c:pt idx="53" formatCode="0.0%_);\(0.0%\)">
                  <c:v>8.9842079791757845E-2</c:v>
                </c:pt>
                <c:pt idx="54" formatCode="0.0%_);\(0.0%\)">
                  <c:v>7.5705500520764524E-2</c:v>
                </c:pt>
                <c:pt idx="55" formatCode="0.0%_);\(0.0%\)">
                  <c:v>0.17218253183859034</c:v>
                </c:pt>
                <c:pt idx="56">
                  <c:v>0.39676325190343875</c:v>
                </c:pt>
                <c:pt idx="57" formatCode="0.0%_);\(0.0%\)">
                  <c:v>0.2349013248079701</c:v>
                </c:pt>
                <c:pt idx="58" formatCode="0.0%_);\(0.0%\)">
                  <c:v>7.4856765799364622E-2</c:v>
                </c:pt>
                <c:pt idx="59" formatCode="0.0%_);\(0.0%\)">
                  <c:v>0.17472622601444865</c:v>
                </c:pt>
                <c:pt idx="60" formatCode="0.0%_);\(0.0%\)">
                  <c:v>0.14021314793477901</c:v>
                </c:pt>
                <c:pt idx="61">
                  <c:v>8.9157738796050046E-2</c:v>
                </c:pt>
                <c:pt idx="62" formatCode="0.0%_);\(0.0%\)">
                  <c:v>0.32774285993421692</c:v>
                </c:pt>
                <c:pt idx="63" formatCode="0.0%_);\(0.0%\)">
                  <c:v>0.3814239960581427</c:v>
                </c:pt>
                <c:pt idx="64" formatCode="0.0%_);\(0.0%\)">
                  <c:v>0.10723573897272698</c:v>
                </c:pt>
                <c:pt idx="65">
                  <c:v>4.8298222232614041E-2</c:v>
                </c:pt>
                <c:pt idx="66" formatCode="0.0%_);\(0.0%\)">
                  <c:v>0.31887370772507673</c:v>
                </c:pt>
                <c:pt idx="67" formatCode="0.0%_);\(0.0%\)">
                  <c:v>6.44086484290749E-2</c:v>
                </c:pt>
                <c:pt idx="68" formatCode="0.0%_);\(0.0%\)">
                  <c:v>0.18951518188509064</c:v>
                </c:pt>
                <c:pt idx="69" formatCode="0.0%_);\(0.0%\)">
                  <c:v>0.30594599654365151</c:v>
                </c:pt>
                <c:pt idx="70" formatCode="0.0%_);\(0.0%\)">
                  <c:v>0.18090878735600224</c:v>
                </c:pt>
                <c:pt idx="71" formatCode="0.0%_);\(0.0%\)">
                  <c:v>9.8193444027594667E-2</c:v>
                </c:pt>
                <c:pt idx="72" formatCode="0.0%_);\(0.0%\)">
                  <c:v>9.5959012522825571E-2</c:v>
                </c:pt>
                <c:pt idx="73" formatCode="0.0%_);\(0.0%\)">
                  <c:v>0.11651685176986892</c:v>
                </c:pt>
                <c:pt idx="74" formatCode="0.0%_);\(0.0%\)">
                  <c:v>0.26431414661111607</c:v>
                </c:pt>
                <c:pt idx="75" formatCode="0.0%_);\(0.0%\)">
                  <c:v>1.3954699502491508E-2</c:v>
                </c:pt>
                <c:pt idx="76">
                  <c:v>1.7802077457975241E-2</c:v>
                </c:pt>
                <c:pt idx="77" formatCode="0.0%_);\(0.0%\)">
                  <c:v>3.3148505303760789E-2</c:v>
                </c:pt>
                <c:pt idx="78" formatCode="0.0%_);\(0.0%\)">
                  <c:v>1.3397856210463077E-2</c:v>
                </c:pt>
                <c:pt idx="79" formatCode="0.0%_);\(0.0%\)">
                  <c:v>0.31555089667677128</c:v>
                </c:pt>
                <c:pt idx="80" formatCode="0.0%_);\(0.0%\)">
                  <c:v>0.15533940728225715</c:v>
                </c:pt>
                <c:pt idx="81" formatCode="0.0%_);\(0.0%\)">
                  <c:v>0.20237266299744738</c:v>
                </c:pt>
                <c:pt idx="82" formatCode="0.0%_);\(0.0%\)">
                  <c:v>8.4931082781860345E-2</c:v>
                </c:pt>
                <c:pt idx="83">
                  <c:v>3.4475093708797866E-2</c:v>
                </c:pt>
                <c:pt idx="84" formatCode="0.0%_);\(0.0%\)">
                  <c:v>0.1851860649785193</c:v>
                </c:pt>
                <c:pt idx="85" formatCode="0.0%_);\(0.0%\)">
                  <c:v>2.8465388663426294E-2</c:v>
                </c:pt>
                <c:pt idx="86" formatCode="0.0%_);\(0.0%\)">
                  <c:v>0.20340544504430613</c:v>
                </c:pt>
                <c:pt idx="87">
                  <c:v>0.35823144628240677</c:v>
                </c:pt>
                <c:pt idx="88" formatCode="0.0%_);\(0.0%\)">
                  <c:v>8.1155047470734543E-2</c:v>
                </c:pt>
                <c:pt idx="89" formatCode="0.0%_);\(0.0%\)">
                  <c:v>6.3792419977218628E-2</c:v>
                </c:pt>
                <c:pt idx="90" formatCode="0.0%_);\(0.0%\)">
                  <c:v>0.23761000627341433</c:v>
                </c:pt>
                <c:pt idx="91" formatCode="0.0%_);\(0.0%\)">
                  <c:v>0.11360512866980788</c:v>
                </c:pt>
                <c:pt idx="92" formatCode="0.0%_);\(0.0%\)">
                  <c:v>7.2713000882189682E-2</c:v>
                </c:pt>
                <c:pt idx="93" formatCode="0.0%_);\(0.0%\)">
                  <c:v>4.7487300909792252E-2</c:v>
                </c:pt>
                <c:pt idx="94" formatCode="0.0%_);\(0.0%\)">
                  <c:v>0.3669350534706135</c:v>
                </c:pt>
                <c:pt idx="95" formatCode="0.0%_);\(0.0%\)">
                  <c:v>0.2188899261151187</c:v>
                </c:pt>
                <c:pt idx="96" formatCode="0.0%_);\(0.0%\)">
                  <c:v>0.25507824501493381</c:v>
                </c:pt>
                <c:pt idx="97" formatCode="0.0%_);\(0.0%\)">
                  <c:v>0.24618641590165691</c:v>
                </c:pt>
                <c:pt idx="98" formatCode="0.0%_);\(0.0%\)">
                  <c:v>0.17074887275201789</c:v>
                </c:pt>
                <c:pt idx="99">
                  <c:v>0.34531610141587099</c:v>
                </c:pt>
                <c:pt idx="100" formatCode="0.0%_);\(0.0%\)">
                  <c:v>0.16425784080600758</c:v>
                </c:pt>
                <c:pt idx="101" formatCode="0.0%_);\(0.0%\)">
                  <c:v>0.18003272596659103</c:v>
                </c:pt>
                <c:pt idx="102" formatCode="0.0%_);\(0.0%\)">
                  <c:v>2.540134236457936E-2</c:v>
                </c:pt>
                <c:pt idx="103" formatCode="0.0%_);\(0.0%\)">
                  <c:v>0.21665138383569471</c:v>
                </c:pt>
                <c:pt idx="104" formatCode="0.0%_);\(0.0%\)">
                  <c:v>0.21456790793125591</c:v>
                </c:pt>
                <c:pt idx="105">
                  <c:v>0.1109023118563639</c:v>
                </c:pt>
                <c:pt idx="106" formatCode="0.0%_);\(0.0%\)">
                  <c:v>2.8701272821758383E-2</c:v>
                </c:pt>
                <c:pt idx="107" formatCode="0.0%_);\(0.0%\)">
                  <c:v>0.17939844250499792</c:v>
                </c:pt>
                <c:pt idx="108" formatCode="0.0%_);\(0.0%\)">
                  <c:v>4.5615783060939163E-2</c:v>
                </c:pt>
                <c:pt idx="109">
                  <c:v>6.0804126625211952E-2</c:v>
                </c:pt>
                <c:pt idx="110" formatCode="0.0%_);\(0.0%\)">
                  <c:v>4.5144101474923204E-3</c:v>
                </c:pt>
                <c:pt idx="111" formatCode="0.0%_);\(0.0%\)">
                  <c:v>3.3457797796119682E-2</c:v>
                </c:pt>
                <c:pt idx="112" formatCode="0.0%_);\(0.0%\)">
                  <c:v>0.24470915467408383</c:v>
                </c:pt>
                <c:pt idx="113" formatCode="0.0%_);\(0.0%\)">
                  <c:v>0.19889173489578238</c:v>
                </c:pt>
                <c:pt idx="114" formatCode="0.0%_);\(0.0%\)">
                  <c:v>8.8234917900679388E-2</c:v>
                </c:pt>
                <c:pt idx="115" formatCode="0.0%_);\(0.0%\)">
                  <c:v>0.27187065021134593</c:v>
                </c:pt>
                <c:pt idx="116" formatCode="0.0%_);\(0.0%\)">
                  <c:v>1.003082767454107</c:v>
                </c:pt>
                <c:pt idx="117" formatCode="0.0%_);\(0.0%\)">
                  <c:v>0.24844386259407103</c:v>
                </c:pt>
                <c:pt idx="118" formatCode="0.0%_);\(0.0%\)">
                  <c:v>8.0987787740784078E-2</c:v>
                </c:pt>
                <c:pt idx="119">
                  <c:v>0.10785176133707775</c:v>
                </c:pt>
              </c:numCache>
            </c:numRef>
          </c:xVal>
          <c:yVal>
            <c:numRef>
              <c:f>'Filtered Sample'!$C$2:$C$121</c:f>
              <c:numCache>
                <c:formatCode>#,##0.0_);\(#,##0.0\);0.0_);@_)</c:formatCode>
                <c:ptCount val="120"/>
                <c:pt idx="0">
                  <c:v>0.57648122410978131</c:v>
                </c:pt>
                <c:pt idx="1">
                  <c:v>7.8129506260335466</c:v>
                </c:pt>
                <c:pt idx="2">
                  <c:v>10.11253519451164</c:v>
                </c:pt>
                <c:pt idx="3">
                  <c:v>3.3714653832491841</c:v>
                </c:pt>
                <c:pt idx="4">
                  <c:v>12.266786806509231</c:v>
                </c:pt>
                <c:pt idx="5">
                  <c:v>1.6798325991189427</c:v>
                </c:pt>
                <c:pt idx="6">
                  <c:v>0.56028755020080312</c:v>
                </c:pt>
                <c:pt idx="7">
                  <c:v>5.8022321144674081</c:v>
                </c:pt>
                <c:pt idx="8">
                  <c:v>8.1596586177651069</c:v>
                </c:pt>
                <c:pt idx="9">
                  <c:v>6.4523526539411495</c:v>
                </c:pt>
                <c:pt idx="10">
                  <c:v>12.764006066393305</c:v>
                </c:pt>
                <c:pt idx="11">
                  <c:v>10.146867839840409</c:v>
                </c:pt>
                <c:pt idx="12">
                  <c:v>7.0694147705516315</c:v>
                </c:pt>
                <c:pt idx="13">
                  <c:v>1.0114658536585366</c:v>
                </c:pt>
                <c:pt idx="14">
                  <c:v>3.6584260968073057</c:v>
                </c:pt>
                <c:pt idx="15">
                  <c:v>6.3740109429466525</c:v>
                </c:pt>
                <c:pt idx="16">
                  <c:v>6.1000758770737011</c:v>
                </c:pt>
                <c:pt idx="17">
                  <c:v>3.9222766122766122</c:v>
                </c:pt>
                <c:pt idx="18">
                  <c:v>10.068368363264293</c:v>
                </c:pt>
                <c:pt idx="19">
                  <c:v>3.7473726905173033</c:v>
                </c:pt>
                <c:pt idx="20">
                  <c:v>5.8731444420696759</c:v>
                </c:pt>
                <c:pt idx="21">
                  <c:v>5.3155876836511409</c:v>
                </c:pt>
                <c:pt idx="22">
                  <c:v>4.0920802692105829</c:v>
                </c:pt>
                <c:pt idx="23">
                  <c:v>2.0835744808456407</c:v>
                </c:pt>
                <c:pt idx="24">
                  <c:v>1.2459494213459066</c:v>
                </c:pt>
                <c:pt idx="25">
                  <c:v>4.5647688752546358</c:v>
                </c:pt>
                <c:pt idx="26">
                  <c:v>4.3721659914652227</c:v>
                </c:pt>
                <c:pt idx="27">
                  <c:v>8.5238847539015605</c:v>
                </c:pt>
                <c:pt idx="28">
                  <c:v>5.8082102070701689</c:v>
                </c:pt>
                <c:pt idx="29">
                  <c:v>7.2610403592663362</c:v>
                </c:pt>
                <c:pt idx="30">
                  <c:v>3.8654935148642928</c:v>
                </c:pt>
                <c:pt idx="31">
                  <c:v>1.1807002329403935</c:v>
                </c:pt>
                <c:pt idx="32">
                  <c:v>2.9983473325766177</c:v>
                </c:pt>
                <c:pt idx="33">
                  <c:v>8.6234948708425652</c:v>
                </c:pt>
                <c:pt idx="34">
                  <c:v>5.5386857868663117</c:v>
                </c:pt>
                <c:pt idx="35">
                  <c:v>8.6079148104728418</c:v>
                </c:pt>
                <c:pt idx="36">
                  <c:v>8.4077397304365906</c:v>
                </c:pt>
                <c:pt idx="37">
                  <c:v>2.265671270718232</c:v>
                </c:pt>
                <c:pt idx="38">
                  <c:v>2.1019087009803923</c:v>
                </c:pt>
                <c:pt idx="39">
                  <c:v>6.5353081442171996</c:v>
                </c:pt>
                <c:pt idx="40">
                  <c:v>6.8447533077898379</c:v>
                </c:pt>
                <c:pt idx="41">
                  <c:v>5.4254390698714063</c:v>
                </c:pt>
                <c:pt idx="42">
                  <c:v>12.250370401026363</c:v>
                </c:pt>
                <c:pt idx="43">
                  <c:v>3.1340332336324357</c:v>
                </c:pt>
                <c:pt idx="44">
                  <c:v>7.9097525042591084</c:v>
                </c:pt>
                <c:pt idx="45">
                  <c:v>3.066665611468923</c:v>
                </c:pt>
                <c:pt idx="46">
                  <c:v>4.0996019037452189</c:v>
                </c:pt>
                <c:pt idx="47">
                  <c:v>5.7389390736787496</c:v>
                </c:pt>
                <c:pt idx="48">
                  <c:v>9.0551950609724976</c:v>
                </c:pt>
                <c:pt idx="49">
                  <c:v>8.9364435486722531</c:v>
                </c:pt>
                <c:pt idx="50">
                  <c:v>5.0794251385061777</c:v>
                </c:pt>
                <c:pt idx="51">
                  <c:v>3.5067365269461073</c:v>
                </c:pt>
                <c:pt idx="52">
                  <c:v>3.5420179179810725</c:v>
                </c:pt>
                <c:pt idx="53">
                  <c:v>4.1901921750377236</c:v>
                </c:pt>
                <c:pt idx="54">
                  <c:v>8.0015335934837513</c:v>
                </c:pt>
                <c:pt idx="55">
                  <c:v>4.0798187607151597</c:v>
                </c:pt>
                <c:pt idx="56">
                  <c:v>3.9416613922006789</c:v>
                </c:pt>
                <c:pt idx="57">
                  <c:v>7.7488244679249831</c:v>
                </c:pt>
                <c:pt idx="58">
                  <c:v>4.1780519729885413</c:v>
                </c:pt>
                <c:pt idx="59">
                  <c:v>3.1361184086605665</c:v>
                </c:pt>
                <c:pt idx="60">
                  <c:v>5.3269977455988604</c:v>
                </c:pt>
                <c:pt idx="61">
                  <c:v>2.9120112013441615</c:v>
                </c:pt>
                <c:pt idx="62">
                  <c:v>8.9237196782026444</c:v>
                </c:pt>
                <c:pt idx="63">
                  <c:v>10.536085746896847</c:v>
                </c:pt>
                <c:pt idx="64">
                  <c:v>4.6914530971126585</c:v>
                </c:pt>
                <c:pt idx="65">
                  <c:v>1.9981420626895856</c:v>
                </c:pt>
                <c:pt idx="66">
                  <c:v>5.2102507725858258</c:v>
                </c:pt>
                <c:pt idx="67">
                  <c:v>6.4028104385120033</c:v>
                </c:pt>
                <c:pt idx="68">
                  <c:v>8.3344293965673266</c:v>
                </c:pt>
                <c:pt idx="69">
                  <c:v>10.166276468778422</c:v>
                </c:pt>
                <c:pt idx="70">
                  <c:v>9.2100984931490704</c:v>
                </c:pt>
                <c:pt idx="71">
                  <c:v>12.568502068130735</c:v>
                </c:pt>
                <c:pt idx="72">
                  <c:v>2.0687725027599684</c:v>
                </c:pt>
                <c:pt idx="73">
                  <c:v>8.2728247227892098</c:v>
                </c:pt>
                <c:pt idx="74">
                  <c:v>8.490319800310715</c:v>
                </c:pt>
                <c:pt idx="75">
                  <c:v>1.3997070038910506</c:v>
                </c:pt>
                <c:pt idx="76">
                  <c:v>3.0714453294069579</c:v>
                </c:pt>
                <c:pt idx="77">
                  <c:v>4.1445323066153303</c:v>
                </c:pt>
                <c:pt idx="78">
                  <c:v>4.429887145357001</c:v>
                </c:pt>
                <c:pt idx="79">
                  <c:v>7.357837407128244</c:v>
                </c:pt>
                <c:pt idx="80">
                  <c:v>4.7479818606825619</c:v>
                </c:pt>
                <c:pt idx="81">
                  <c:v>7.0123354832491298</c:v>
                </c:pt>
                <c:pt idx="82">
                  <c:v>6.5048979458190175</c:v>
                </c:pt>
                <c:pt idx="83">
                  <c:v>2.0150768397535712</c:v>
                </c:pt>
                <c:pt idx="84">
                  <c:v>6.0755460940922488</c:v>
                </c:pt>
                <c:pt idx="85">
                  <c:v>4.8252930836079786</c:v>
                </c:pt>
                <c:pt idx="86">
                  <c:v>11.381009183694736</c:v>
                </c:pt>
                <c:pt idx="87">
                  <c:v>9.7891752187397572</c:v>
                </c:pt>
                <c:pt idx="88">
                  <c:v>3.3262405995961988</c:v>
                </c:pt>
                <c:pt idx="89">
                  <c:v>3.3401406603773585</c:v>
                </c:pt>
                <c:pt idx="90">
                  <c:v>5.4568475555797393</c:v>
                </c:pt>
                <c:pt idx="91">
                  <c:v>6.1767701915601814</c:v>
                </c:pt>
                <c:pt idx="92">
                  <c:v>2.955181786533017</c:v>
                </c:pt>
                <c:pt idx="93">
                  <c:v>3.1986545053245892</c:v>
                </c:pt>
                <c:pt idx="94">
                  <c:v>6.6749513014078792</c:v>
                </c:pt>
                <c:pt idx="95">
                  <c:v>7.2125454410523382</c:v>
                </c:pt>
                <c:pt idx="96">
                  <c:v>7.2118645836259514</c:v>
                </c:pt>
                <c:pt idx="97">
                  <c:v>7.8507875107814389</c:v>
                </c:pt>
                <c:pt idx="98">
                  <c:v>6.4736606852984853</c:v>
                </c:pt>
                <c:pt idx="99">
                  <c:v>4.8337773589754578</c:v>
                </c:pt>
                <c:pt idx="100">
                  <c:v>4.3292629004258751</c:v>
                </c:pt>
                <c:pt idx="101">
                  <c:v>7.7644892299367179</c:v>
                </c:pt>
                <c:pt idx="102">
                  <c:v>5.0900997981504945</c:v>
                </c:pt>
                <c:pt idx="103">
                  <c:v>8.7731952120848646</c:v>
                </c:pt>
                <c:pt idx="104">
                  <c:v>5.5983514970295474</c:v>
                </c:pt>
                <c:pt idx="105">
                  <c:v>2.6890396514513135</c:v>
                </c:pt>
                <c:pt idx="106">
                  <c:v>3.8518125773037823</c:v>
                </c:pt>
                <c:pt idx="107">
                  <c:v>4.0362890436273213</c:v>
                </c:pt>
                <c:pt idx="108">
                  <c:v>4.1098323278361049</c:v>
                </c:pt>
                <c:pt idx="109">
                  <c:v>2.2066003330557868</c:v>
                </c:pt>
                <c:pt idx="110">
                  <c:v>5.0464857499109375</c:v>
                </c:pt>
                <c:pt idx="111">
                  <c:v>6.62695871340149</c:v>
                </c:pt>
                <c:pt idx="112">
                  <c:v>9.7853713869322334</c:v>
                </c:pt>
                <c:pt idx="113">
                  <c:v>7.0749901682228113</c:v>
                </c:pt>
                <c:pt idx="114">
                  <c:v>5.2308952422745243</c:v>
                </c:pt>
                <c:pt idx="115">
                  <c:v>4.16037951302041</c:v>
                </c:pt>
                <c:pt idx="116">
                  <c:v>4.1965213012924441</c:v>
                </c:pt>
                <c:pt idx="117">
                  <c:v>11.913384585692228</c:v>
                </c:pt>
                <c:pt idx="118">
                  <c:v>3.4114083075348165</c:v>
                </c:pt>
                <c:pt idx="119">
                  <c:v>1.245534219269103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0E5-4A98-B181-E13E3686A2A7}"/>
            </c:ext>
          </c:extLst>
        </c:ser>
        <c:ser>
          <c:idx val="1"/>
          <c:order val="1"/>
          <c:tx>
            <c:v>Predicted EV/Rev</c:v>
          </c:tx>
          <c:spPr>
            <a:ln w="19050">
              <a:noFill/>
            </a:ln>
          </c:spPr>
          <c:xVal>
            <c:numRef>
              <c:f>'Filtered Sample'!$D$2:$D$121</c:f>
              <c:numCache>
                <c:formatCode>#,##0.0_);\(#,##0.0\);0.0_);@_)</c:formatCode>
                <c:ptCount val="120"/>
                <c:pt idx="0">
                  <c:v>1.0939254096816726</c:v>
                </c:pt>
                <c:pt idx="1">
                  <c:v>0.36518189524897715</c:v>
                </c:pt>
                <c:pt idx="2">
                  <c:v>2.5665012608801829E-2</c:v>
                </c:pt>
                <c:pt idx="3" formatCode="0.0%_);\(0.0%\)">
                  <c:v>0.18481063775957018</c:v>
                </c:pt>
                <c:pt idx="4" formatCode="0.0%_);\(0.0%\)">
                  <c:v>0.32427403147904221</c:v>
                </c:pt>
                <c:pt idx="5">
                  <c:v>0.12643285236175972</c:v>
                </c:pt>
                <c:pt idx="6">
                  <c:v>3.6360003995604906E-2</c:v>
                </c:pt>
                <c:pt idx="7" formatCode="0.0%_);\(0.0%\)">
                  <c:v>6.3581033618146598E-2</c:v>
                </c:pt>
                <c:pt idx="8" formatCode="0.0%_);\(0.0%\)">
                  <c:v>0.28482204336323713</c:v>
                </c:pt>
                <c:pt idx="9" formatCode="0.0%_);\(0.0%\)">
                  <c:v>0.33777285869172391</c:v>
                </c:pt>
                <c:pt idx="10" formatCode="0.0%_);\(0.0%\)">
                  <c:v>0.76024916182035529</c:v>
                </c:pt>
                <c:pt idx="11" formatCode="0.0%_);\(0.0%\)">
                  <c:v>0.25282277859597468</c:v>
                </c:pt>
                <c:pt idx="12" formatCode="0.0%_);\(0.0%\)">
                  <c:v>6.0124762155143952E-2</c:v>
                </c:pt>
                <c:pt idx="13">
                  <c:v>-3.982098141349466E-2</c:v>
                </c:pt>
                <c:pt idx="14" formatCode="0.0%_);\(0.0%\)">
                  <c:v>0.21536079842022415</c:v>
                </c:pt>
                <c:pt idx="15" formatCode="0.0%_);\(0.0%\)">
                  <c:v>0.39882973076400785</c:v>
                </c:pt>
                <c:pt idx="16" formatCode="0.0%_);\(0.0%\)">
                  <c:v>0.44355718873420802</c:v>
                </c:pt>
                <c:pt idx="17">
                  <c:v>0.21000344730326859</c:v>
                </c:pt>
                <c:pt idx="18" formatCode="0.0%_);\(0.0%\)">
                  <c:v>0.56704682863946054</c:v>
                </c:pt>
                <c:pt idx="19" formatCode="0.0%_);\(0.0%\)">
                  <c:v>7.4866249518044548E-2</c:v>
                </c:pt>
                <c:pt idx="20" formatCode="0.0%_);\(0.0%\)">
                  <c:v>0.12118158993992911</c:v>
                </c:pt>
                <c:pt idx="21" formatCode="0.0%_);\(0.0%\)">
                  <c:v>0.13434688178715493</c:v>
                </c:pt>
                <c:pt idx="22" formatCode="0.0%_);\(0.0%\)">
                  <c:v>7.1619985310756862E-2</c:v>
                </c:pt>
                <c:pt idx="23">
                  <c:v>0.20755124106546718</c:v>
                </c:pt>
                <c:pt idx="24">
                  <c:v>8.4287875513293642E-3</c:v>
                </c:pt>
                <c:pt idx="25" formatCode="0.0%_);\(0.0%\)">
                  <c:v>0.18236074557512727</c:v>
                </c:pt>
                <c:pt idx="26" formatCode="0.0%_);\(0.0%\)">
                  <c:v>0.25131331930295331</c:v>
                </c:pt>
                <c:pt idx="27" formatCode="0.0%_);\(0.0%\)">
                  <c:v>0.13407566857822273</c:v>
                </c:pt>
                <c:pt idx="28" formatCode="0.0%_);\(0.0%\)">
                  <c:v>0.11455611954642619</c:v>
                </c:pt>
                <c:pt idx="29">
                  <c:v>1.4443445708518534</c:v>
                </c:pt>
                <c:pt idx="30" formatCode="0.0%_);\(0.0%\)">
                  <c:v>0.20546846268667451</c:v>
                </c:pt>
                <c:pt idx="31">
                  <c:v>0.11687126928708191</c:v>
                </c:pt>
                <c:pt idx="32">
                  <c:v>7.7772521897988778E-2</c:v>
                </c:pt>
                <c:pt idx="33" formatCode="0.0%_);\(0.0%\)">
                  <c:v>0.21729844335835513</c:v>
                </c:pt>
                <c:pt idx="34" formatCode="0.0%_);\(0.0%\)">
                  <c:v>0.17806318035514068</c:v>
                </c:pt>
                <c:pt idx="35" formatCode="0.0%_);\(0.0%\)">
                  <c:v>0.52388552100329933</c:v>
                </c:pt>
                <c:pt idx="36" formatCode="0.0%_);\(0.0%\)">
                  <c:v>0.31519733798005456</c:v>
                </c:pt>
                <c:pt idx="37">
                  <c:v>0.13566846010258682</c:v>
                </c:pt>
                <c:pt idx="38">
                  <c:v>4.5909889906875501E-2</c:v>
                </c:pt>
                <c:pt idx="39" formatCode="0.0%_);\(0.0%\)">
                  <c:v>0.29012158698208257</c:v>
                </c:pt>
                <c:pt idx="40" formatCode="0.0%_);\(0.0%\)">
                  <c:v>0.28899937720859659</c:v>
                </c:pt>
                <c:pt idx="41" formatCode="0.0%_);\(0.0%\)">
                  <c:v>7.2605999763788898E-2</c:v>
                </c:pt>
                <c:pt idx="42" formatCode="0.0%_);\(0.0%\)">
                  <c:v>0.21314041853990284</c:v>
                </c:pt>
                <c:pt idx="43">
                  <c:v>-3.2419882822799839E-2</c:v>
                </c:pt>
                <c:pt idx="44" formatCode="0.0%_);\(0.0%\)">
                  <c:v>0.10840677397719656</c:v>
                </c:pt>
                <c:pt idx="45" formatCode="0.0%_);\(0.0%\)">
                  <c:v>-1.180070437124503E-2</c:v>
                </c:pt>
                <c:pt idx="46" formatCode="0.0%_);\(0.0%\)">
                  <c:v>6.989213197969546E-2</c:v>
                </c:pt>
                <c:pt idx="47" formatCode="0.0%_);\(0.0%\)">
                  <c:v>0.1762724303997889</c:v>
                </c:pt>
                <c:pt idx="48" formatCode="0.0%_);\(0.0%\)">
                  <c:v>0.27870379794405276</c:v>
                </c:pt>
                <c:pt idx="49" formatCode="0.0%_);\(0.0%\)">
                  <c:v>0.32675608348697449</c:v>
                </c:pt>
                <c:pt idx="50" formatCode="0.0%_);\(0.0%\)">
                  <c:v>9.2588012202160064E-2</c:v>
                </c:pt>
                <c:pt idx="51">
                  <c:v>0.19284075768190023</c:v>
                </c:pt>
                <c:pt idx="52" formatCode="0.0%_);\(0.0%\)">
                  <c:v>-1.4085207919166232E-2</c:v>
                </c:pt>
                <c:pt idx="53" formatCode="0.0%_);\(0.0%\)">
                  <c:v>8.9842079791757845E-2</c:v>
                </c:pt>
                <c:pt idx="54" formatCode="0.0%_);\(0.0%\)">
                  <c:v>7.5705500520764524E-2</c:v>
                </c:pt>
                <c:pt idx="55" formatCode="0.0%_);\(0.0%\)">
                  <c:v>0.17218253183859034</c:v>
                </c:pt>
                <c:pt idx="56">
                  <c:v>0.39676325190343875</c:v>
                </c:pt>
                <c:pt idx="57" formatCode="0.0%_);\(0.0%\)">
                  <c:v>0.2349013248079701</c:v>
                </c:pt>
                <c:pt idx="58" formatCode="0.0%_);\(0.0%\)">
                  <c:v>7.4856765799364622E-2</c:v>
                </c:pt>
                <c:pt idx="59" formatCode="0.0%_);\(0.0%\)">
                  <c:v>0.17472622601444865</c:v>
                </c:pt>
                <c:pt idx="60" formatCode="0.0%_);\(0.0%\)">
                  <c:v>0.14021314793477901</c:v>
                </c:pt>
                <c:pt idx="61">
                  <c:v>8.9157738796050046E-2</c:v>
                </c:pt>
                <c:pt idx="62" formatCode="0.0%_);\(0.0%\)">
                  <c:v>0.32774285993421692</c:v>
                </c:pt>
                <c:pt idx="63" formatCode="0.0%_);\(0.0%\)">
                  <c:v>0.3814239960581427</c:v>
                </c:pt>
                <c:pt idx="64" formatCode="0.0%_);\(0.0%\)">
                  <c:v>0.10723573897272698</c:v>
                </c:pt>
                <c:pt idx="65">
                  <c:v>4.8298222232614041E-2</c:v>
                </c:pt>
                <c:pt idx="66" formatCode="0.0%_);\(0.0%\)">
                  <c:v>0.31887370772507673</c:v>
                </c:pt>
                <c:pt idx="67" formatCode="0.0%_);\(0.0%\)">
                  <c:v>6.44086484290749E-2</c:v>
                </c:pt>
                <c:pt idx="68" formatCode="0.0%_);\(0.0%\)">
                  <c:v>0.18951518188509064</c:v>
                </c:pt>
                <c:pt idx="69" formatCode="0.0%_);\(0.0%\)">
                  <c:v>0.30594599654365151</c:v>
                </c:pt>
                <c:pt idx="70" formatCode="0.0%_);\(0.0%\)">
                  <c:v>0.18090878735600224</c:v>
                </c:pt>
                <c:pt idx="71" formatCode="0.0%_);\(0.0%\)">
                  <c:v>9.8193444027594667E-2</c:v>
                </c:pt>
                <c:pt idx="72" formatCode="0.0%_);\(0.0%\)">
                  <c:v>9.5959012522825571E-2</c:v>
                </c:pt>
                <c:pt idx="73" formatCode="0.0%_);\(0.0%\)">
                  <c:v>0.11651685176986892</c:v>
                </c:pt>
                <c:pt idx="74" formatCode="0.0%_);\(0.0%\)">
                  <c:v>0.26431414661111607</c:v>
                </c:pt>
                <c:pt idx="75" formatCode="0.0%_);\(0.0%\)">
                  <c:v>1.3954699502491508E-2</c:v>
                </c:pt>
                <c:pt idx="76">
                  <c:v>1.7802077457975241E-2</c:v>
                </c:pt>
                <c:pt idx="77" formatCode="0.0%_);\(0.0%\)">
                  <c:v>3.3148505303760789E-2</c:v>
                </c:pt>
                <c:pt idx="78" formatCode="0.0%_);\(0.0%\)">
                  <c:v>1.3397856210463077E-2</c:v>
                </c:pt>
                <c:pt idx="79" formatCode="0.0%_);\(0.0%\)">
                  <c:v>0.31555089667677128</c:v>
                </c:pt>
                <c:pt idx="80" formatCode="0.0%_);\(0.0%\)">
                  <c:v>0.15533940728225715</c:v>
                </c:pt>
                <c:pt idx="81" formatCode="0.0%_);\(0.0%\)">
                  <c:v>0.20237266299744738</c:v>
                </c:pt>
                <c:pt idx="82" formatCode="0.0%_);\(0.0%\)">
                  <c:v>8.4931082781860345E-2</c:v>
                </c:pt>
                <c:pt idx="83">
                  <c:v>3.4475093708797866E-2</c:v>
                </c:pt>
                <c:pt idx="84" formatCode="0.0%_);\(0.0%\)">
                  <c:v>0.1851860649785193</c:v>
                </c:pt>
                <c:pt idx="85" formatCode="0.0%_);\(0.0%\)">
                  <c:v>2.8465388663426294E-2</c:v>
                </c:pt>
                <c:pt idx="86" formatCode="0.0%_);\(0.0%\)">
                  <c:v>0.20340544504430613</c:v>
                </c:pt>
                <c:pt idx="87">
                  <c:v>0.35823144628240677</c:v>
                </c:pt>
                <c:pt idx="88" formatCode="0.0%_);\(0.0%\)">
                  <c:v>8.1155047470734543E-2</c:v>
                </c:pt>
                <c:pt idx="89" formatCode="0.0%_);\(0.0%\)">
                  <c:v>6.3792419977218628E-2</c:v>
                </c:pt>
                <c:pt idx="90" formatCode="0.0%_);\(0.0%\)">
                  <c:v>0.23761000627341433</c:v>
                </c:pt>
                <c:pt idx="91" formatCode="0.0%_);\(0.0%\)">
                  <c:v>0.11360512866980788</c:v>
                </c:pt>
                <c:pt idx="92" formatCode="0.0%_);\(0.0%\)">
                  <c:v>7.2713000882189682E-2</c:v>
                </c:pt>
                <c:pt idx="93" formatCode="0.0%_);\(0.0%\)">
                  <c:v>4.7487300909792252E-2</c:v>
                </c:pt>
                <c:pt idx="94" formatCode="0.0%_);\(0.0%\)">
                  <c:v>0.3669350534706135</c:v>
                </c:pt>
                <c:pt idx="95" formatCode="0.0%_);\(0.0%\)">
                  <c:v>0.2188899261151187</c:v>
                </c:pt>
                <c:pt idx="96" formatCode="0.0%_);\(0.0%\)">
                  <c:v>0.25507824501493381</c:v>
                </c:pt>
                <c:pt idx="97" formatCode="0.0%_);\(0.0%\)">
                  <c:v>0.24618641590165691</c:v>
                </c:pt>
                <c:pt idx="98" formatCode="0.0%_);\(0.0%\)">
                  <c:v>0.17074887275201789</c:v>
                </c:pt>
                <c:pt idx="99">
                  <c:v>0.34531610141587099</c:v>
                </c:pt>
                <c:pt idx="100" formatCode="0.0%_);\(0.0%\)">
                  <c:v>0.16425784080600758</c:v>
                </c:pt>
                <c:pt idx="101" formatCode="0.0%_);\(0.0%\)">
                  <c:v>0.18003272596659103</c:v>
                </c:pt>
                <c:pt idx="102" formatCode="0.0%_);\(0.0%\)">
                  <c:v>2.540134236457936E-2</c:v>
                </c:pt>
                <c:pt idx="103" formatCode="0.0%_);\(0.0%\)">
                  <c:v>0.21665138383569471</c:v>
                </c:pt>
                <c:pt idx="104" formatCode="0.0%_);\(0.0%\)">
                  <c:v>0.21456790793125591</c:v>
                </c:pt>
                <c:pt idx="105">
                  <c:v>0.1109023118563639</c:v>
                </c:pt>
                <c:pt idx="106" formatCode="0.0%_);\(0.0%\)">
                  <c:v>2.8701272821758383E-2</c:v>
                </c:pt>
                <c:pt idx="107" formatCode="0.0%_);\(0.0%\)">
                  <c:v>0.17939844250499792</c:v>
                </c:pt>
                <c:pt idx="108" formatCode="0.0%_);\(0.0%\)">
                  <c:v>4.5615783060939163E-2</c:v>
                </c:pt>
                <c:pt idx="109">
                  <c:v>6.0804126625211952E-2</c:v>
                </c:pt>
                <c:pt idx="110" formatCode="0.0%_);\(0.0%\)">
                  <c:v>4.5144101474923204E-3</c:v>
                </c:pt>
                <c:pt idx="111" formatCode="0.0%_);\(0.0%\)">
                  <c:v>3.3457797796119682E-2</c:v>
                </c:pt>
                <c:pt idx="112" formatCode="0.0%_);\(0.0%\)">
                  <c:v>0.24470915467408383</c:v>
                </c:pt>
                <c:pt idx="113" formatCode="0.0%_);\(0.0%\)">
                  <c:v>0.19889173489578238</c:v>
                </c:pt>
                <c:pt idx="114" formatCode="0.0%_);\(0.0%\)">
                  <c:v>8.8234917900679388E-2</c:v>
                </c:pt>
                <c:pt idx="115" formatCode="0.0%_);\(0.0%\)">
                  <c:v>0.27187065021134593</c:v>
                </c:pt>
                <c:pt idx="116" formatCode="0.0%_);\(0.0%\)">
                  <c:v>1.003082767454107</c:v>
                </c:pt>
                <c:pt idx="117" formatCode="0.0%_);\(0.0%\)">
                  <c:v>0.24844386259407103</c:v>
                </c:pt>
                <c:pt idx="118" formatCode="0.0%_);\(0.0%\)">
                  <c:v>8.0987787740784078E-2</c:v>
                </c:pt>
                <c:pt idx="119">
                  <c:v>0.10785176133707775</c:v>
                </c:pt>
              </c:numCache>
            </c:numRef>
          </c:xVal>
          <c:yVal>
            <c:numRef>
              <c:f>'Filtered Output'!$B$34:$B$153</c:f>
              <c:numCache>
                <c:formatCode>General</c:formatCode>
                <c:ptCount val="120"/>
                <c:pt idx="0">
                  <c:v>6.831336748277252</c:v>
                </c:pt>
                <c:pt idx="1">
                  <c:v>5.4741213688361228</c:v>
                </c:pt>
                <c:pt idx="2">
                  <c:v>4.2149817996501646</c:v>
                </c:pt>
                <c:pt idx="3">
                  <c:v>4.1656997720974651</c:v>
                </c:pt>
                <c:pt idx="4">
                  <c:v>7.0412352623512264</c:v>
                </c:pt>
                <c:pt idx="5">
                  <c:v>5.637885463090953</c:v>
                </c:pt>
                <c:pt idx="6">
                  <c:v>3.2843803239666127</c:v>
                </c:pt>
                <c:pt idx="7">
                  <c:v>5.271063988370198</c:v>
                </c:pt>
                <c:pt idx="8">
                  <c:v>5.5855528715550085</c:v>
                </c:pt>
                <c:pt idx="9">
                  <c:v>5.4671383741151462</c:v>
                </c:pt>
                <c:pt idx="10">
                  <c:v>9.625549506716542</c:v>
                </c:pt>
                <c:pt idx="11">
                  <c:v>6.8646200725212756</c:v>
                </c:pt>
                <c:pt idx="12">
                  <c:v>5.7395366134855221</c:v>
                </c:pt>
                <c:pt idx="13">
                  <c:v>3.4690548421810687</c:v>
                </c:pt>
                <c:pt idx="14">
                  <c:v>6.0380041797036359</c:v>
                </c:pt>
                <c:pt idx="15">
                  <c:v>7.1934921010749848</c:v>
                </c:pt>
                <c:pt idx="16">
                  <c:v>5.5852384389740486</c:v>
                </c:pt>
                <c:pt idx="17">
                  <c:v>5.4674001827196363</c:v>
                </c:pt>
                <c:pt idx="18">
                  <c:v>8.750899694111256</c:v>
                </c:pt>
                <c:pt idx="19">
                  <c:v>4.4973445237899385</c:v>
                </c:pt>
                <c:pt idx="20">
                  <c:v>4.3664998923891947</c:v>
                </c:pt>
                <c:pt idx="21">
                  <c:v>5.2755493651705478</c:v>
                </c:pt>
                <c:pt idx="22">
                  <c:v>4.8104526533721677</c:v>
                </c:pt>
                <c:pt idx="23">
                  <c:v>7.1939137646912359</c:v>
                </c:pt>
                <c:pt idx="24">
                  <c:v>4.8660975215083733</c:v>
                </c:pt>
                <c:pt idx="25">
                  <c:v>5.0715226751320595</c:v>
                </c:pt>
                <c:pt idx="26">
                  <c:v>6.0484656613897281</c:v>
                </c:pt>
                <c:pt idx="27">
                  <c:v>3.5323004869229546</c:v>
                </c:pt>
                <c:pt idx="28">
                  <c:v>5.4134123386227557</c:v>
                </c:pt>
                <c:pt idx="29">
                  <c:v>9.0930038896035477</c:v>
                </c:pt>
                <c:pt idx="30">
                  <c:v>5.9644442429738129</c:v>
                </c:pt>
                <c:pt idx="31">
                  <c:v>4.8662329483203681</c:v>
                </c:pt>
                <c:pt idx="32">
                  <c:v>4.185906024943896</c:v>
                </c:pt>
                <c:pt idx="33">
                  <c:v>6.106805662603227</c:v>
                </c:pt>
                <c:pt idx="34">
                  <c:v>5.6516354006623315</c:v>
                </c:pt>
                <c:pt idx="35">
                  <c:v>6.1373015655432122</c:v>
                </c:pt>
                <c:pt idx="36">
                  <c:v>6.4783214239950375</c:v>
                </c:pt>
                <c:pt idx="37">
                  <c:v>3.7153173316846333</c:v>
                </c:pt>
                <c:pt idx="38">
                  <c:v>5.7739512450529471</c:v>
                </c:pt>
                <c:pt idx="39">
                  <c:v>6.3497434116467488</c:v>
                </c:pt>
                <c:pt idx="40">
                  <c:v>7.1070053627717176</c:v>
                </c:pt>
                <c:pt idx="41">
                  <c:v>5.3386859665584474</c:v>
                </c:pt>
                <c:pt idx="42">
                  <c:v>5.9379124598901178</c:v>
                </c:pt>
                <c:pt idx="43">
                  <c:v>3.7617266744691245</c:v>
                </c:pt>
                <c:pt idx="44">
                  <c:v>5.8903334157735987</c:v>
                </c:pt>
                <c:pt idx="45">
                  <c:v>5.0014162326358784</c:v>
                </c:pt>
                <c:pt idx="46">
                  <c:v>3.44241738645345</c:v>
                </c:pt>
                <c:pt idx="47">
                  <c:v>7.2468203073919613</c:v>
                </c:pt>
                <c:pt idx="48">
                  <c:v>7.1939118145853183</c:v>
                </c:pt>
                <c:pt idx="49">
                  <c:v>6.8039023371462006</c:v>
                </c:pt>
                <c:pt idx="50">
                  <c:v>4.6170978674126104</c:v>
                </c:pt>
                <c:pt idx="51">
                  <c:v>6.8170238487729762</c:v>
                </c:pt>
                <c:pt idx="52">
                  <c:v>5.3461271534007029</c:v>
                </c:pt>
                <c:pt idx="53">
                  <c:v>4.4663747940201608</c:v>
                </c:pt>
                <c:pt idx="54">
                  <c:v>5.1432437625344996</c:v>
                </c:pt>
                <c:pt idx="55">
                  <c:v>5.5262207033811288</c:v>
                </c:pt>
                <c:pt idx="56">
                  <c:v>8.2754461173909508</c:v>
                </c:pt>
                <c:pt idx="57">
                  <c:v>4.3597303148294158</c:v>
                </c:pt>
                <c:pt idx="58">
                  <c:v>5.8485041595949179</c:v>
                </c:pt>
                <c:pt idx="59">
                  <c:v>6.5058823202392944</c:v>
                </c:pt>
                <c:pt idx="60">
                  <c:v>6.3428695621889739</c:v>
                </c:pt>
                <c:pt idx="61">
                  <c:v>3.9091025550084417</c:v>
                </c:pt>
                <c:pt idx="62">
                  <c:v>6.9939915109406527</c:v>
                </c:pt>
                <c:pt idx="63">
                  <c:v>8.3866298533258732</c:v>
                </c:pt>
                <c:pt idx="64">
                  <c:v>5.6258938026952103</c:v>
                </c:pt>
                <c:pt idx="65">
                  <c:v>5.6611288334120307</c:v>
                </c:pt>
                <c:pt idx="66">
                  <c:v>6.6943037555037712</c:v>
                </c:pt>
                <c:pt idx="67">
                  <c:v>4.5215558440028607</c:v>
                </c:pt>
                <c:pt idx="68">
                  <c:v>6.0106268426918712</c:v>
                </c:pt>
                <c:pt idx="69">
                  <c:v>6.8092259683502956</c:v>
                </c:pt>
                <c:pt idx="70">
                  <c:v>5.5344313828947689</c:v>
                </c:pt>
                <c:pt idx="71">
                  <c:v>6.4725019997150257</c:v>
                </c:pt>
                <c:pt idx="72">
                  <c:v>3.7143299473003162</c:v>
                </c:pt>
                <c:pt idx="73">
                  <c:v>5.5449793888961594</c:v>
                </c:pt>
                <c:pt idx="74">
                  <c:v>7.1833375485487467</c:v>
                </c:pt>
                <c:pt idx="75">
                  <c:v>5.4640634922369236</c:v>
                </c:pt>
                <c:pt idx="76">
                  <c:v>5.5881245338726027</c:v>
                </c:pt>
                <c:pt idx="77">
                  <c:v>5.9429221546398505</c:v>
                </c:pt>
                <c:pt idx="78">
                  <c:v>5.1390592665265062</c:v>
                </c:pt>
                <c:pt idx="79">
                  <c:v>7.323840526819299</c:v>
                </c:pt>
                <c:pt idx="80">
                  <c:v>4.7156611514033502</c:v>
                </c:pt>
                <c:pt idx="81">
                  <c:v>5.1481515982069403</c:v>
                </c:pt>
                <c:pt idx="82">
                  <c:v>4.0212270351283843</c:v>
                </c:pt>
                <c:pt idx="83">
                  <c:v>3.3059046287164486</c:v>
                </c:pt>
                <c:pt idx="84">
                  <c:v>6.7591938151910211</c:v>
                </c:pt>
                <c:pt idx="85">
                  <c:v>5.7518508495141445</c:v>
                </c:pt>
                <c:pt idx="86">
                  <c:v>6.8903743002108238</c:v>
                </c:pt>
                <c:pt idx="87">
                  <c:v>5.8636992203175939</c:v>
                </c:pt>
                <c:pt idx="88">
                  <c:v>5.851320292596613</c:v>
                </c:pt>
                <c:pt idx="89">
                  <c:v>3.9129420544543088</c:v>
                </c:pt>
                <c:pt idx="90">
                  <c:v>6.3802078459490215</c:v>
                </c:pt>
                <c:pt idx="91">
                  <c:v>4.6243645443739947</c:v>
                </c:pt>
                <c:pt idx="92">
                  <c:v>6.3096336842761191</c:v>
                </c:pt>
                <c:pt idx="93">
                  <c:v>3.9373989095566428</c:v>
                </c:pt>
                <c:pt idx="94">
                  <c:v>8.240602561161813</c:v>
                </c:pt>
                <c:pt idx="95">
                  <c:v>6.2003340425884943</c:v>
                </c:pt>
                <c:pt idx="96">
                  <c:v>7.1086912389692909</c:v>
                </c:pt>
                <c:pt idx="97">
                  <c:v>6.6988259016627589</c:v>
                </c:pt>
                <c:pt idx="98">
                  <c:v>5.8879693322954374</c:v>
                </c:pt>
                <c:pt idx="99">
                  <c:v>6.8124495321124927</c:v>
                </c:pt>
                <c:pt idx="100">
                  <c:v>7.519476187681998</c:v>
                </c:pt>
                <c:pt idx="101">
                  <c:v>4.9043528309781275</c:v>
                </c:pt>
                <c:pt idx="102">
                  <c:v>5.1627829209417726</c:v>
                </c:pt>
                <c:pt idx="103">
                  <c:v>6.9172431669514127</c:v>
                </c:pt>
                <c:pt idx="104">
                  <c:v>5.2597771780976617</c:v>
                </c:pt>
                <c:pt idx="105">
                  <c:v>5.5711935109212165</c:v>
                </c:pt>
                <c:pt idx="106">
                  <c:v>4.6559524303917943</c:v>
                </c:pt>
                <c:pt idx="107">
                  <c:v>5.7103790805007035</c:v>
                </c:pt>
                <c:pt idx="108">
                  <c:v>3.7314724686154692</c:v>
                </c:pt>
                <c:pt idx="109">
                  <c:v>3.7658846295658788</c:v>
                </c:pt>
                <c:pt idx="110">
                  <c:v>3.6632296594025124</c:v>
                </c:pt>
                <c:pt idx="111">
                  <c:v>6.0426688408794984</c:v>
                </c:pt>
                <c:pt idx="112">
                  <c:v>5.5206811839069552</c:v>
                </c:pt>
                <c:pt idx="113">
                  <c:v>5.2675513128108049</c:v>
                </c:pt>
                <c:pt idx="114">
                  <c:v>5.050272213684627</c:v>
                </c:pt>
                <c:pt idx="115">
                  <c:v>5.7917389253228162</c:v>
                </c:pt>
                <c:pt idx="116">
                  <c:v>8.2299896341995584</c:v>
                </c:pt>
                <c:pt idx="117">
                  <c:v>7.3582227578831203</c:v>
                </c:pt>
                <c:pt idx="118">
                  <c:v>6.7961226510940129</c:v>
                </c:pt>
                <c:pt idx="119">
                  <c:v>2.5699463426707325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0E5-4A98-B181-E13E3686A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141616"/>
        <c:axId val="809142008"/>
      </c:scatterChart>
      <c:valAx>
        <c:axId val="809141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Rev Growth</a:t>
                </a:r>
              </a:p>
            </c:rich>
          </c:tx>
          <c:overlay val="0"/>
        </c:title>
        <c:numFmt formatCode="#,##0.0_);\(#,##0.0\);0.0_);@_)" sourceLinked="1"/>
        <c:majorTickMark val="out"/>
        <c:minorTickMark val="none"/>
        <c:tickLblPos val="nextTo"/>
        <c:crossAx val="809142008"/>
        <c:crosses val="autoZero"/>
        <c:crossBetween val="midCat"/>
      </c:valAx>
      <c:valAx>
        <c:axId val="8091420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EV/Rev</a:t>
                </a:r>
              </a:p>
            </c:rich>
          </c:tx>
          <c:overlay val="0"/>
        </c:title>
        <c:numFmt formatCode="#,##0.0_);\(#,##0.0\);0.0_);@_)" sourceLinked="1"/>
        <c:majorTickMark val="out"/>
        <c:minorTickMark val="none"/>
        <c:tickLblPos val="nextTo"/>
        <c:crossAx val="8091416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GP Margin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EV/Rev</c:v>
          </c:tx>
          <c:spPr>
            <a:ln w="19050">
              <a:noFill/>
            </a:ln>
          </c:spPr>
          <c:xVal>
            <c:numRef>
              <c:f>'Filtered Sample'!$E$2:$E$121</c:f>
              <c:numCache>
                <c:formatCode>0%</c:formatCode>
                <c:ptCount val="120"/>
                <c:pt idx="0">
                  <c:v>0.41391975074461967</c:v>
                </c:pt>
                <c:pt idx="1">
                  <c:v>0.58609155578489558</c:v>
                </c:pt>
                <c:pt idx="2">
                  <c:v>0.6535019975037103</c:v>
                </c:pt>
                <c:pt idx="3">
                  <c:v>0.68025418110004043</c:v>
                </c:pt>
                <c:pt idx="4">
                  <c:v>0.81234907806795387</c:v>
                </c:pt>
                <c:pt idx="5">
                  <c:v>0.83011981789181555</c:v>
                </c:pt>
                <c:pt idx="6">
                  <c:v>0.5148919555518755</c:v>
                </c:pt>
                <c:pt idx="7">
                  <c:v>0.88264760994686642</c:v>
                </c:pt>
                <c:pt idx="8">
                  <c:v>0.70649098895806062</c:v>
                </c:pt>
                <c:pt idx="9">
                  <c:v>0.66669678352005779</c:v>
                </c:pt>
                <c:pt idx="10">
                  <c:v>0.80511087341464949</c:v>
                </c:pt>
                <c:pt idx="11">
                  <c:v>0.87182577145691786</c:v>
                </c:pt>
                <c:pt idx="12">
                  <c:v>0.87117950854779347</c:v>
                </c:pt>
                <c:pt idx="13">
                  <c:v>0.56622606522251473</c:v>
                </c:pt>
                <c:pt idx="14">
                  <c:v>0.71251830040758768</c:v>
                </c:pt>
                <c:pt idx="15">
                  <c:v>0.78003135531497281</c:v>
                </c:pt>
                <c:pt idx="16">
                  <c:v>0.55167283034571557</c:v>
                </c:pt>
                <c:pt idx="17">
                  <c:v>0.59622677011593583</c:v>
                </c:pt>
                <c:pt idx="18">
                  <c:v>0.86369568575644429</c:v>
                </c:pt>
                <c:pt idx="19">
                  <c:v>0.65626694351170867</c:v>
                </c:pt>
                <c:pt idx="20">
                  <c:v>0.59635545611995044</c:v>
                </c:pt>
                <c:pt idx="21">
                  <c:v>0.71389566349394595</c:v>
                </c:pt>
                <c:pt idx="22">
                  <c:v>0.76438323562474364</c:v>
                </c:pt>
                <c:pt idx="23">
                  <c:v>0.8503453377377399</c:v>
                </c:pt>
                <c:pt idx="24">
                  <c:v>0.77716878910365639</c:v>
                </c:pt>
                <c:pt idx="25">
                  <c:v>0.66590708286343891</c:v>
                </c:pt>
                <c:pt idx="26">
                  <c:v>0.70595174026734853</c:v>
                </c:pt>
                <c:pt idx="27">
                  <c:v>0.55116954899297743</c:v>
                </c:pt>
                <c:pt idx="28">
                  <c:v>0.69230493276187233</c:v>
                </c:pt>
                <c:pt idx="29">
                  <c:v>0.25056812394409728</c:v>
                </c:pt>
                <c:pt idx="30">
                  <c:v>0.72702756269789404</c:v>
                </c:pt>
                <c:pt idx="31">
                  <c:v>0.68128167371624215</c:v>
                </c:pt>
                <c:pt idx="32">
                  <c:v>0.63566967234935934</c:v>
                </c:pt>
                <c:pt idx="33">
                  <c:v>0.74233956395664935</c:v>
                </c:pt>
                <c:pt idx="34">
                  <c:v>0.70365447448971064</c:v>
                </c:pt>
                <c:pt idx="35">
                  <c:v>0.52415945118683227</c:v>
                </c:pt>
                <c:pt idx="36">
                  <c:v>0.70098153174246813</c:v>
                </c:pt>
                <c:pt idx="37">
                  <c:v>0.51478408726353231</c:v>
                </c:pt>
                <c:pt idx="38">
                  <c:v>0.85231386595492098</c:v>
                </c:pt>
                <c:pt idx="39">
                  <c:v>0.71608316536046746</c:v>
                </c:pt>
                <c:pt idx="40">
                  <c:v>0.79280240098719257</c:v>
                </c:pt>
                <c:pt idx="41">
                  <c:v>0.8603991968820125</c:v>
                </c:pt>
                <c:pt idx="42">
                  <c:v>0.68860084305431146</c:v>
                </c:pt>
                <c:pt idx="43">
                  <c:v>0.58941031848887282</c:v>
                </c:pt>
                <c:pt idx="44">
                  <c:v>0.83702213279678073</c:v>
                </c:pt>
                <c:pt idx="45">
                  <c:v>0.78785995442303713</c:v>
                </c:pt>
                <c:pt idx="46">
                  <c:v>0.50090814362927738</c:v>
                </c:pt>
                <c:pt idx="47">
                  <c:v>0.90019708259201003</c:v>
                </c:pt>
                <c:pt idx="48">
                  <c:v>0.83089453283393444</c:v>
                </c:pt>
                <c:pt idx="49">
                  <c:v>0.72801054611815585</c:v>
                </c:pt>
                <c:pt idx="50">
                  <c:v>0.66866135379671465</c:v>
                </c:pt>
                <c:pt idx="51">
                  <c:v>0.85252949591562377</c:v>
                </c:pt>
                <c:pt idx="52">
                  <c:v>0.83030820149922224</c:v>
                </c:pt>
                <c:pt idx="53">
                  <c:v>0.65566369754343934</c:v>
                </c:pt>
                <c:pt idx="54">
                  <c:v>0.73217241692812174</c:v>
                </c:pt>
                <c:pt idx="55">
                  <c:v>0.69293761861751924</c:v>
                </c:pt>
                <c:pt idx="56">
                  <c:v>0.87099917488234413</c:v>
                </c:pt>
                <c:pt idx="57">
                  <c:v>0.49505345881129004</c:v>
                </c:pt>
                <c:pt idx="58">
                  <c:v>0.79773963771628198</c:v>
                </c:pt>
                <c:pt idx="59">
                  <c:v>0.75474664005567371</c:v>
                </c:pt>
                <c:pt idx="60">
                  <c:v>0.85236806652495634</c:v>
                </c:pt>
                <c:pt idx="61">
                  <c:v>0.54081939028252479</c:v>
                </c:pt>
                <c:pt idx="62">
                  <c:v>0.69223629840944378</c:v>
                </c:pt>
                <c:pt idx="63">
                  <c:v>0.86476966442513215</c:v>
                </c:pt>
                <c:pt idx="64">
                  <c:v>0.74643259270702</c:v>
                </c:pt>
                <c:pt idx="65">
                  <c:v>0.79022188481056888</c:v>
                </c:pt>
                <c:pt idx="66">
                  <c:v>0.70741808526214944</c:v>
                </c:pt>
                <c:pt idx="67">
                  <c:v>0.62332135603532324</c:v>
                </c:pt>
                <c:pt idx="68">
                  <c:v>0.76791838483736197</c:v>
                </c:pt>
                <c:pt idx="69">
                  <c:v>0.75349984737580866</c:v>
                </c:pt>
                <c:pt idx="70">
                  <c:v>0.70751016911802767</c:v>
                </c:pt>
                <c:pt idx="71">
                  <c:v>0.89861346901551586</c:v>
                </c:pt>
                <c:pt idx="72">
                  <c:v>0.51518485568527572</c:v>
                </c:pt>
                <c:pt idx="73">
                  <c:v>0.72852385657525642</c:v>
                </c:pt>
                <c:pt idx="74">
                  <c:v>0.80223336455862504</c:v>
                </c:pt>
                <c:pt idx="75">
                  <c:v>0.803981239901987</c:v>
                </c:pt>
                <c:pt idx="76">
                  <c:v>0.8117360266383209</c:v>
                </c:pt>
                <c:pt idx="77">
                  <c:v>0.85486981677917073</c:v>
                </c:pt>
                <c:pt idx="78">
                  <c:v>0.79669143488302041</c:v>
                </c:pt>
                <c:pt idx="79">
                  <c:v>0.76684702958527584</c:v>
                </c:pt>
                <c:pt idx="80">
                  <c:v>0.59195940671389624</c:v>
                </c:pt>
                <c:pt idx="81">
                  <c:v>0.62616458462270208</c:v>
                </c:pt>
                <c:pt idx="82">
                  <c:v>0.56069079800967758</c:v>
                </c:pt>
                <c:pt idx="83">
                  <c:v>0.51473002068741491</c:v>
                </c:pt>
                <c:pt idx="84">
                  <c:v>0.84533496607909919</c:v>
                </c:pt>
                <c:pt idx="85">
                  <c:v>0.84702230782544607</c:v>
                </c:pt>
                <c:pt idx="86">
                  <c:v>0.8709037817895926</c:v>
                </c:pt>
                <c:pt idx="87">
                  <c:v>0.54570361240958798</c:v>
                </c:pt>
                <c:pt idx="88">
                  <c:v>0.78162312134613177</c:v>
                </c:pt>
                <c:pt idx="89">
                  <c:v>0.55141779914388933</c:v>
                </c:pt>
                <c:pt idx="90">
                  <c:v>0.73267809586697963</c:v>
                </c:pt>
                <c:pt idx="91">
                  <c:v>0.65247372236317502</c:v>
                </c:pt>
                <c:pt idx="92">
                  <c:v>0.85330143641298495</c:v>
                </c:pt>
                <c:pt idx="93">
                  <c:v>0.56401542074891919</c:v>
                </c:pt>
                <c:pt idx="94">
                  <c:v>0.83004221347896434</c:v>
                </c:pt>
                <c:pt idx="95">
                  <c:v>0.74036718925317502</c:v>
                </c:pt>
                <c:pt idx="96">
                  <c:v>0.74437778330125193</c:v>
                </c:pt>
                <c:pt idx="97">
                  <c:v>0.762424464362504</c:v>
                </c:pt>
                <c:pt idx="98">
                  <c:v>0.74903642068615961</c:v>
                </c:pt>
                <c:pt idx="99">
                  <c:v>0.66982218315619402</c:v>
                </c:pt>
                <c:pt idx="100">
                  <c:v>0.88006613303762016</c:v>
                </c:pt>
                <c:pt idx="101">
                  <c:v>0.59036668010725346</c:v>
                </c:pt>
                <c:pt idx="102">
                  <c:v>0.71700598229941115</c:v>
                </c:pt>
                <c:pt idx="103">
                  <c:v>0.77642204217040689</c:v>
                </c:pt>
                <c:pt idx="104">
                  <c:v>0.60719161055548021</c:v>
                </c:pt>
                <c:pt idx="105">
                  <c:v>0.71395387976494418</c:v>
                </c:pt>
                <c:pt idx="106">
                  <c:v>0.66204989520726754</c:v>
                </c:pt>
                <c:pt idx="107">
                  <c:v>0.75537864054497039</c:v>
                </c:pt>
                <c:pt idx="108">
                  <c:v>0.55351752109061769</c:v>
                </c:pt>
                <c:pt idx="109">
                  <c:v>0.5408246156655846</c:v>
                </c:pt>
                <c:pt idx="110">
                  <c:v>0.57631465170524854</c:v>
                </c:pt>
                <c:pt idx="111">
                  <c:v>0.89545407388358411</c:v>
                </c:pt>
                <c:pt idx="112">
                  <c:v>0.6194763558189732</c:v>
                </c:pt>
                <c:pt idx="113">
                  <c:v>0.60480442215913743</c:v>
                </c:pt>
                <c:pt idx="114">
                  <c:v>0.666298567071818</c:v>
                </c:pt>
                <c:pt idx="115">
                  <c:v>0.63627342087059102</c:v>
                </c:pt>
                <c:pt idx="116">
                  <c:v>0.4120739852790079</c:v>
                </c:pt>
                <c:pt idx="117">
                  <c:v>0.83627025868933325</c:v>
                </c:pt>
                <c:pt idx="118">
                  <c:v>0.84096872684757851</c:v>
                </c:pt>
                <c:pt idx="119">
                  <c:v>0.32237014296227734</c:v>
                </c:pt>
              </c:numCache>
            </c:numRef>
          </c:xVal>
          <c:yVal>
            <c:numRef>
              <c:f>'Filtered Sample'!$C$2:$C$121</c:f>
              <c:numCache>
                <c:formatCode>#,##0.0_);\(#,##0.0\);0.0_);@_)</c:formatCode>
                <c:ptCount val="120"/>
                <c:pt idx="0">
                  <c:v>0.57648122410978131</c:v>
                </c:pt>
                <c:pt idx="1">
                  <c:v>7.8129506260335466</c:v>
                </c:pt>
                <c:pt idx="2">
                  <c:v>10.11253519451164</c:v>
                </c:pt>
                <c:pt idx="3">
                  <c:v>3.3714653832491841</c:v>
                </c:pt>
                <c:pt idx="4">
                  <c:v>12.266786806509231</c:v>
                </c:pt>
                <c:pt idx="5">
                  <c:v>1.6798325991189427</c:v>
                </c:pt>
                <c:pt idx="6">
                  <c:v>0.56028755020080312</c:v>
                </c:pt>
                <c:pt idx="7">
                  <c:v>5.8022321144674081</c:v>
                </c:pt>
                <c:pt idx="8">
                  <c:v>8.1596586177651069</c:v>
                </c:pt>
                <c:pt idx="9">
                  <c:v>6.4523526539411495</c:v>
                </c:pt>
                <c:pt idx="10">
                  <c:v>12.764006066393305</c:v>
                </c:pt>
                <c:pt idx="11">
                  <c:v>10.146867839840409</c:v>
                </c:pt>
                <c:pt idx="12">
                  <c:v>7.0694147705516315</c:v>
                </c:pt>
                <c:pt idx="13">
                  <c:v>1.0114658536585366</c:v>
                </c:pt>
                <c:pt idx="14">
                  <c:v>3.6584260968073057</c:v>
                </c:pt>
                <c:pt idx="15">
                  <c:v>6.3740109429466525</c:v>
                </c:pt>
                <c:pt idx="16">
                  <c:v>6.1000758770737011</c:v>
                </c:pt>
                <c:pt idx="17">
                  <c:v>3.9222766122766122</c:v>
                </c:pt>
                <c:pt idx="18">
                  <c:v>10.068368363264293</c:v>
                </c:pt>
                <c:pt idx="19">
                  <c:v>3.7473726905173033</c:v>
                </c:pt>
                <c:pt idx="20">
                  <c:v>5.8731444420696759</c:v>
                </c:pt>
                <c:pt idx="21">
                  <c:v>5.3155876836511409</c:v>
                </c:pt>
                <c:pt idx="22">
                  <c:v>4.0920802692105829</c:v>
                </c:pt>
                <c:pt idx="23">
                  <c:v>2.0835744808456407</c:v>
                </c:pt>
                <c:pt idx="24">
                  <c:v>1.2459494213459066</c:v>
                </c:pt>
                <c:pt idx="25">
                  <c:v>4.5647688752546358</c:v>
                </c:pt>
                <c:pt idx="26">
                  <c:v>4.3721659914652227</c:v>
                </c:pt>
                <c:pt idx="27">
                  <c:v>8.5238847539015605</c:v>
                </c:pt>
                <c:pt idx="28">
                  <c:v>5.8082102070701689</c:v>
                </c:pt>
                <c:pt idx="29">
                  <c:v>7.2610403592663362</c:v>
                </c:pt>
                <c:pt idx="30">
                  <c:v>3.8654935148642928</c:v>
                </c:pt>
                <c:pt idx="31">
                  <c:v>1.1807002329403935</c:v>
                </c:pt>
                <c:pt idx="32">
                  <c:v>2.9983473325766177</c:v>
                </c:pt>
                <c:pt idx="33">
                  <c:v>8.6234948708425652</c:v>
                </c:pt>
                <c:pt idx="34">
                  <c:v>5.5386857868663117</c:v>
                </c:pt>
                <c:pt idx="35">
                  <c:v>8.6079148104728418</c:v>
                </c:pt>
                <c:pt idx="36">
                  <c:v>8.4077397304365906</c:v>
                </c:pt>
                <c:pt idx="37">
                  <c:v>2.265671270718232</c:v>
                </c:pt>
                <c:pt idx="38">
                  <c:v>2.1019087009803923</c:v>
                </c:pt>
                <c:pt idx="39">
                  <c:v>6.5353081442171996</c:v>
                </c:pt>
                <c:pt idx="40">
                  <c:v>6.8447533077898379</c:v>
                </c:pt>
                <c:pt idx="41">
                  <c:v>5.4254390698714063</c:v>
                </c:pt>
                <c:pt idx="42">
                  <c:v>12.250370401026363</c:v>
                </c:pt>
                <c:pt idx="43">
                  <c:v>3.1340332336324357</c:v>
                </c:pt>
                <c:pt idx="44">
                  <c:v>7.9097525042591084</c:v>
                </c:pt>
                <c:pt idx="45">
                  <c:v>3.066665611468923</c:v>
                </c:pt>
                <c:pt idx="46">
                  <c:v>4.0996019037452189</c:v>
                </c:pt>
                <c:pt idx="47">
                  <c:v>5.7389390736787496</c:v>
                </c:pt>
                <c:pt idx="48">
                  <c:v>9.0551950609724976</c:v>
                </c:pt>
                <c:pt idx="49">
                  <c:v>8.9364435486722531</c:v>
                </c:pt>
                <c:pt idx="50">
                  <c:v>5.0794251385061777</c:v>
                </c:pt>
                <c:pt idx="51">
                  <c:v>3.5067365269461073</c:v>
                </c:pt>
                <c:pt idx="52">
                  <c:v>3.5420179179810725</c:v>
                </c:pt>
                <c:pt idx="53">
                  <c:v>4.1901921750377236</c:v>
                </c:pt>
                <c:pt idx="54">
                  <c:v>8.0015335934837513</c:v>
                </c:pt>
                <c:pt idx="55">
                  <c:v>4.0798187607151597</c:v>
                </c:pt>
                <c:pt idx="56">
                  <c:v>3.9416613922006789</c:v>
                </c:pt>
                <c:pt idx="57">
                  <c:v>7.7488244679249831</c:v>
                </c:pt>
                <c:pt idx="58">
                  <c:v>4.1780519729885413</c:v>
                </c:pt>
                <c:pt idx="59">
                  <c:v>3.1361184086605665</c:v>
                </c:pt>
                <c:pt idx="60">
                  <c:v>5.3269977455988604</c:v>
                </c:pt>
                <c:pt idx="61">
                  <c:v>2.9120112013441615</c:v>
                </c:pt>
                <c:pt idx="62">
                  <c:v>8.9237196782026444</c:v>
                </c:pt>
                <c:pt idx="63">
                  <c:v>10.536085746896847</c:v>
                </c:pt>
                <c:pt idx="64">
                  <c:v>4.6914530971126585</c:v>
                </c:pt>
                <c:pt idx="65">
                  <c:v>1.9981420626895856</c:v>
                </c:pt>
                <c:pt idx="66">
                  <c:v>5.2102507725858258</c:v>
                </c:pt>
                <c:pt idx="67">
                  <c:v>6.4028104385120033</c:v>
                </c:pt>
                <c:pt idx="68">
                  <c:v>8.3344293965673266</c:v>
                </c:pt>
                <c:pt idx="69">
                  <c:v>10.166276468778422</c:v>
                </c:pt>
                <c:pt idx="70">
                  <c:v>9.2100984931490704</c:v>
                </c:pt>
                <c:pt idx="71">
                  <c:v>12.568502068130735</c:v>
                </c:pt>
                <c:pt idx="72">
                  <c:v>2.0687725027599684</c:v>
                </c:pt>
                <c:pt idx="73">
                  <c:v>8.2728247227892098</c:v>
                </c:pt>
                <c:pt idx="74">
                  <c:v>8.490319800310715</c:v>
                </c:pt>
                <c:pt idx="75">
                  <c:v>1.3997070038910506</c:v>
                </c:pt>
                <c:pt idx="76">
                  <c:v>3.0714453294069579</c:v>
                </c:pt>
                <c:pt idx="77">
                  <c:v>4.1445323066153303</c:v>
                </c:pt>
                <c:pt idx="78">
                  <c:v>4.429887145357001</c:v>
                </c:pt>
                <c:pt idx="79">
                  <c:v>7.357837407128244</c:v>
                </c:pt>
                <c:pt idx="80">
                  <c:v>4.7479818606825619</c:v>
                </c:pt>
                <c:pt idx="81">
                  <c:v>7.0123354832491298</c:v>
                </c:pt>
                <c:pt idx="82">
                  <c:v>6.5048979458190175</c:v>
                </c:pt>
                <c:pt idx="83">
                  <c:v>2.0150768397535712</c:v>
                </c:pt>
                <c:pt idx="84">
                  <c:v>6.0755460940922488</c:v>
                </c:pt>
                <c:pt idx="85">
                  <c:v>4.8252930836079786</c:v>
                </c:pt>
                <c:pt idx="86">
                  <c:v>11.381009183694736</c:v>
                </c:pt>
                <c:pt idx="87">
                  <c:v>9.7891752187397572</c:v>
                </c:pt>
                <c:pt idx="88">
                  <c:v>3.3262405995961988</c:v>
                </c:pt>
                <c:pt idx="89">
                  <c:v>3.3401406603773585</c:v>
                </c:pt>
                <c:pt idx="90">
                  <c:v>5.4568475555797393</c:v>
                </c:pt>
                <c:pt idx="91">
                  <c:v>6.1767701915601814</c:v>
                </c:pt>
                <c:pt idx="92">
                  <c:v>2.955181786533017</c:v>
                </c:pt>
                <c:pt idx="93">
                  <c:v>3.1986545053245892</c:v>
                </c:pt>
                <c:pt idx="94">
                  <c:v>6.6749513014078792</c:v>
                </c:pt>
                <c:pt idx="95">
                  <c:v>7.2125454410523382</c:v>
                </c:pt>
                <c:pt idx="96">
                  <c:v>7.2118645836259514</c:v>
                </c:pt>
                <c:pt idx="97">
                  <c:v>7.8507875107814389</c:v>
                </c:pt>
                <c:pt idx="98">
                  <c:v>6.4736606852984853</c:v>
                </c:pt>
                <c:pt idx="99">
                  <c:v>4.8337773589754578</c:v>
                </c:pt>
                <c:pt idx="100">
                  <c:v>4.3292629004258751</c:v>
                </c:pt>
                <c:pt idx="101">
                  <c:v>7.7644892299367179</c:v>
                </c:pt>
                <c:pt idx="102">
                  <c:v>5.0900997981504945</c:v>
                </c:pt>
                <c:pt idx="103">
                  <c:v>8.7731952120848646</c:v>
                </c:pt>
                <c:pt idx="104">
                  <c:v>5.5983514970295474</c:v>
                </c:pt>
                <c:pt idx="105">
                  <c:v>2.6890396514513135</c:v>
                </c:pt>
                <c:pt idx="106">
                  <c:v>3.8518125773037823</c:v>
                </c:pt>
                <c:pt idx="107">
                  <c:v>4.0362890436273213</c:v>
                </c:pt>
                <c:pt idx="108">
                  <c:v>4.1098323278361049</c:v>
                </c:pt>
                <c:pt idx="109">
                  <c:v>2.2066003330557868</c:v>
                </c:pt>
                <c:pt idx="110">
                  <c:v>5.0464857499109375</c:v>
                </c:pt>
                <c:pt idx="111">
                  <c:v>6.62695871340149</c:v>
                </c:pt>
                <c:pt idx="112">
                  <c:v>9.7853713869322334</c:v>
                </c:pt>
                <c:pt idx="113">
                  <c:v>7.0749901682228113</c:v>
                </c:pt>
                <c:pt idx="114">
                  <c:v>5.2308952422745243</c:v>
                </c:pt>
                <c:pt idx="115">
                  <c:v>4.16037951302041</c:v>
                </c:pt>
                <c:pt idx="116">
                  <c:v>4.1965213012924441</c:v>
                </c:pt>
                <c:pt idx="117">
                  <c:v>11.913384585692228</c:v>
                </c:pt>
                <c:pt idx="118">
                  <c:v>3.4114083075348165</c:v>
                </c:pt>
                <c:pt idx="119">
                  <c:v>1.245534219269103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2C6-4ADD-9568-F03156EE0B67}"/>
            </c:ext>
          </c:extLst>
        </c:ser>
        <c:ser>
          <c:idx val="1"/>
          <c:order val="1"/>
          <c:tx>
            <c:v>Predicted EV/Rev</c:v>
          </c:tx>
          <c:spPr>
            <a:ln w="19050">
              <a:noFill/>
            </a:ln>
          </c:spPr>
          <c:xVal>
            <c:numRef>
              <c:f>'Filtered Sample'!$E$2:$E$121</c:f>
              <c:numCache>
                <c:formatCode>0%</c:formatCode>
                <c:ptCount val="120"/>
                <c:pt idx="0">
                  <c:v>0.41391975074461967</c:v>
                </c:pt>
                <c:pt idx="1">
                  <c:v>0.58609155578489558</c:v>
                </c:pt>
                <c:pt idx="2">
                  <c:v>0.6535019975037103</c:v>
                </c:pt>
                <c:pt idx="3">
                  <c:v>0.68025418110004043</c:v>
                </c:pt>
                <c:pt idx="4">
                  <c:v>0.81234907806795387</c:v>
                </c:pt>
                <c:pt idx="5">
                  <c:v>0.83011981789181555</c:v>
                </c:pt>
                <c:pt idx="6">
                  <c:v>0.5148919555518755</c:v>
                </c:pt>
                <c:pt idx="7">
                  <c:v>0.88264760994686642</c:v>
                </c:pt>
                <c:pt idx="8">
                  <c:v>0.70649098895806062</c:v>
                </c:pt>
                <c:pt idx="9">
                  <c:v>0.66669678352005779</c:v>
                </c:pt>
                <c:pt idx="10">
                  <c:v>0.80511087341464949</c:v>
                </c:pt>
                <c:pt idx="11">
                  <c:v>0.87182577145691786</c:v>
                </c:pt>
                <c:pt idx="12">
                  <c:v>0.87117950854779347</c:v>
                </c:pt>
                <c:pt idx="13">
                  <c:v>0.56622606522251473</c:v>
                </c:pt>
                <c:pt idx="14">
                  <c:v>0.71251830040758768</c:v>
                </c:pt>
                <c:pt idx="15">
                  <c:v>0.78003135531497281</c:v>
                </c:pt>
                <c:pt idx="16">
                  <c:v>0.55167283034571557</c:v>
                </c:pt>
                <c:pt idx="17">
                  <c:v>0.59622677011593583</c:v>
                </c:pt>
                <c:pt idx="18">
                  <c:v>0.86369568575644429</c:v>
                </c:pt>
                <c:pt idx="19">
                  <c:v>0.65626694351170867</c:v>
                </c:pt>
                <c:pt idx="20">
                  <c:v>0.59635545611995044</c:v>
                </c:pt>
                <c:pt idx="21">
                  <c:v>0.71389566349394595</c:v>
                </c:pt>
                <c:pt idx="22">
                  <c:v>0.76438323562474364</c:v>
                </c:pt>
                <c:pt idx="23">
                  <c:v>0.8503453377377399</c:v>
                </c:pt>
                <c:pt idx="24">
                  <c:v>0.77716878910365639</c:v>
                </c:pt>
                <c:pt idx="25">
                  <c:v>0.66590708286343891</c:v>
                </c:pt>
                <c:pt idx="26">
                  <c:v>0.70595174026734853</c:v>
                </c:pt>
                <c:pt idx="27">
                  <c:v>0.55116954899297743</c:v>
                </c:pt>
                <c:pt idx="28">
                  <c:v>0.69230493276187233</c:v>
                </c:pt>
                <c:pt idx="29">
                  <c:v>0.25056812394409728</c:v>
                </c:pt>
                <c:pt idx="30">
                  <c:v>0.72702756269789404</c:v>
                </c:pt>
                <c:pt idx="31">
                  <c:v>0.68128167371624215</c:v>
                </c:pt>
                <c:pt idx="32">
                  <c:v>0.63566967234935934</c:v>
                </c:pt>
                <c:pt idx="33">
                  <c:v>0.74233956395664935</c:v>
                </c:pt>
                <c:pt idx="34">
                  <c:v>0.70365447448971064</c:v>
                </c:pt>
                <c:pt idx="35">
                  <c:v>0.52415945118683227</c:v>
                </c:pt>
                <c:pt idx="36">
                  <c:v>0.70098153174246813</c:v>
                </c:pt>
                <c:pt idx="37">
                  <c:v>0.51478408726353231</c:v>
                </c:pt>
                <c:pt idx="38">
                  <c:v>0.85231386595492098</c:v>
                </c:pt>
                <c:pt idx="39">
                  <c:v>0.71608316536046746</c:v>
                </c:pt>
                <c:pt idx="40">
                  <c:v>0.79280240098719257</c:v>
                </c:pt>
                <c:pt idx="41">
                  <c:v>0.8603991968820125</c:v>
                </c:pt>
                <c:pt idx="42">
                  <c:v>0.68860084305431146</c:v>
                </c:pt>
                <c:pt idx="43">
                  <c:v>0.58941031848887282</c:v>
                </c:pt>
                <c:pt idx="44">
                  <c:v>0.83702213279678073</c:v>
                </c:pt>
                <c:pt idx="45">
                  <c:v>0.78785995442303713</c:v>
                </c:pt>
                <c:pt idx="46">
                  <c:v>0.50090814362927738</c:v>
                </c:pt>
                <c:pt idx="47">
                  <c:v>0.90019708259201003</c:v>
                </c:pt>
                <c:pt idx="48">
                  <c:v>0.83089453283393444</c:v>
                </c:pt>
                <c:pt idx="49">
                  <c:v>0.72801054611815585</c:v>
                </c:pt>
                <c:pt idx="50">
                  <c:v>0.66866135379671465</c:v>
                </c:pt>
                <c:pt idx="51">
                  <c:v>0.85252949591562377</c:v>
                </c:pt>
                <c:pt idx="52">
                  <c:v>0.83030820149922224</c:v>
                </c:pt>
                <c:pt idx="53">
                  <c:v>0.65566369754343934</c:v>
                </c:pt>
                <c:pt idx="54">
                  <c:v>0.73217241692812174</c:v>
                </c:pt>
                <c:pt idx="55">
                  <c:v>0.69293761861751924</c:v>
                </c:pt>
                <c:pt idx="56">
                  <c:v>0.87099917488234413</c:v>
                </c:pt>
                <c:pt idx="57">
                  <c:v>0.49505345881129004</c:v>
                </c:pt>
                <c:pt idx="58">
                  <c:v>0.79773963771628198</c:v>
                </c:pt>
                <c:pt idx="59">
                  <c:v>0.75474664005567371</c:v>
                </c:pt>
                <c:pt idx="60">
                  <c:v>0.85236806652495634</c:v>
                </c:pt>
                <c:pt idx="61">
                  <c:v>0.54081939028252479</c:v>
                </c:pt>
                <c:pt idx="62">
                  <c:v>0.69223629840944378</c:v>
                </c:pt>
                <c:pt idx="63">
                  <c:v>0.86476966442513215</c:v>
                </c:pt>
                <c:pt idx="64">
                  <c:v>0.74643259270702</c:v>
                </c:pt>
                <c:pt idx="65">
                  <c:v>0.79022188481056888</c:v>
                </c:pt>
                <c:pt idx="66">
                  <c:v>0.70741808526214944</c:v>
                </c:pt>
                <c:pt idx="67">
                  <c:v>0.62332135603532324</c:v>
                </c:pt>
                <c:pt idx="68">
                  <c:v>0.76791838483736197</c:v>
                </c:pt>
                <c:pt idx="69">
                  <c:v>0.75349984737580866</c:v>
                </c:pt>
                <c:pt idx="70">
                  <c:v>0.70751016911802767</c:v>
                </c:pt>
                <c:pt idx="71">
                  <c:v>0.89861346901551586</c:v>
                </c:pt>
                <c:pt idx="72">
                  <c:v>0.51518485568527572</c:v>
                </c:pt>
                <c:pt idx="73">
                  <c:v>0.72852385657525642</c:v>
                </c:pt>
                <c:pt idx="74">
                  <c:v>0.80223336455862504</c:v>
                </c:pt>
                <c:pt idx="75">
                  <c:v>0.803981239901987</c:v>
                </c:pt>
                <c:pt idx="76">
                  <c:v>0.8117360266383209</c:v>
                </c:pt>
                <c:pt idx="77">
                  <c:v>0.85486981677917073</c:v>
                </c:pt>
                <c:pt idx="78">
                  <c:v>0.79669143488302041</c:v>
                </c:pt>
                <c:pt idx="79">
                  <c:v>0.76684702958527584</c:v>
                </c:pt>
                <c:pt idx="80">
                  <c:v>0.59195940671389624</c:v>
                </c:pt>
                <c:pt idx="81">
                  <c:v>0.62616458462270208</c:v>
                </c:pt>
                <c:pt idx="82">
                  <c:v>0.56069079800967758</c:v>
                </c:pt>
                <c:pt idx="83">
                  <c:v>0.51473002068741491</c:v>
                </c:pt>
                <c:pt idx="84">
                  <c:v>0.84533496607909919</c:v>
                </c:pt>
                <c:pt idx="85">
                  <c:v>0.84702230782544607</c:v>
                </c:pt>
                <c:pt idx="86">
                  <c:v>0.8709037817895926</c:v>
                </c:pt>
                <c:pt idx="87">
                  <c:v>0.54570361240958798</c:v>
                </c:pt>
                <c:pt idx="88">
                  <c:v>0.78162312134613177</c:v>
                </c:pt>
                <c:pt idx="89">
                  <c:v>0.55141779914388933</c:v>
                </c:pt>
                <c:pt idx="90">
                  <c:v>0.73267809586697963</c:v>
                </c:pt>
                <c:pt idx="91">
                  <c:v>0.65247372236317502</c:v>
                </c:pt>
                <c:pt idx="92">
                  <c:v>0.85330143641298495</c:v>
                </c:pt>
                <c:pt idx="93">
                  <c:v>0.56401542074891919</c:v>
                </c:pt>
                <c:pt idx="94">
                  <c:v>0.83004221347896434</c:v>
                </c:pt>
                <c:pt idx="95">
                  <c:v>0.74036718925317502</c:v>
                </c:pt>
                <c:pt idx="96">
                  <c:v>0.74437778330125193</c:v>
                </c:pt>
                <c:pt idx="97">
                  <c:v>0.762424464362504</c:v>
                </c:pt>
                <c:pt idx="98">
                  <c:v>0.74903642068615961</c:v>
                </c:pt>
                <c:pt idx="99">
                  <c:v>0.66982218315619402</c:v>
                </c:pt>
                <c:pt idx="100">
                  <c:v>0.88006613303762016</c:v>
                </c:pt>
                <c:pt idx="101">
                  <c:v>0.59036668010725346</c:v>
                </c:pt>
                <c:pt idx="102">
                  <c:v>0.71700598229941115</c:v>
                </c:pt>
                <c:pt idx="103">
                  <c:v>0.77642204217040689</c:v>
                </c:pt>
                <c:pt idx="104">
                  <c:v>0.60719161055548021</c:v>
                </c:pt>
                <c:pt idx="105">
                  <c:v>0.71395387976494418</c:v>
                </c:pt>
                <c:pt idx="106">
                  <c:v>0.66204989520726754</c:v>
                </c:pt>
                <c:pt idx="107">
                  <c:v>0.75537864054497039</c:v>
                </c:pt>
                <c:pt idx="108">
                  <c:v>0.55351752109061769</c:v>
                </c:pt>
                <c:pt idx="109">
                  <c:v>0.5408246156655846</c:v>
                </c:pt>
                <c:pt idx="110">
                  <c:v>0.57631465170524854</c:v>
                </c:pt>
                <c:pt idx="111">
                  <c:v>0.89545407388358411</c:v>
                </c:pt>
                <c:pt idx="112">
                  <c:v>0.6194763558189732</c:v>
                </c:pt>
                <c:pt idx="113">
                  <c:v>0.60480442215913743</c:v>
                </c:pt>
                <c:pt idx="114">
                  <c:v>0.666298567071818</c:v>
                </c:pt>
                <c:pt idx="115">
                  <c:v>0.63627342087059102</c:v>
                </c:pt>
                <c:pt idx="116">
                  <c:v>0.4120739852790079</c:v>
                </c:pt>
                <c:pt idx="117">
                  <c:v>0.83627025868933325</c:v>
                </c:pt>
                <c:pt idx="118">
                  <c:v>0.84096872684757851</c:v>
                </c:pt>
                <c:pt idx="119">
                  <c:v>0.32237014296227734</c:v>
                </c:pt>
              </c:numCache>
            </c:numRef>
          </c:xVal>
          <c:yVal>
            <c:numRef>
              <c:f>'Filtered Output'!$B$34:$B$153</c:f>
              <c:numCache>
                <c:formatCode>General</c:formatCode>
                <c:ptCount val="120"/>
                <c:pt idx="0">
                  <c:v>6.831336748277252</c:v>
                </c:pt>
                <c:pt idx="1">
                  <c:v>5.4741213688361228</c:v>
                </c:pt>
                <c:pt idx="2">
                  <c:v>4.2149817996501646</c:v>
                </c:pt>
                <c:pt idx="3">
                  <c:v>4.1656997720974651</c:v>
                </c:pt>
                <c:pt idx="4">
                  <c:v>7.0412352623512264</c:v>
                </c:pt>
                <c:pt idx="5">
                  <c:v>5.637885463090953</c:v>
                </c:pt>
                <c:pt idx="6">
                  <c:v>3.2843803239666127</c:v>
                </c:pt>
                <c:pt idx="7">
                  <c:v>5.271063988370198</c:v>
                </c:pt>
                <c:pt idx="8">
                  <c:v>5.5855528715550085</c:v>
                </c:pt>
                <c:pt idx="9">
                  <c:v>5.4671383741151462</c:v>
                </c:pt>
                <c:pt idx="10">
                  <c:v>9.625549506716542</c:v>
                </c:pt>
                <c:pt idx="11">
                  <c:v>6.8646200725212756</c:v>
                </c:pt>
                <c:pt idx="12">
                  <c:v>5.7395366134855221</c:v>
                </c:pt>
                <c:pt idx="13">
                  <c:v>3.4690548421810687</c:v>
                </c:pt>
                <c:pt idx="14">
                  <c:v>6.0380041797036359</c:v>
                </c:pt>
                <c:pt idx="15">
                  <c:v>7.1934921010749848</c:v>
                </c:pt>
                <c:pt idx="16">
                  <c:v>5.5852384389740486</c:v>
                </c:pt>
                <c:pt idx="17">
                  <c:v>5.4674001827196363</c:v>
                </c:pt>
                <c:pt idx="18">
                  <c:v>8.750899694111256</c:v>
                </c:pt>
                <c:pt idx="19">
                  <c:v>4.4973445237899385</c:v>
                </c:pt>
                <c:pt idx="20">
                  <c:v>4.3664998923891947</c:v>
                </c:pt>
                <c:pt idx="21">
                  <c:v>5.2755493651705478</c:v>
                </c:pt>
                <c:pt idx="22">
                  <c:v>4.8104526533721677</c:v>
                </c:pt>
                <c:pt idx="23">
                  <c:v>7.1939137646912359</c:v>
                </c:pt>
                <c:pt idx="24">
                  <c:v>4.8660975215083733</c:v>
                </c:pt>
                <c:pt idx="25">
                  <c:v>5.0715226751320595</c:v>
                </c:pt>
                <c:pt idx="26">
                  <c:v>6.0484656613897281</c:v>
                </c:pt>
                <c:pt idx="27">
                  <c:v>3.5323004869229546</c:v>
                </c:pt>
                <c:pt idx="28">
                  <c:v>5.4134123386227557</c:v>
                </c:pt>
                <c:pt idx="29">
                  <c:v>9.0930038896035477</c:v>
                </c:pt>
                <c:pt idx="30">
                  <c:v>5.9644442429738129</c:v>
                </c:pt>
                <c:pt idx="31">
                  <c:v>4.8662329483203681</c:v>
                </c:pt>
                <c:pt idx="32">
                  <c:v>4.185906024943896</c:v>
                </c:pt>
                <c:pt idx="33">
                  <c:v>6.106805662603227</c:v>
                </c:pt>
                <c:pt idx="34">
                  <c:v>5.6516354006623315</c:v>
                </c:pt>
                <c:pt idx="35">
                  <c:v>6.1373015655432122</c:v>
                </c:pt>
                <c:pt idx="36">
                  <c:v>6.4783214239950375</c:v>
                </c:pt>
                <c:pt idx="37">
                  <c:v>3.7153173316846333</c:v>
                </c:pt>
                <c:pt idx="38">
                  <c:v>5.7739512450529471</c:v>
                </c:pt>
                <c:pt idx="39">
                  <c:v>6.3497434116467488</c:v>
                </c:pt>
                <c:pt idx="40">
                  <c:v>7.1070053627717176</c:v>
                </c:pt>
                <c:pt idx="41">
                  <c:v>5.3386859665584474</c:v>
                </c:pt>
                <c:pt idx="42">
                  <c:v>5.9379124598901178</c:v>
                </c:pt>
                <c:pt idx="43">
                  <c:v>3.7617266744691245</c:v>
                </c:pt>
                <c:pt idx="44">
                  <c:v>5.8903334157735987</c:v>
                </c:pt>
                <c:pt idx="45">
                  <c:v>5.0014162326358784</c:v>
                </c:pt>
                <c:pt idx="46">
                  <c:v>3.44241738645345</c:v>
                </c:pt>
                <c:pt idx="47">
                  <c:v>7.2468203073919613</c:v>
                </c:pt>
                <c:pt idx="48">
                  <c:v>7.1939118145853183</c:v>
                </c:pt>
                <c:pt idx="49">
                  <c:v>6.8039023371462006</c:v>
                </c:pt>
                <c:pt idx="50">
                  <c:v>4.6170978674126104</c:v>
                </c:pt>
                <c:pt idx="51">
                  <c:v>6.8170238487729762</c:v>
                </c:pt>
                <c:pt idx="52">
                  <c:v>5.3461271534007029</c:v>
                </c:pt>
                <c:pt idx="53">
                  <c:v>4.4663747940201608</c:v>
                </c:pt>
                <c:pt idx="54">
                  <c:v>5.1432437625344996</c:v>
                </c:pt>
                <c:pt idx="55">
                  <c:v>5.5262207033811288</c:v>
                </c:pt>
                <c:pt idx="56">
                  <c:v>8.2754461173909508</c:v>
                </c:pt>
                <c:pt idx="57">
                  <c:v>4.3597303148294158</c:v>
                </c:pt>
                <c:pt idx="58">
                  <c:v>5.8485041595949179</c:v>
                </c:pt>
                <c:pt idx="59">
                  <c:v>6.5058823202392944</c:v>
                </c:pt>
                <c:pt idx="60">
                  <c:v>6.3428695621889739</c:v>
                </c:pt>
                <c:pt idx="61">
                  <c:v>3.9091025550084417</c:v>
                </c:pt>
                <c:pt idx="62">
                  <c:v>6.9939915109406527</c:v>
                </c:pt>
                <c:pt idx="63">
                  <c:v>8.3866298533258732</c:v>
                </c:pt>
                <c:pt idx="64">
                  <c:v>5.6258938026952103</c:v>
                </c:pt>
                <c:pt idx="65">
                  <c:v>5.6611288334120307</c:v>
                </c:pt>
                <c:pt idx="66">
                  <c:v>6.6943037555037712</c:v>
                </c:pt>
                <c:pt idx="67">
                  <c:v>4.5215558440028607</c:v>
                </c:pt>
                <c:pt idx="68">
                  <c:v>6.0106268426918712</c:v>
                </c:pt>
                <c:pt idx="69">
                  <c:v>6.8092259683502956</c:v>
                </c:pt>
                <c:pt idx="70">
                  <c:v>5.5344313828947689</c:v>
                </c:pt>
                <c:pt idx="71">
                  <c:v>6.4725019997150257</c:v>
                </c:pt>
                <c:pt idx="72">
                  <c:v>3.7143299473003162</c:v>
                </c:pt>
                <c:pt idx="73">
                  <c:v>5.5449793888961594</c:v>
                </c:pt>
                <c:pt idx="74">
                  <c:v>7.1833375485487467</c:v>
                </c:pt>
                <c:pt idx="75">
                  <c:v>5.4640634922369236</c:v>
                </c:pt>
                <c:pt idx="76">
                  <c:v>5.5881245338726027</c:v>
                </c:pt>
                <c:pt idx="77">
                  <c:v>5.9429221546398505</c:v>
                </c:pt>
                <c:pt idx="78">
                  <c:v>5.1390592665265062</c:v>
                </c:pt>
                <c:pt idx="79">
                  <c:v>7.323840526819299</c:v>
                </c:pt>
                <c:pt idx="80">
                  <c:v>4.7156611514033502</c:v>
                </c:pt>
                <c:pt idx="81">
                  <c:v>5.1481515982069403</c:v>
                </c:pt>
                <c:pt idx="82">
                  <c:v>4.0212270351283843</c:v>
                </c:pt>
                <c:pt idx="83">
                  <c:v>3.3059046287164486</c:v>
                </c:pt>
                <c:pt idx="84">
                  <c:v>6.7591938151910211</c:v>
                </c:pt>
                <c:pt idx="85">
                  <c:v>5.7518508495141445</c:v>
                </c:pt>
                <c:pt idx="86">
                  <c:v>6.8903743002108238</c:v>
                </c:pt>
                <c:pt idx="87">
                  <c:v>5.8636992203175939</c:v>
                </c:pt>
                <c:pt idx="88">
                  <c:v>5.851320292596613</c:v>
                </c:pt>
                <c:pt idx="89">
                  <c:v>3.9129420544543088</c:v>
                </c:pt>
                <c:pt idx="90">
                  <c:v>6.3802078459490215</c:v>
                </c:pt>
                <c:pt idx="91">
                  <c:v>4.6243645443739947</c:v>
                </c:pt>
                <c:pt idx="92">
                  <c:v>6.3096336842761191</c:v>
                </c:pt>
                <c:pt idx="93">
                  <c:v>3.9373989095566428</c:v>
                </c:pt>
                <c:pt idx="94">
                  <c:v>8.240602561161813</c:v>
                </c:pt>
                <c:pt idx="95">
                  <c:v>6.2003340425884943</c:v>
                </c:pt>
                <c:pt idx="96">
                  <c:v>7.1086912389692909</c:v>
                </c:pt>
                <c:pt idx="97">
                  <c:v>6.6988259016627589</c:v>
                </c:pt>
                <c:pt idx="98">
                  <c:v>5.8879693322954374</c:v>
                </c:pt>
                <c:pt idx="99">
                  <c:v>6.8124495321124927</c:v>
                </c:pt>
                <c:pt idx="100">
                  <c:v>7.519476187681998</c:v>
                </c:pt>
                <c:pt idx="101">
                  <c:v>4.9043528309781275</c:v>
                </c:pt>
                <c:pt idx="102">
                  <c:v>5.1627829209417726</c:v>
                </c:pt>
                <c:pt idx="103">
                  <c:v>6.9172431669514127</c:v>
                </c:pt>
                <c:pt idx="104">
                  <c:v>5.2597771780976617</c:v>
                </c:pt>
                <c:pt idx="105">
                  <c:v>5.5711935109212165</c:v>
                </c:pt>
                <c:pt idx="106">
                  <c:v>4.6559524303917943</c:v>
                </c:pt>
                <c:pt idx="107">
                  <c:v>5.7103790805007035</c:v>
                </c:pt>
                <c:pt idx="108">
                  <c:v>3.7314724686154692</c:v>
                </c:pt>
                <c:pt idx="109">
                  <c:v>3.7658846295658788</c:v>
                </c:pt>
                <c:pt idx="110">
                  <c:v>3.6632296594025124</c:v>
                </c:pt>
                <c:pt idx="111">
                  <c:v>6.0426688408794984</c:v>
                </c:pt>
                <c:pt idx="112">
                  <c:v>5.5206811839069552</c:v>
                </c:pt>
                <c:pt idx="113">
                  <c:v>5.2675513128108049</c:v>
                </c:pt>
                <c:pt idx="114">
                  <c:v>5.050272213684627</c:v>
                </c:pt>
                <c:pt idx="115">
                  <c:v>5.7917389253228162</c:v>
                </c:pt>
                <c:pt idx="116">
                  <c:v>8.2299896341995584</c:v>
                </c:pt>
                <c:pt idx="117">
                  <c:v>7.3582227578831203</c:v>
                </c:pt>
                <c:pt idx="118">
                  <c:v>6.7961226510940129</c:v>
                </c:pt>
                <c:pt idx="119">
                  <c:v>2.5699463426707325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2C6-4ADD-9568-F03156EE0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142792"/>
        <c:axId val="809143184"/>
      </c:scatterChart>
      <c:valAx>
        <c:axId val="809142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GP Margin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809143184"/>
        <c:crosses val="autoZero"/>
        <c:crossBetween val="midCat"/>
      </c:valAx>
      <c:valAx>
        <c:axId val="8091431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EV/Rev</a:t>
                </a:r>
              </a:p>
            </c:rich>
          </c:tx>
          <c:overlay val="0"/>
        </c:title>
        <c:numFmt formatCode="#,##0.0_);\(#,##0.0\);0.0_);@_)" sourceLinked="1"/>
        <c:majorTickMark val="out"/>
        <c:minorTickMark val="none"/>
        <c:tickLblPos val="nextTo"/>
        <c:crossAx val="809142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R&amp;D Margin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EV/Rev</c:v>
          </c:tx>
          <c:spPr>
            <a:ln w="19050">
              <a:noFill/>
            </a:ln>
          </c:spPr>
          <c:xVal>
            <c:numRef>
              <c:f>'Filtered Sample'!$F$2:$F$121</c:f>
              <c:numCache>
                <c:formatCode>0%</c:formatCode>
                <c:ptCount val="120"/>
                <c:pt idx="0">
                  <c:v>0.82395931437182146</c:v>
                </c:pt>
                <c:pt idx="1">
                  <c:v>0.72114002432641622</c:v>
                </c:pt>
                <c:pt idx="2">
                  <c:v>0.62779630684129173</c:v>
                </c:pt>
                <c:pt idx="3">
                  <c:v>0.52472364400677263</c:v>
                </c:pt>
                <c:pt idx="4">
                  <c:v>0.43884892086330929</c:v>
                </c:pt>
                <c:pt idx="5">
                  <c:v>0.41545137261604792</c:v>
                </c:pt>
                <c:pt idx="6">
                  <c:v>0.39539839509872476</c:v>
                </c:pt>
                <c:pt idx="7">
                  <c:v>0.38853342248443634</c:v>
                </c:pt>
                <c:pt idx="8">
                  <c:v>0.37499876453320768</c:v>
                </c:pt>
                <c:pt idx="9">
                  <c:v>0.3436031803397181</c:v>
                </c:pt>
                <c:pt idx="10">
                  <c:v>0.3378785291183159</c:v>
                </c:pt>
                <c:pt idx="11">
                  <c:v>0.33717141964564645</c:v>
                </c:pt>
                <c:pt idx="12">
                  <c:v>0.33658182316329377</c:v>
                </c:pt>
                <c:pt idx="13">
                  <c:v>0.32742904682981983</c:v>
                </c:pt>
                <c:pt idx="14">
                  <c:v>0.32673046530343136</c:v>
                </c:pt>
                <c:pt idx="15">
                  <c:v>0.3212500154307652</c:v>
                </c:pt>
                <c:pt idx="16">
                  <c:v>0.31593173627305493</c:v>
                </c:pt>
                <c:pt idx="17">
                  <c:v>0.30790686013350466</c:v>
                </c:pt>
                <c:pt idx="18">
                  <c:v>0.30721739547321375</c:v>
                </c:pt>
                <c:pt idx="19">
                  <c:v>0.30652737632332966</c:v>
                </c:pt>
                <c:pt idx="20">
                  <c:v>0.30509702260683919</c:v>
                </c:pt>
                <c:pt idx="21">
                  <c:v>0.30216745711626253</c:v>
                </c:pt>
                <c:pt idx="22">
                  <c:v>0.30067987375191063</c:v>
                </c:pt>
                <c:pt idx="23">
                  <c:v>0.30038213606097808</c:v>
                </c:pt>
                <c:pt idx="24">
                  <c:v>0.27227577263885894</c:v>
                </c:pt>
                <c:pt idx="25">
                  <c:v>0.27156094947713327</c:v>
                </c:pt>
                <c:pt idx="26">
                  <c:v>0.26127344633379679</c:v>
                </c:pt>
                <c:pt idx="27">
                  <c:v>0.25966656934924898</c:v>
                </c:pt>
                <c:pt idx="28">
                  <c:v>0.25747993659245183</c:v>
                </c:pt>
                <c:pt idx="29">
                  <c:v>0.25166397971261883</c:v>
                </c:pt>
                <c:pt idx="30">
                  <c:v>0.24660001297980194</c:v>
                </c:pt>
                <c:pt idx="31">
                  <c:v>0.24610879603558961</c:v>
                </c:pt>
                <c:pt idx="32">
                  <c:v>0.23995628557913448</c:v>
                </c:pt>
                <c:pt idx="33">
                  <c:v>0.23106423777564716</c:v>
                </c:pt>
                <c:pt idx="34">
                  <c:v>0.2302719612310585</c:v>
                </c:pt>
                <c:pt idx="35">
                  <c:v>0.23009539916391744</c:v>
                </c:pt>
                <c:pt idx="36">
                  <c:v>0.2270021756893785</c:v>
                </c:pt>
                <c:pt idx="37">
                  <c:v>0.21910244545183605</c:v>
                </c:pt>
                <c:pt idx="38">
                  <c:v>0.21421277037176539</c:v>
                </c:pt>
                <c:pt idx="39">
                  <c:v>0.21138970044589492</c:v>
                </c:pt>
                <c:pt idx="40">
                  <c:v>0.20790599854451852</c:v>
                </c:pt>
                <c:pt idx="41">
                  <c:v>0.20727530412188497</c:v>
                </c:pt>
                <c:pt idx="42">
                  <c:v>0.20327255300212238</c:v>
                </c:pt>
                <c:pt idx="43">
                  <c:v>0.19978005157854797</c:v>
                </c:pt>
                <c:pt idx="44">
                  <c:v>0.19885982562038901</c:v>
                </c:pt>
                <c:pt idx="45">
                  <c:v>0.19825978868862648</c:v>
                </c:pt>
                <c:pt idx="46">
                  <c:v>0.19649825507614213</c:v>
                </c:pt>
                <c:pt idx="47">
                  <c:v>0.19531353080881383</c:v>
                </c:pt>
                <c:pt idx="48">
                  <c:v>0.1939866538267816</c:v>
                </c:pt>
                <c:pt idx="49">
                  <c:v>0.19358319376615576</c:v>
                </c:pt>
                <c:pt idx="50">
                  <c:v>0.19349785504748682</c:v>
                </c:pt>
                <c:pt idx="51">
                  <c:v>0.1924424115053365</c:v>
                </c:pt>
                <c:pt idx="52">
                  <c:v>0.19155484671979617</c:v>
                </c:pt>
                <c:pt idx="53">
                  <c:v>0.19133435762983428</c:v>
                </c:pt>
                <c:pt idx="54">
                  <c:v>0.19103524123905566</c:v>
                </c:pt>
                <c:pt idx="55">
                  <c:v>0.19084328730503861</c:v>
                </c:pt>
                <c:pt idx="56">
                  <c:v>0.1881788330386461</c:v>
                </c:pt>
                <c:pt idx="57">
                  <c:v>0.18744336689885269</c:v>
                </c:pt>
                <c:pt idx="58">
                  <c:v>0.1844443733885244</c:v>
                </c:pt>
                <c:pt idx="59">
                  <c:v>0.18413993625850628</c:v>
                </c:pt>
                <c:pt idx="60">
                  <c:v>0.18321370518221103</c:v>
                </c:pt>
                <c:pt idx="61">
                  <c:v>0.18228546517503072</c:v>
                </c:pt>
                <c:pt idx="62">
                  <c:v>0.18107434786856416</c:v>
                </c:pt>
                <c:pt idx="63">
                  <c:v>0.1807218526730722</c:v>
                </c:pt>
                <c:pt idx="64">
                  <c:v>0.17124354104643602</c:v>
                </c:pt>
                <c:pt idx="65">
                  <c:v>0.17043497237095404</c:v>
                </c:pt>
                <c:pt idx="66">
                  <c:v>0.16912330746815651</c:v>
                </c:pt>
                <c:pt idx="67">
                  <c:v>0.16845673609331249</c:v>
                </c:pt>
                <c:pt idx="68">
                  <c:v>0.16761928623999747</c:v>
                </c:pt>
                <c:pt idx="69">
                  <c:v>0.16668800760149377</c:v>
                </c:pt>
                <c:pt idx="70">
                  <c:v>0.16480466358728924</c:v>
                </c:pt>
                <c:pt idx="71">
                  <c:v>0.16431171098307554</c:v>
                </c:pt>
                <c:pt idx="72">
                  <c:v>0.162466382526818</c:v>
                </c:pt>
                <c:pt idx="73">
                  <c:v>0.16093007141069812</c:v>
                </c:pt>
                <c:pt idx="74">
                  <c:v>0.15943171597579511</c:v>
                </c:pt>
                <c:pt idx="75">
                  <c:v>0.15537968066344987</c:v>
                </c:pt>
                <c:pt idx="76">
                  <c:v>0.15506004701658752</c:v>
                </c:pt>
                <c:pt idx="77">
                  <c:v>0.15477338476374156</c:v>
                </c:pt>
                <c:pt idx="78">
                  <c:v>0.15290189778090169</c:v>
                </c:pt>
                <c:pt idx="79">
                  <c:v>0.15205258237243957</c:v>
                </c:pt>
                <c:pt idx="80">
                  <c:v>0.14965075153775187</c:v>
                </c:pt>
                <c:pt idx="81">
                  <c:v>0.14542604694913666</c:v>
                </c:pt>
                <c:pt idx="82">
                  <c:v>0.14542142016158499</c:v>
                </c:pt>
                <c:pt idx="83">
                  <c:v>0.14512607677574746</c:v>
                </c:pt>
                <c:pt idx="84">
                  <c:v>0.14384658716854101</c:v>
                </c:pt>
                <c:pt idx="85">
                  <c:v>0.14296854665154235</c:v>
                </c:pt>
                <c:pt idx="86">
                  <c:v>0.14279772999884041</c:v>
                </c:pt>
                <c:pt idx="87">
                  <c:v>0.14243638480769888</c:v>
                </c:pt>
                <c:pt idx="88">
                  <c:v>0.13867913676703503</c:v>
                </c:pt>
                <c:pt idx="89">
                  <c:v>0.13741086975066108</c:v>
                </c:pt>
                <c:pt idx="90">
                  <c:v>0.13600550075670845</c:v>
                </c:pt>
                <c:pt idx="91">
                  <c:v>0.13343602754621239</c:v>
                </c:pt>
                <c:pt idx="92">
                  <c:v>0.13270048675447227</c:v>
                </c:pt>
                <c:pt idx="93">
                  <c:v>0.13253024049454606</c:v>
                </c:pt>
                <c:pt idx="94">
                  <c:v>0.13248941982869786</c:v>
                </c:pt>
                <c:pt idx="95">
                  <c:v>0.13141762575305613</c:v>
                </c:pt>
                <c:pt idx="96">
                  <c:v>0.12937751519821902</c:v>
                </c:pt>
                <c:pt idx="97">
                  <c:v>0.12923707680824939</c:v>
                </c:pt>
                <c:pt idx="98">
                  <c:v>0.12911717555029012</c:v>
                </c:pt>
                <c:pt idx="99">
                  <c:v>0.12555976292393811</c:v>
                </c:pt>
                <c:pt idx="100">
                  <c:v>0.12216788959801611</c:v>
                </c:pt>
                <c:pt idx="101">
                  <c:v>0.12026127560319098</c:v>
                </c:pt>
                <c:pt idx="102">
                  <c:v>0.11932450489235281</c:v>
                </c:pt>
                <c:pt idx="103">
                  <c:v>0.11769751826544797</c:v>
                </c:pt>
                <c:pt idx="104">
                  <c:v>0.11552762462691676</c:v>
                </c:pt>
                <c:pt idx="105">
                  <c:v>0.11523891176265338</c:v>
                </c:pt>
                <c:pt idx="106">
                  <c:v>0.11489638009676614</c:v>
                </c:pt>
                <c:pt idx="107">
                  <c:v>0.11202181394405508</c:v>
                </c:pt>
                <c:pt idx="108">
                  <c:v>0.10793054396821301</c:v>
                </c:pt>
                <c:pt idx="109">
                  <c:v>0.1049056670435274</c:v>
                </c:pt>
                <c:pt idx="110">
                  <c:v>0.10324991008755058</c:v>
                </c:pt>
                <c:pt idx="111">
                  <c:v>0.1014198226921753</c:v>
                </c:pt>
                <c:pt idx="112">
                  <c:v>0.10024186721489901</c:v>
                </c:pt>
                <c:pt idx="113">
                  <c:v>9.9714722390716423E-2</c:v>
                </c:pt>
                <c:pt idx="114">
                  <c:v>9.8847496940729029E-2</c:v>
                </c:pt>
                <c:pt idx="115">
                  <c:v>7.8668578346737558E-2</c:v>
                </c:pt>
                <c:pt idx="116">
                  <c:v>7.0519627749966091E-2</c:v>
                </c:pt>
                <c:pt idx="117">
                  <c:v>6.1100982274089007E-2</c:v>
                </c:pt>
                <c:pt idx="118">
                  <c:v>3.9709695573962374E-2</c:v>
                </c:pt>
                <c:pt idx="119">
                  <c:v>2.5550521352830539E-2</c:v>
                </c:pt>
              </c:numCache>
            </c:numRef>
          </c:xVal>
          <c:yVal>
            <c:numRef>
              <c:f>'Filtered Sample'!$C$2:$C$121</c:f>
              <c:numCache>
                <c:formatCode>#,##0.0_);\(#,##0.0\);0.0_);@_)</c:formatCode>
                <c:ptCount val="120"/>
                <c:pt idx="0">
                  <c:v>0.57648122410978131</c:v>
                </c:pt>
                <c:pt idx="1">
                  <c:v>7.8129506260335466</c:v>
                </c:pt>
                <c:pt idx="2">
                  <c:v>10.11253519451164</c:v>
                </c:pt>
                <c:pt idx="3">
                  <c:v>3.3714653832491841</c:v>
                </c:pt>
                <c:pt idx="4">
                  <c:v>12.266786806509231</c:v>
                </c:pt>
                <c:pt idx="5">
                  <c:v>1.6798325991189427</c:v>
                </c:pt>
                <c:pt idx="6">
                  <c:v>0.56028755020080312</c:v>
                </c:pt>
                <c:pt idx="7">
                  <c:v>5.8022321144674081</c:v>
                </c:pt>
                <c:pt idx="8">
                  <c:v>8.1596586177651069</c:v>
                </c:pt>
                <c:pt idx="9">
                  <c:v>6.4523526539411495</c:v>
                </c:pt>
                <c:pt idx="10">
                  <c:v>12.764006066393305</c:v>
                </c:pt>
                <c:pt idx="11">
                  <c:v>10.146867839840409</c:v>
                </c:pt>
                <c:pt idx="12">
                  <c:v>7.0694147705516315</c:v>
                </c:pt>
                <c:pt idx="13">
                  <c:v>1.0114658536585366</c:v>
                </c:pt>
                <c:pt idx="14">
                  <c:v>3.6584260968073057</c:v>
                </c:pt>
                <c:pt idx="15">
                  <c:v>6.3740109429466525</c:v>
                </c:pt>
                <c:pt idx="16">
                  <c:v>6.1000758770737011</c:v>
                </c:pt>
                <c:pt idx="17">
                  <c:v>3.9222766122766122</c:v>
                </c:pt>
                <c:pt idx="18">
                  <c:v>10.068368363264293</c:v>
                </c:pt>
                <c:pt idx="19">
                  <c:v>3.7473726905173033</c:v>
                </c:pt>
                <c:pt idx="20">
                  <c:v>5.8731444420696759</c:v>
                </c:pt>
                <c:pt idx="21">
                  <c:v>5.3155876836511409</c:v>
                </c:pt>
                <c:pt idx="22">
                  <c:v>4.0920802692105829</c:v>
                </c:pt>
                <c:pt idx="23">
                  <c:v>2.0835744808456407</c:v>
                </c:pt>
                <c:pt idx="24">
                  <c:v>1.2459494213459066</c:v>
                </c:pt>
                <c:pt idx="25">
                  <c:v>4.5647688752546358</c:v>
                </c:pt>
                <c:pt idx="26">
                  <c:v>4.3721659914652227</c:v>
                </c:pt>
                <c:pt idx="27">
                  <c:v>8.5238847539015605</c:v>
                </c:pt>
                <c:pt idx="28">
                  <c:v>5.8082102070701689</c:v>
                </c:pt>
                <c:pt idx="29">
                  <c:v>7.2610403592663362</c:v>
                </c:pt>
                <c:pt idx="30">
                  <c:v>3.8654935148642928</c:v>
                </c:pt>
                <c:pt idx="31">
                  <c:v>1.1807002329403935</c:v>
                </c:pt>
                <c:pt idx="32">
                  <c:v>2.9983473325766177</c:v>
                </c:pt>
                <c:pt idx="33">
                  <c:v>8.6234948708425652</c:v>
                </c:pt>
                <c:pt idx="34">
                  <c:v>5.5386857868663117</c:v>
                </c:pt>
                <c:pt idx="35">
                  <c:v>8.6079148104728418</c:v>
                </c:pt>
                <c:pt idx="36">
                  <c:v>8.4077397304365906</c:v>
                </c:pt>
                <c:pt idx="37">
                  <c:v>2.265671270718232</c:v>
                </c:pt>
                <c:pt idx="38">
                  <c:v>2.1019087009803923</c:v>
                </c:pt>
                <c:pt idx="39">
                  <c:v>6.5353081442171996</c:v>
                </c:pt>
                <c:pt idx="40">
                  <c:v>6.8447533077898379</c:v>
                </c:pt>
                <c:pt idx="41">
                  <c:v>5.4254390698714063</c:v>
                </c:pt>
                <c:pt idx="42">
                  <c:v>12.250370401026363</c:v>
                </c:pt>
                <c:pt idx="43">
                  <c:v>3.1340332336324357</c:v>
                </c:pt>
                <c:pt idx="44">
                  <c:v>7.9097525042591084</c:v>
                </c:pt>
                <c:pt idx="45">
                  <c:v>3.066665611468923</c:v>
                </c:pt>
                <c:pt idx="46">
                  <c:v>4.0996019037452189</c:v>
                </c:pt>
                <c:pt idx="47">
                  <c:v>5.7389390736787496</c:v>
                </c:pt>
                <c:pt idx="48">
                  <c:v>9.0551950609724976</c:v>
                </c:pt>
                <c:pt idx="49">
                  <c:v>8.9364435486722531</c:v>
                </c:pt>
                <c:pt idx="50">
                  <c:v>5.0794251385061777</c:v>
                </c:pt>
                <c:pt idx="51">
                  <c:v>3.5067365269461073</c:v>
                </c:pt>
                <c:pt idx="52">
                  <c:v>3.5420179179810725</c:v>
                </c:pt>
                <c:pt idx="53">
                  <c:v>4.1901921750377236</c:v>
                </c:pt>
                <c:pt idx="54">
                  <c:v>8.0015335934837513</c:v>
                </c:pt>
                <c:pt idx="55">
                  <c:v>4.0798187607151597</c:v>
                </c:pt>
                <c:pt idx="56">
                  <c:v>3.9416613922006789</c:v>
                </c:pt>
                <c:pt idx="57">
                  <c:v>7.7488244679249831</c:v>
                </c:pt>
                <c:pt idx="58">
                  <c:v>4.1780519729885413</c:v>
                </c:pt>
                <c:pt idx="59">
                  <c:v>3.1361184086605665</c:v>
                </c:pt>
                <c:pt idx="60">
                  <c:v>5.3269977455988604</c:v>
                </c:pt>
                <c:pt idx="61">
                  <c:v>2.9120112013441615</c:v>
                </c:pt>
                <c:pt idx="62">
                  <c:v>8.9237196782026444</c:v>
                </c:pt>
                <c:pt idx="63">
                  <c:v>10.536085746896847</c:v>
                </c:pt>
                <c:pt idx="64">
                  <c:v>4.6914530971126585</c:v>
                </c:pt>
                <c:pt idx="65">
                  <c:v>1.9981420626895856</c:v>
                </c:pt>
                <c:pt idx="66">
                  <c:v>5.2102507725858258</c:v>
                </c:pt>
                <c:pt idx="67">
                  <c:v>6.4028104385120033</c:v>
                </c:pt>
                <c:pt idx="68">
                  <c:v>8.3344293965673266</c:v>
                </c:pt>
                <c:pt idx="69">
                  <c:v>10.166276468778422</c:v>
                </c:pt>
                <c:pt idx="70">
                  <c:v>9.2100984931490704</c:v>
                </c:pt>
                <c:pt idx="71">
                  <c:v>12.568502068130735</c:v>
                </c:pt>
                <c:pt idx="72">
                  <c:v>2.0687725027599684</c:v>
                </c:pt>
                <c:pt idx="73">
                  <c:v>8.2728247227892098</c:v>
                </c:pt>
                <c:pt idx="74">
                  <c:v>8.490319800310715</c:v>
                </c:pt>
                <c:pt idx="75">
                  <c:v>1.3997070038910506</c:v>
                </c:pt>
                <c:pt idx="76">
                  <c:v>3.0714453294069579</c:v>
                </c:pt>
                <c:pt idx="77">
                  <c:v>4.1445323066153303</c:v>
                </c:pt>
                <c:pt idx="78">
                  <c:v>4.429887145357001</c:v>
                </c:pt>
                <c:pt idx="79">
                  <c:v>7.357837407128244</c:v>
                </c:pt>
                <c:pt idx="80">
                  <c:v>4.7479818606825619</c:v>
                </c:pt>
                <c:pt idx="81">
                  <c:v>7.0123354832491298</c:v>
                </c:pt>
                <c:pt idx="82">
                  <c:v>6.5048979458190175</c:v>
                </c:pt>
                <c:pt idx="83">
                  <c:v>2.0150768397535712</c:v>
                </c:pt>
                <c:pt idx="84">
                  <c:v>6.0755460940922488</c:v>
                </c:pt>
                <c:pt idx="85">
                  <c:v>4.8252930836079786</c:v>
                </c:pt>
                <c:pt idx="86">
                  <c:v>11.381009183694736</c:v>
                </c:pt>
                <c:pt idx="87">
                  <c:v>9.7891752187397572</c:v>
                </c:pt>
                <c:pt idx="88">
                  <c:v>3.3262405995961988</c:v>
                </c:pt>
                <c:pt idx="89">
                  <c:v>3.3401406603773585</c:v>
                </c:pt>
                <c:pt idx="90">
                  <c:v>5.4568475555797393</c:v>
                </c:pt>
                <c:pt idx="91">
                  <c:v>6.1767701915601814</c:v>
                </c:pt>
                <c:pt idx="92">
                  <c:v>2.955181786533017</c:v>
                </c:pt>
                <c:pt idx="93">
                  <c:v>3.1986545053245892</c:v>
                </c:pt>
                <c:pt idx="94">
                  <c:v>6.6749513014078792</c:v>
                </c:pt>
                <c:pt idx="95">
                  <c:v>7.2125454410523382</c:v>
                </c:pt>
                <c:pt idx="96">
                  <c:v>7.2118645836259514</c:v>
                </c:pt>
                <c:pt idx="97">
                  <c:v>7.8507875107814389</c:v>
                </c:pt>
                <c:pt idx="98">
                  <c:v>6.4736606852984853</c:v>
                </c:pt>
                <c:pt idx="99">
                  <c:v>4.8337773589754578</c:v>
                </c:pt>
                <c:pt idx="100">
                  <c:v>4.3292629004258751</c:v>
                </c:pt>
                <c:pt idx="101">
                  <c:v>7.7644892299367179</c:v>
                </c:pt>
                <c:pt idx="102">
                  <c:v>5.0900997981504945</c:v>
                </c:pt>
                <c:pt idx="103">
                  <c:v>8.7731952120848646</c:v>
                </c:pt>
                <c:pt idx="104">
                  <c:v>5.5983514970295474</c:v>
                </c:pt>
                <c:pt idx="105">
                  <c:v>2.6890396514513135</c:v>
                </c:pt>
                <c:pt idx="106">
                  <c:v>3.8518125773037823</c:v>
                </c:pt>
                <c:pt idx="107">
                  <c:v>4.0362890436273213</c:v>
                </c:pt>
                <c:pt idx="108">
                  <c:v>4.1098323278361049</c:v>
                </c:pt>
                <c:pt idx="109">
                  <c:v>2.2066003330557868</c:v>
                </c:pt>
                <c:pt idx="110">
                  <c:v>5.0464857499109375</c:v>
                </c:pt>
                <c:pt idx="111">
                  <c:v>6.62695871340149</c:v>
                </c:pt>
                <c:pt idx="112">
                  <c:v>9.7853713869322334</c:v>
                </c:pt>
                <c:pt idx="113">
                  <c:v>7.0749901682228113</c:v>
                </c:pt>
                <c:pt idx="114">
                  <c:v>5.2308952422745243</c:v>
                </c:pt>
                <c:pt idx="115">
                  <c:v>4.16037951302041</c:v>
                </c:pt>
                <c:pt idx="116">
                  <c:v>4.1965213012924441</c:v>
                </c:pt>
                <c:pt idx="117">
                  <c:v>11.913384585692228</c:v>
                </c:pt>
                <c:pt idx="118">
                  <c:v>3.4114083075348165</c:v>
                </c:pt>
                <c:pt idx="119">
                  <c:v>1.245534219269103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9D9-4CA6-94D3-FE62A3DB0C8B}"/>
            </c:ext>
          </c:extLst>
        </c:ser>
        <c:ser>
          <c:idx val="1"/>
          <c:order val="1"/>
          <c:tx>
            <c:v>Predicted EV/Rev</c:v>
          </c:tx>
          <c:spPr>
            <a:ln w="19050">
              <a:noFill/>
            </a:ln>
          </c:spPr>
          <c:xVal>
            <c:numRef>
              <c:f>'Filtered Sample'!$F$2:$F$121</c:f>
              <c:numCache>
                <c:formatCode>0%</c:formatCode>
                <c:ptCount val="120"/>
                <c:pt idx="0">
                  <c:v>0.82395931437182146</c:v>
                </c:pt>
                <c:pt idx="1">
                  <c:v>0.72114002432641622</c:v>
                </c:pt>
                <c:pt idx="2">
                  <c:v>0.62779630684129173</c:v>
                </c:pt>
                <c:pt idx="3">
                  <c:v>0.52472364400677263</c:v>
                </c:pt>
                <c:pt idx="4">
                  <c:v>0.43884892086330929</c:v>
                </c:pt>
                <c:pt idx="5">
                  <c:v>0.41545137261604792</c:v>
                </c:pt>
                <c:pt idx="6">
                  <c:v>0.39539839509872476</c:v>
                </c:pt>
                <c:pt idx="7">
                  <c:v>0.38853342248443634</c:v>
                </c:pt>
                <c:pt idx="8">
                  <c:v>0.37499876453320768</c:v>
                </c:pt>
                <c:pt idx="9">
                  <c:v>0.3436031803397181</c:v>
                </c:pt>
                <c:pt idx="10">
                  <c:v>0.3378785291183159</c:v>
                </c:pt>
                <c:pt idx="11">
                  <c:v>0.33717141964564645</c:v>
                </c:pt>
                <c:pt idx="12">
                  <c:v>0.33658182316329377</c:v>
                </c:pt>
                <c:pt idx="13">
                  <c:v>0.32742904682981983</c:v>
                </c:pt>
                <c:pt idx="14">
                  <c:v>0.32673046530343136</c:v>
                </c:pt>
                <c:pt idx="15">
                  <c:v>0.3212500154307652</c:v>
                </c:pt>
                <c:pt idx="16">
                  <c:v>0.31593173627305493</c:v>
                </c:pt>
                <c:pt idx="17">
                  <c:v>0.30790686013350466</c:v>
                </c:pt>
                <c:pt idx="18">
                  <c:v>0.30721739547321375</c:v>
                </c:pt>
                <c:pt idx="19">
                  <c:v>0.30652737632332966</c:v>
                </c:pt>
                <c:pt idx="20">
                  <c:v>0.30509702260683919</c:v>
                </c:pt>
                <c:pt idx="21">
                  <c:v>0.30216745711626253</c:v>
                </c:pt>
                <c:pt idx="22">
                  <c:v>0.30067987375191063</c:v>
                </c:pt>
                <c:pt idx="23">
                  <c:v>0.30038213606097808</c:v>
                </c:pt>
                <c:pt idx="24">
                  <c:v>0.27227577263885894</c:v>
                </c:pt>
                <c:pt idx="25">
                  <c:v>0.27156094947713327</c:v>
                </c:pt>
                <c:pt idx="26">
                  <c:v>0.26127344633379679</c:v>
                </c:pt>
                <c:pt idx="27">
                  <c:v>0.25966656934924898</c:v>
                </c:pt>
                <c:pt idx="28">
                  <c:v>0.25747993659245183</c:v>
                </c:pt>
                <c:pt idx="29">
                  <c:v>0.25166397971261883</c:v>
                </c:pt>
                <c:pt idx="30">
                  <c:v>0.24660001297980194</c:v>
                </c:pt>
                <c:pt idx="31">
                  <c:v>0.24610879603558961</c:v>
                </c:pt>
                <c:pt idx="32">
                  <c:v>0.23995628557913448</c:v>
                </c:pt>
                <c:pt idx="33">
                  <c:v>0.23106423777564716</c:v>
                </c:pt>
                <c:pt idx="34">
                  <c:v>0.2302719612310585</c:v>
                </c:pt>
                <c:pt idx="35">
                  <c:v>0.23009539916391744</c:v>
                </c:pt>
                <c:pt idx="36">
                  <c:v>0.2270021756893785</c:v>
                </c:pt>
                <c:pt idx="37">
                  <c:v>0.21910244545183605</c:v>
                </c:pt>
                <c:pt idx="38">
                  <c:v>0.21421277037176539</c:v>
                </c:pt>
                <c:pt idx="39">
                  <c:v>0.21138970044589492</c:v>
                </c:pt>
                <c:pt idx="40">
                  <c:v>0.20790599854451852</c:v>
                </c:pt>
                <c:pt idx="41">
                  <c:v>0.20727530412188497</c:v>
                </c:pt>
                <c:pt idx="42">
                  <c:v>0.20327255300212238</c:v>
                </c:pt>
                <c:pt idx="43">
                  <c:v>0.19978005157854797</c:v>
                </c:pt>
                <c:pt idx="44">
                  <c:v>0.19885982562038901</c:v>
                </c:pt>
                <c:pt idx="45">
                  <c:v>0.19825978868862648</c:v>
                </c:pt>
                <c:pt idx="46">
                  <c:v>0.19649825507614213</c:v>
                </c:pt>
                <c:pt idx="47">
                  <c:v>0.19531353080881383</c:v>
                </c:pt>
                <c:pt idx="48">
                  <c:v>0.1939866538267816</c:v>
                </c:pt>
                <c:pt idx="49">
                  <c:v>0.19358319376615576</c:v>
                </c:pt>
                <c:pt idx="50">
                  <c:v>0.19349785504748682</c:v>
                </c:pt>
                <c:pt idx="51">
                  <c:v>0.1924424115053365</c:v>
                </c:pt>
                <c:pt idx="52">
                  <c:v>0.19155484671979617</c:v>
                </c:pt>
                <c:pt idx="53">
                  <c:v>0.19133435762983428</c:v>
                </c:pt>
                <c:pt idx="54">
                  <c:v>0.19103524123905566</c:v>
                </c:pt>
                <c:pt idx="55">
                  <c:v>0.19084328730503861</c:v>
                </c:pt>
                <c:pt idx="56">
                  <c:v>0.1881788330386461</c:v>
                </c:pt>
                <c:pt idx="57">
                  <c:v>0.18744336689885269</c:v>
                </c:pt>
                <c:pt idx="58">
                  <c:v>0.1844443733885244</c:v>
                </c:pt>
                <c:pt idx="59">
                  <c:v>0.18413993625850628</c:v>
                </c:pt>
                <c:pt idx="60">
                  <c:v>0.18321370518221103</c:v>
                </c:pt>
                <c:pt idx="61">
                  <c:v>0.18228546517503072</c:v>
                </c:pt>
                <c:pt idx="62">
                  <c:v>0.18107434786856416</c:v>
                </c:pt>
                <c:pt idx="63">
                  <c:v>0.1807218526730722</c:v>
                </c:pt>
                <c:pt idx="64">
                  <c:v>0.17124354104643602</c:v>
                </c:pt>
                <c:pt idx="65">
                  <c:v>0.17043497237095404</c:v>
                </c:pt>
                <c:pt idx="66">
                  <c:v>0.16912330746815651</c:v>
                </c:pt>
                <c:pt idx="67">
                  <c:v>0.16845673609331249</c:v>
                </c:pt>
                <c:pt idx="68">
                  <c:v>0.16761928623999747</c:v>
                </c:pt>
                <c:pt idx="69">
                  <c:v>0.16668800760149377</c:v>
                </c:pt>
                <c:pt idx="70">
                  <c:v>0.16480466358728924</c:v>
                </c:pt>
                <c:pt idx="71">
                  <c:v>0.16431171098307554</c:v>
                </c:pt>
                <c:pt idx="72">
                  <c:v>0.162466382526818</c:v>
                </c:pt>
                <c:pt idx="73">
                  <c:v>0.16093007141069812</c:v>
                </c:pt>
                <c:pt idx="74">
                  <c:v>0.15943171597579511</c:v>
                </c:pt>
                <c:pt idx="75">
                  <c:v>0.15537968066344987</c:v>
                </c:pt>
                <c:pt idx="76">
                  <c:v>0.15506004701658752</c:v>
                </c:pt>
                <c:pt idx="77">
                  <c:v>0.15477338476374156</c:v>
                </c:pt>
                <c:pt idx="78">
                  <c:v>0.15290189778090169</c:v>
                </c:pt>
                <c:pt idx="79">
                  <c:v>0.15205258237243957</c:v>
                </c:pt>
                <c:pt idx="80">
                  <c:v>0.14965075153775187</c:v>
                </c:pt>
                <c:pt idx="81">
                  <c:v>0.14542604694913666</c:v>
                </c:pt>
                <c:pt idx="82">
                  <c:v>0.14542142016158499</c:v>
                </c:pt>
                <c:pt idx="83">
                  <c:v>0.14512607677574746</c:v>
                </c:pt>
                <c:pt idx="84">
                  <c:v>0.14384658716854101</c:v>
                </c:pt>
                <c:pt idx="85">
                  <c:v>0.14296854665154235</c:v>
                </c:pt>
                <c:pt idx="86">
                  <c:v>0.14279772999884041</c:v>
                </c:pt>
                <c:pt idx="87">
                  <c:v>0.14243638480769888</c:v>
                </c:pt>
                <c:pt idx="88">
                  <c:v>0.13867913676703503</c:v>
                </c:pt>
                <c:pt idx="89">
                  <c:v>0.13741086975066108</c:v>
                </c:pt>
                <c:pt idx="90">
                  <c:v>0.13600550075670845</c:v>
                </c:pt>
                <c:pt idx="91">
                  <c:v>0.13343602754621239</c:v>
                </c:pt>
                <c:pt idx="92">
                  <c:v>0.13270048675447227</c:v>
                </c:pt>
                <c:pt idx="93">
                  <c:v>0.13253024049454606</c:v>
                </c:pt>
                <c:pt idx="94">
                  <c:v>0.13248941982869786</c:v>
                </c:pt>
                <c:pt idx="95">
                  <c:v>0.13141762575305613</c:v>
                </c:pt>
                <c:pt idx="96">
                  <c:v>0.12937751519821902</c:v>
                </c:pt>
                <c:pt idx="97">
                  <c:v>0.12923707680824939</c:v>
                </c:pt>
                <c:pt idx="98">
                  <c:v>0.12911717555029012</c:v>
                </c:pt>
                <c:pt idx="99">
                  <c:v>0.12555976292393811</c:v>
                </c:pt>
                <c:pt idx="100">
                  <c:v>0.12216788959801611</c:v>
                </c:pt>
                <c:pt idx="101">
                  <c:v>0.12026127560319098</c:v>
                </c:pt>
                <c:pt idx="102">
                  <c:v>0.11932450489235281</c:v>
                </c:pt>
                <c:pt idx="103">
                  <c:v>0.11769751826544797</c:v>
                </c:pt>
                <c:pt idx="104">
                  <c:v>0.11552762462691676</c:v>
                </c:pt>
                <c:pt idx="105">
                  <c:v>0.11523891176265338</c:v>
                </c:pt>
                <c:pt idx="106">
                  <c:v>0.11489638009676614</c:v>
                </c:pt>
                <c:pt idx="107">
                  <c:v>0.11202181394405508</c:v>
                </c:pt>
                <c:pt idx="108">
                  <c:v>0.10793054396821301</c:v>
                </c:pt>
                <c:pt idx="109">
                  <c:v>0.1049056670435274</c:v>
                </c:pt>
                <c:pt idx="110">
                  <c:v>0.10324991008755058</c:v>
                </c:pt>
                <c:pt idx="111">
                  <c:v>0.1014198226921753</c:v>
                </c:pt>
                <c:pt idx="112">
                  <c:v>0.10024186721489901</c:v>
                </c:pt>
                <c:pt idx="113">
                  <c:v>9.9714722390716423E-2</c:v>
                </c:pt>
                <c:pt idx="114">
                  <c:v>9.8847496940729029E-2</c:v>
                </c:pt>
                <c:pt idx="115">
                  <c:v>7.8668578346737558E-2</c:v>
                </c:pt>
                <c:pt idx="116">
                  <c:v>7.0519627749966091E-2</c:v>
                </c:pt>
                <c:pt idx="117">
                  <c:v>6.1100982274089007E-2</c:v>
                </c:pt>
                <c:pt idx="118">
                  <c:v>3.9709695573962374E-2</c:v>
                </c:pt>
                <c:pt idx="119">
                  <c:v>2.5550521352830539E-2</c:v>
                </c:pt>
              </c:numCache>
            </c:numRef>
          </c:xVal>
          <c:yVal>
            <c:numRef>
              <c:f>'Filtered Output'!$B$34:$B$153</c:f>
              <c:numCache>
                <c:formatCode>General</c:formatCode>
                <c:ptCount val="120"/>
                <c:pt idx="0">
                  <c:v>6.831336748277252</c:v>
                </c:pt>
                <c:pt idx="1">
                  <c:v>5.4741213688361228</c:v>
                </c:pt>
                <c:pt idx="2">
                  <c:v>4.2149817996501646</c:v>
                </c:pt>
                <c:pt idx="3">
                  <c:v>4.1656997720974651</c:v>
                </c:pt>
                <c:pt idx="4">
                  <c:v>7.0412352623512264</c:v>
                </c:pt>
                <c:pt idx="5">
                  <c:v>5.637885463090953</c:v>
                </c:pt>
                <c:pt idx="6">
                  <c:v>3.2843803239666127</c:v>
                </c:pt>
                <c:pt idx="7">
                  <c:v>5.271063988370198</c:v>
                </c:pt>
                <c:pt idx="8">
                  <c:v>5.5855528715550085</c:v>
                </c:pt>
                <c:pt idx="9">
                  <c:v>5.4671383741151462</c:v>
                </c:pt>
                <c:pt idx="10">
                  <c:v>9.625549506716542</c:v>
                </c:pt>
                <c:pt idx="11">
                  <c:v>6.8646200725212756</c:v>
                </c:pt>
                <c:pt idx="12">
                  <c:v>5.7395366134855221</c:v>
                </c:pt>
                <c:pt idx="13">
                  <c:v>3.4690548421810687</c:v>
                </c:pt>
                <c:pt idx="14">
                  <c:v>6.0380041797036359</c:v>
                </c:pt>
                <c:pt idx="15">
                  <c:v>7.1934921010749848</c:v>
                </c:pt>
                <c:pt idx="16">
                  <c:v>5.5852384389740486</c:v>
                </c:pt>
                <c:pt idx="17">
                  <c:v>5.4674001827196363</c:v>
                </c:pt>
                <c:pt idx="18">
                  <c:v>8.750899694111256</c:v>
                </c:pt>
                <c:pt idx="19">
                  <c:v>4.4973445237899385</c:v>
                </c:pt>
                <c:pt idx="20">
                  <c:v>4.3664998923891947</c:v>
                </c:pt>
                <c:pt idx="21">
                  <c:v>5.2755493651705478</c:v>
                </c:pt>
                <c:pt idx="22">
                  <c:v>4.8104526533721677</c:v>
                </c:pt>
                <c:pt idx="23">
                  <c:v>7.1939137646912359</c:v>
                </c:pt>
                <c:pt idx="24">
                  <c:v>4.8660975215083733</c:v>
                </c:pt>
                <c:pt idx="25">
                  <c:v>5.0715226751320595</c:v>
                </c:pt>
                <c:pt idx="26">
                  <c:v>6.0484656613897281</c:v>
                </c:pt>
                <c:pt idx="27">
                  <c:v>3.5323004869229546</c:v>
                </c:pt>
                <c:pt idx="28">
                  <c:v>5.4134123386227557</c:v>
                </c:pt>
                <c:pt idx="29">
                  <c:v>9.0930038896035477</c:v>
                </c:pt>
                <c:pt idx="30">
                  <c:v>5.9644442429738129</c:v>
                </c:pt>
                <c:pt idx="31">
                  <c:v>4.8662329483203681</c:v>
                </c:pt>
                <c:pt idx="32">
                  <c:v>4.185906024943896</c:v>
                </c:pt>
                <c:pt idx="33">
                  <c:v>6.106805662603227</c:v>
                </c:pt>
                <c:pt idx="34">
                  <c:v>5.6516354006623315</c:v>
                </c:pt>
                <c:pt idx="35">
                  <c:v>6.1373015655432122</c:v>
                </c:pt>
                <c:pt idx="36">
                  <c:v>6.4783214239950375</c:v>
                </c:pt>
                <c:pt idx="37">
                  <c:v>3.7153173316846333</c:v>
                </c:pt>
                <c:pt idx="38">
                  <c:v>5.7739512450529471</c:v>
                </c:pt>
                <c:pt idx="39">
                  <c:v>6.3497434116467488</c:v>
                </c:pt>
                <c:pt idx="40">
                  <c:v>7.1070053627717176</c:v>
                </c:pt>
                <c:pt idx="41">
                  <c:v>5.3386859665584474</c:v>
                </c:pt>
                <c:pt idx="42">
                  <c:v>5.9379124598901178</c:v>
                </c:pt>
                <c:pt idx="43">
                  <c:v>3.7617266744691245</c:v>
                </c:pt>
                <c:pt idx="44">
                  <c:v>5.8903334157735987</c:v>
                </c:pt>
                <c:pt idx="45">
                  <c:v>5.0014162326358784</c:v>
                </c:pt>
                <c:pt idx="46">
                  <c:v>3.44241738645345</c:v>
                </c:pt>
                <c:pt idx="47">
                  <c:v>7.2468203073919613</c:v>
                </c:pt>
                <c:pt idx="48">
                  <c:v>7.1939118145853183</c:v>
                </c:pt>
                <c:pt idx="49">
                  <c:v>6.8039023371462006</c:v>
                </c:pt>
                <c:pt idx="50">
                  <c:v>4.6170978674126104</c:v>
                </c:pt>
                <c:pt idx="51">
                  <c:v>6.8170238487729762</c:v>
                </c:pt>
                <c:pt idx="52">
                  <c:v>5.3461271534007029</c:v>
                </c:pt>
                <c:pt idx="53">
                  <c:v>4.4663747940201608</c:v>
                </c:pt>
                <c:pt idx="54">
                  <c:v>5.1432437625344996</c:v>
                </c:pt>
                <c:pt idx="55">
                  <c:v>5.5262207033811288</c:v>
                </c:pt>
                <c:pt idx="56">
                  <c:v>8.2754461173909508</c:v>
                </c:pt>
                <c:pt idx="57">
                  <c:v>4.3597303148294158</c:v>
                </c:pt>
                <c:pt idx="58">
                  <c:v>5.8485041595949179</c:v>
                </c:pt>
                <c:pt idx="59">
                  <c:v>6.5058823202392944</c:v>
                </c:pt>
                <c:pt idx="60">
                  <c:v>6.3428695621889739</c:v>
                </c:pt>
                <c:pt idx="61">
                  <c:v>3.9091025550084417</c:v>
                </c:pt>
                <c:pt idx="62">
                  <c:v>6.9939915109406527</c:v>
                </c:pt>
                <c:pt idx="63">
                  <c:v>8.3866298533258732</c:v>
                </c:pt>
                <c:pt idx="64">
                  <c:v>5.6258938026952103</c:v>
                </c:pt>
                <c:pt idx="65">
                  <c:v>5.6611288334120307</c:v>
                </c:pt>
                <c:pt idx="66">
                  <c:v>6.6943037555037712</c:v>
                </c:pt>
                <c:pt idx="67">
                  <c:v>4.5215558440028607</c:v>
                </c:pt>
                <c:pt idx="68">
                  <c:v>6.0106268426918712</c:v>
                </c:pt>
                <c:pt idx="69">
                  <c:v>6.8092259683502956</c:v>
                </c:pt>
                <c:pt idx="70">
                  <c:v>5.5344313828947689</c:v>
                </c:pt>
                <c:pt idx="71">
                  <c:v>6.4725019997150257</c:v>
                </c:pt>
                <c:pt idx="72">
                  <c:v>3.7143299473003162</c:v>
                </c:pt>
                <c:pt idx="73">
                  <c:v>5.5449793888961594</c:v>
                </c:pt>
                <c:pt idx="74">
                  <c:v>7.1833375485487467</c:v>
                </c:pt>
                <c:pt idx="75">
                  <c:v>5.4640634922369236</c:v>
                </c:pt>
                <c:pt idx="76">
                  <c:v>5.5881245338726027</c:v>
                </c:pt>
                <c:pt idx="77">
                  <c:v>5.9429221546398505</c:v>
                </c:pt>
                <c:pt idx="78">
                  <c:v>5.1390592665265062</c:v>
                </c:pt>
                <c:pt idx="79">
                  <c:v>7.323840526819299</c:v>
                </c:pt>
                <c:pt idx="80">
                  <c:v>4.7156611514033502</c:v>
                </c:pt>
                <c:pt idx="81">
                  <c:v>5.1481515982069403</c:v>
                </c:pt>
                <c:pt idx="82">
                  <c:v>4.0212270351283843</c:v>
                </c:pt>
                <c:pt idx="83">
                  <c:v>3.3059046287164486</c:v>
                </c:pt>
                <c:pt idx="84">
                  <c:v>6.7591938151910211</c:v>
                </c:pt>
                <c:pt idx="85">
                  <c:v>5.7518508495141445</c:v>
                </c:pt>
                <c:pt idx="86">
                  <c:v>6.8903743002108238</c:v>
                </c:pt>
                <c:pt idx="87">
                  <c:v>5.8636992203175939</c:v>
                </c:pt>
                <c:pt idx="88">
                  <c:v>5.851320292596613</c:v>
                </c:pt>
                <c:pt idx="89">
                  <c:v>3.9129420544543088</c:v>
                </c:pt>
                <c:pt idx="90">
                  <c:v>6.3802078459490215</c:v>
                </c:pt>
                <c:pt idx="91">
                  <c:v>4.6243645443739947</c:v>
                </c:pt>
                <c:pt idx="92">
                  <c:v>6.3096336842761191</c:v>
                </c:pt>
                <c:pt idx="93">
                  <c:v>3.9373989095566428</c:v>
                </c:pt>
                <c:pt idx="94">
                  <c:v>8.240602561161813</c:v>
                </c:pt>
                <c:pt idx="95">
                  <c:v>6.2003340425884943</c:v>
                </c:pt>
                <c:pt idx="96">
                  <c:v>7.1086912389692909</c:v>
                </c:pt>
                <c:pt idx="97">
                  <c:v>6.6988259016627589</c:v>
                </c:pt>
                <c:pt idx="98">
                  <c:v>5.8879693322954374</c:v>
                </c:pt>
                <c:pt idx="99">
                  <c:v>6.8124495321124927</c:v>
                </c:pt>
                <c:pt idx="100">
                  <c:v>7.519476187681998</c:v>
                </c:pt>
                <c:pt idx="101">
                  <c:v>4.9043528309781275</c:v>
                </c:pt>
                <c:pt idx="102">
                  <c:v>5.1627829209417726</c:v>
                </c:pt>
                <c:pt idx="103">
                  <c:v>6.9172431669514127</c:v>
                </c:pt>
                <c:pt idx="104">
                  <c:v>5.2597771780976617</c:v>
                </c:pt>
                <c:pt idx="105">
                  <c:v>5.5711935109212165</c:v>
                </c:pt>
                <c:pt idx="106">
                  <c:v>4.6559524303917943</c:v>
                </c:pt>
                <c:pt idx="107">
                  <c:v>5.7103790805007035</c:v>
                </c:pt>
                <c:pt idx="108">
                  <c:v>3.7314724686154692</c:v>
                </c:pt>
                <c:pt idx="109">
                  <c:v>3.7658846295658788</c:v>
                </c:pt>
                <c:pt idx="110">
                  <c:v>3.6632296594025124</c:v>
                </c:pt>
                <c:pt idx="111">
                  <c:v>6.0426688408794984</c:v>
                </c:pt>
                <c:pt idx="112">
                  <c:v>5.5206811839069552</c:v>
                </c:pt>
                <c:pt idx="113">
                  <c:v>5.2675513128108049</c:v>
                </c:pt>
                <c:pt idx="114">
                  <c:v>5.050272213684627</c:v>
                </c:pt>
                <c:pt idx="115">
                  <c:v>5.7917389253228162</c:v>
                </c:pt>
                <c:pt idx="116">
                  <c:v>8.2299896341995584</c:v>
                </c:pt>
                <c:pt idx="117">
                  <c:v>7.3582227578831203</c:v>
                </c:pt>
                <c:pt idx="118">
                  <c:v>6.7961226510940129</c:v>
                </c:pt>
                <c:pt idx="119">
                  <c:v>2.5699463426707325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9D9-4CA6-94D3-FE62A3DB0C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143968"/>
        <c:axId val="809144360"/>
      </c:scatterChart>
      <c:valAx>
        <c:axId val="809143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R&amp;D Margin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809144360"/>
        <c:crosses val="autoZero"/>
        <c:crossBetween val="midCat"/>
      </c:valAx>
      <c:valAx>
        <c:axId val="8091443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EV/Rev</a:t>
                </a:r>
              </a:p>
            </c:rich>
          </c:tx>
          <c:overlay val="0"/>
        </c:title>
        <c:numFmt formatCode="#,##0.0_);\(#,##0.0\);0.0_);@_)" sourceLinked="1"/>
        <c:majorTickMark val="out"/>
        <c:minorTickMark val="none"/>
        <c:tickLblPos val="nextTo"/>
        <c:crossAx val="809143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S&amp;M Margin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EV/Rev</c:v>
          </c:tx>
          <c:spPr>
            <a:ln w="19050">
              <a:noFill/>
            </a:ln>
          </c:spPr>
          <c:xVal>
            <c:numRef>
              <c:f>'Filtered Sample'!$G$2:$G$121</c:f>
              <c:numCache>
                <c:formatCode>0%</c:formatCode>
                <c:ptCount val="120"/>
                <c:pt idx="0">
                  <c:v>0.19540403089093994</c:v>
                </c:pt>
                <c:pt idx="1">
                  <c:v>1.2144963326084552</c:v>
                </c:pt>
                <c:pt idx="2">
                  <c:v>0.67664524526153091</c:v>
                </c:pt>
                <c:pt idx="3">
                  <c:v>0.72608401611427897</c:v>
                </c:pt>
                <c:pt idx="4">
                  <c:v>0.19842224811699938</c:v>
                </c:pt>
                <c:pt idx="5">
                  <c:v>0.53193765196918985</c:v>
                </c:pt>
                <c:pt idx="6">
                  <c:v>0.43114241001564946</c:v>
                </c:pt>
                <c:pt idx="7">
                  <c:v>0.20250360646487209</c:v>
                </c:pt>
                <c:pt idx="8">
                  <c:v>0.28142574515120466</c:v>
                </c:pt>
                <c:pt idx="9">
                  <c:v>0.28370075894470548</c:v>
                </c:pt>
                <c:pt idx="10">
                  <c:v>0.65548794189819592</c:v>
                </c:pt>
                <c:pt idx="11">
                  <c:v>0.48525014504395947</c:v>
                </c:pt>
                <c:pt idx="12">
                  <c:v>0.52121490497789513</c:v>
                </c:pt>
                <c:pt idx="13">
                  <c:v>0.15005284263262289</c:v>
                </c:pt>
                <c:pt idx="14">
                  <c:v>0.64699703630446226</c:v>
                </c:pt>
                <c:pt idx="15">
                  <c:v>0.66160949053785467</c:v>
                </c:pt>
                <c:pt idx="16">
                  <c:v>0.43418015216828026</c:v>
                </c:pt>
                <c:pt idx="17">
                  <c:v>0.48735466482810497</c:v>
                </c:pt>
                <c:pt idx="18">
                  <c:v>0.61951131163870943</c:v>
                </c:pt>
                <c:pt idx="19">
                  <c:v>0.46864329256768161</c:v>
                </c:pt>
                <c:pt idx="20">
                  <c:v>0.37096782977611004</c:v>
                </c:pt>
                <c:pt idx="21">
                  <c:v>0.37303754266211603</c:v>
                </c:pt>
                <c:pt idx="22">
                  <c:v>0.18171255400943553</c:v>
                </c:pt>
                <c:pt idx="23">
                  <c:v>0.28332800411495862</c:v>
                </c:pt>
                <c:pt idx="24">
                  <c:v>0.43812405446293501</c:v>
                </c:pt>
                <c:pt idx="25">
                  <c:v>0.56225112661050991</c:v>
                </c:pt>
                <c:pt idx="26">
                  <c:v>0.45291797637918807</c:v>
                </c:pt>
                <c:pt idx="27">
                  <c:v>0.18775252735350578</c:v>
                </c:pt>
                <c:pt idx="28">
                  <c:v>0.22081623409978404</c:v>
                </c:pt>
                <c:pt idx="29">
                  <c:v>0.20959295280444246</c:v>
                </c:pt>
                <c:pt idx="30">
                  <c:v>0.54680841091168686</c:v>
                </c:pt>
                <c:pt idx="31">
                  <c:v>0.43153508277959235</c:v>
                </c:pt>
                <c:pt idx="32">
                  <c:v>0.28840099825468546</c:v>
                </c:pt>
                <c:pt idx="33">
                  <c:v>0.21969927273577627</c:v>
                </c:pt>
                <c:pt idx="34">
                  <c:v>0.50447090521138471</c:v>
                </c:pt>
                <c:pt idx="35">
                  <c:v>0.43523337660636235</c:v>
                </c:pt>
                <c:pt idx="36">
                  <c:v>0.43462988668694685</c:v>
                </c:pt>
                <c:pt idx="37">
                  <c:v>0.14176248215714263</c:v>
                </c:pt>
                <c:pt idx="38">
                  <c:v>0.43699714186323541</c:v>
                </c:pt>
                <c:pt idx="39">
                  <c:v>0.42152705171925225</c:v>
                </c:pt>
                <c:pt idx="40">
                  <c:v>0.55817645019947282</c:v>
                </c:pt>
                <c:pt idx="41">
                  <c:v>0.30624778552025511</c:v>
                </c:pt>
                <c:pt idx="42">
                  <c:v>0.40494762545927565</c:v>
                </c:pt>
                <c:pt idx="43">
                  <c:v>0.2658610466200616</c:v>
                </c:pt>
                <c:pt idx="44">
                  <c:v>0.27397719651240776</c:v>
                </c:pt>
                <c:pt idx="45">
                  <c:v>0.33001864512119328</c:v>
                </c:pt>
                <c:pt idx="46">
                  <c:v>0.27474619289340102</c:v>
                </c:pt>
                <c:pt idx="47">
                  <c:v>0.56033117825570655</c:v>
                </c:pt>
                <c:pt idx="48">
                  <c:v>0.54026948100245054</c:v>
                </c:pt>
                <c:pt idx="49">
                  <c:v>0.62767230095843951</c:v>
                </c:pt>
                <c:pt idx="50">
                  <c:v>0.11566520123723734</c:v>
                </c:pt>
                <c:pt idx="51">
                  <c:v>0.49302894191013868</c:v>
                </c:pt>
                <c:pt idx="52">
                  <c:v>0.23971725083413989</c:v>
                </c:pt>
                <c:pt idx="53">
                  <c:v>0.36086482575212958</c:v>
                </c:pt>
                <c:pt idx="54">
                  <c:v>0.30181365285433243</c:v>
                </c:pt>
                <c:pt idx="55">
                  <c:v>0.41392050000470637</c:v>
                </c:pt>
                <c:pt idx="56">
                  <c:v>0.2613214015083174</c:v>
                </c:pt>
                <c:pt idx="57">
                  <c:v>0.19130951993717502</c:v>
                </c:pt>
                <c:pt idx="58">
                  <c:v>0.44235604635817416</c:v>
                </c:pt>
                <c:pt idx="59">
                  <c:v>0.58653431831151026</c:v>
                </c:pt>
                <c:pt idx="60">
                  <c:v>0.37970630937781852</c:v>
                </c:pt>
                <c:pt idx="61">
                  <c:v>0.27482441807348168</c:v>
                </c:pt>
                <c:pt idx="62">
                  <c:v>0.38263262448301688</c:v>
                </c:pt>
                <c:pt idx="63">
                  <c:v>0.40909090909090912</c:v>
                </c:pt>
                <c:pt idx="64">
                  <c:v>0.38884183690928381</c:v>
                </c:pt>
                <c:pt idx="65">
                  <c:v>0.49486777806355076</c:v>
                </c:pt>
                <c:pt idx="66">
                  <c:v>0.33921478801732324</c:v>
                </c:pt>
                <c:pt idx="67">
                  <c:v>0.3963750489629525</c:v>
                </c:pt>
                <c:pt idx="68">
                  <c:v>0.24998434050016441</c:v>
                </c:pt>
                <c:pt idx="69">
                  <c:v>0.41796603523991765</c:v>
                </c:pt>
                <c:pt idx="70">
                  <c:v>0.20368412265568483</c:v>
                </c:pt>
                <c:pt idx="71">
                  <c:v>0.20235068486568944</c:v>
                </c:pt>
                <c:pt idx="72">
                  <c:v>0.3067190359511896</c:v>
                </c:pt>
                <c:pt idx="73">
                  <c:v>0.12753065270532982</c:v>
                </c:pt>
                <c:pt idx="74">
                  <c:v>0.48223715957670954</c:v>
                </c:pt>
                <c:pt idx="75">
                  <c:v>0.34445264200297476</c:v>
                </c:pt>
                <c:pt idx="76">
                  <c:v>0.37674202220730935</c:v>
                </c:pt>
                <c:pt idx="77">
                  <c:v>0.25578592092574737</c:v>
                </c:pt>
                <c:pt idx="78">
                  <c:v>0.21164273521437896</c:v>
                </c:pt>
                <c:pt idx="79">
                  <c:v>0.49234779159701952</c:v>
                </c:pt>
                <c:pt idx="80">
                  <c:v>0.14052470449453497</c:v>
                </c:pt>
                <c:pt idx="81">
                  <c:v>0.26054192287300054</c:v>
                </c:pt>
                <c:pt idx="82">
                  <c:v>0.2179976452437985</c:v>
                </c:pt>
                <c:pt idx="83">
                  <c:v>0.22949292197886184</c:v>
                </c:pt>
                <c:pt idx="84">
                  <c:v>0.43008734839589802</c:v>
                </c:pt>
                <c:pt idx="85">
                  <c:v>0.34594041478658438</c:v>
                </c:pt>
                <c:pt idx="86">
                  <c:v>0.25636930006119946</c:v>
                </c:pt>
                <c:pt idx="87">
                  <c:v>0.2116168361930203</c:v>
                </c:pt>
                <c:pt idx="88">
                  <c:v>0.30699894706106162</c:v>
                </c:pt>
                <c:pt idx="89">
                  <c:v>0.10827098606532287</c:v>
                </c:pt>
                <c:pt idx="90">
                  <c:v>0.42973244064180216</c:v>
                </c:pt>
                <c:pt idx="91">
                  <c:v>0.15829104748097136</c:v>
                </c:pt>
                <c:pt idx="92">
                  <c:v>0.57881645664164783</c:v>
                </c:pt>
                <c:pt idx="93">
                  <c:v>0.19828958856392076</c:v>
                </c:pt>
                <c:pt idx="94">
                  <c:v>0.4353895551279573</c:v>
                </c:pt>
                <c:pt idx="95">
                  <c:v>0.40864399631607928</c:v>
                </c:pt>
                <c:pt idx="96">
                  <c:v>0.63955918868960371</c:v>
                </c:pt>
                <c:pt idx="97">
                  <c:v>0.44725817491409769</c:v>
                </c:pt>
                <c:pt idx="98">
                  <c:v>0.42976486419382226</c:v>
                </c:pt>
                <c:pt idx="99">
                  <c:v>0.12600428054000659</c:v>
                </c:pt>
                <c:pt idx="100">
                  <c:v>6.4733952045345974E-2</c:v>
                </c:pt>
                <c:pt idx="101">
                  <c:v>0.29519886124278849</c:v>
                </c:pt>
                <c:pt idx="102">
                  <c:v>0.46260940887439295</c:v>
                </c:pt>
                <c:pt idx="103">
                  <c:v>0.54118476449650466</c:v>
                </c:pt>
                <c:pt idx="104">
                  <c:v>0.21320020509085089</c:v>
                </c:pt>
                <c:pt idx="105">
                  <c:v>0.29406135042717996</c:v>
                </c:pt>
                <c:pt idx="106">
                  <c:v>0.18804109488317342</c:v>
                </c:pt>
                <c:pt idx="107">
                  <c:v>0.5924919598103191</c:v>
                </c:pt>
                <c:pt idx="108">
                  <c:v>0.20830207251709093</c:v>
                </c:pt>
                <c:pt idx="109">
                  <c:v>0.18246537591859807</c:v>
                </c:pt>
                <c:pt idx="110">
                  <c:v>8.4959660175673718E-2</c:v>
                </c:pt>
                <c:pt idx="111">
                  <c:v>0.22848902461718351</c:v>
                </c:pt>
                <c:pt idx="112">
                  <c:v>0.17359414681339944</c:v>
                </c:pt>
                <c:pt idx="113">
                  <c:v>0.25291965872639571</c:v>
                </c:pt>
                <c:pt idx="114">
                  <c:v>0.31251465678603868</c:v>
                </c:pt>
                <c:pt idx="115">
                  <c:v>3.7884262798690331E-2</c:v>
                </c:pt>
                <c:pt idx="116">
                  <c:v>5.4475715675295321E-2</c:v>
                </c:pt>
                <c:pt idx="117">
                  <c:v>0.30221593966604288</c:v>
                </c:pt>
                <c:pt idx="118">
                  <c:v>0.28510463458172064</c:v>
                </c:pt>
                <c:pt idx="119">
                  <c:v>0.10027346639823038</c:v>
                </c:pt>
              </c:numCache>
            </c:numRef>
          </c:xVal>
          <c:yVal>
            <c:numRef>
              <c:f>'Filtered Sample'!$C$2:$C$121</c:f>
              <c:numCache>
                <c:formatCode>#,##0.0_);\(#,##0.0\);0.0_);@_)</c:formatCode>
                <c:ptCount val="120"/>
                <c:pt idx="0">
                  <c:v>0.57648122410978131</c:v>
                </c:pt>
                <c:pt idx="1">
                  <c:v>7.8129506260335466</c:v>
                </c:pt>
                <c:pt idx="2">
                  <c:v>10.11253519451164</c:v>
                </c:pt>
                <c:pt idx="3">
                  <c:v>3.3714653832491841</c:v>
                </c:pt>
                <c:pt idx="4">
                  <c:v>12.266786806509231</c:v>
                </c:pt>
                <c:pt idx="5">
                  <c:v>1.6798325991189427</c:v>
                </c:pt>
                <c:pt idx="6">
                  <c:v>0.56028755020080312</c:v>
                </c:pt>
                <c:pt idx="7">
                  <c:v>5.8022321144674081</c:v>
                </c:pt>
                <c:pt idx="8">
                  <c:v>8.1596586177651069</c:v>
                </c:pt>
                <c:pt idx="9">
                  <c:v>6.4523526539411495</c:v>
                </c:pt>
                <c:pt idx="10">
                  <c:v>12.764006066393305</c:v>
                </c:pt>
                <c:pt idx="11">
                  <c:v>10.146867839840409</c:v>
                </c:pt>
                <c:pt idx="12">
                  <c:v>7.0694147705516315</c:v>
                </c:pt>
                <c:pt idx="13">
                  <c:v>1.0114658536585366</c:v>
                </c:pt>
                <c:pt idx="14">
                  <c:v>3.6584260968073057</c:v>
                </c:pt>
                <c:pt idx="15">
                  <c:v>6.3740109429466525</c:v>
                </c:pt>
                <c:pt idx="16">
                  <c:v>6.1000758770737011</c:v>
                </c:pt>
                <c:pt idx="17">
                  <c:v>3.9222766122766122</c:v>
                </c:pt>
                <c:pt idx="18">
                  <c:v>10.068368363264293</c:v>
                </c:pt>
                <c:pt idx="19">
                  <c:v>3.7473726905173033</c:v>
                </c:pt>
                <c:pt idx="20">
                  <c:v>5.8731444420696759</c:v>
                </c:pt>
                <c:pt idx="21">
                  <c:v>5.3155876836511409</c:v>
                </c:pt>
                <c:pt idx="22">
                  <c:v>4.0920802692105829</c:v>
                </c:pt>
                <c:pt idx="23">
                  <c:v>2.0835744808456407</c:v>
                </c:pt>
                <c:pt idx="24">
                  <c:v>1.2459494213459066</c:v>
                </c:pt>
                <c:pt idx="25">
                  <c:v>4.5647688752546358</c:v>
                </c:pt>
                <c:pt idx="26">
                  <c:v>4.3721659914652227</c:v>
                </c:pt>
                <c:pt idx="27">
                  <c:v>8.5238847539015605</c:v>
                </c:pt>
                <c:pt idx="28">
                  <c:v>5.8082102070701689</c:v>
                </c:pt>
                <c:pt idx="29">
                  <c:v>7.2610403592663362</c:v>
                </c:pt>
                <c:pt idx="30">
                  <c:v>3.8654935148642928</c:v>
                </c:pt>
                <c:pt idx="31">
                  <c:v>1.1807002329403935</c:v>
                </c:pt>
                <c:pt idx="32">
                  <c:v>2.9983473325766177</c:v>
                </c:pt>
                <c:pt idx="33">
                  <c:v>8.6234948708425652</c:v>
                </c:pt>
                <c:pt idx="34">
                  <c:v>5.5386857868663117</c:v>
                </c:pt>
                <c:pt idx="35">
                  <c:v>8.6079148104728418</c:v>
                </c:pt>
                <c:pt idx="36">
                  <c:v>8.4077397304365906</c:v>
                </c:pt>
                <c:pt idx="37">
                  <c:v>2.265671270718232</c:v>
                </c:pt>
                <c:pt idx="38">
                  <c:v>2.1019087009803923</c:v>
                </c:pt>
                <c:pt idx="39">
                  <c:v>6.5353081442171996</c:v>
                </c:pt>
                <c:pt idx="40">
                  <c:v>6.8447533077898379</c:v>
                </c:pt>
                <c:pt idx="41">
                  <c:v>5.4254390698714063</c:v>
                </c:pt>
                <c:pt idx="42">
                  <c:v>12.250370401026363</c:v>
                </c:pt>
                <c:pt idx="43">
                  <c:v>3.1340332336324357</c:v>
                </c:pt>
                <c:pt idx="44">
                  <c:v>7.9097525042591084</c:v>
                </c:pt>
                <c:pt idx="45">
                  <c:v>3.066665611468923</c:v>
                </c:pt>
                <c:pt idx="46">
                  <c:v>4.0996019037452189</c:v>
                </c:pt>
                <c:pt idx="47">
                  <c:v>5.7389390736787496</c:v>
                </c:pt>
                <c:pt idx="48">
                  <c:v>9.0551950609724976</c:v>
                </c:pt>
                <c:pt idx="49">
                  <c:v>8.9364435486722531</c:v>
                </c:pt>
                <c:pt idx="50">
                  <c:v>5.0794251385061777</c:v>
                </c:pt>
                <c:pt idx="51">
                  <c:v>3.5067365269461073</c:v>
                </c:pt>
                <c:pt idx="52">
                  <c:v>3.5420179179810725</c:v>
                </c:pt>
                <c:pt idx="53">
                  <c:v>4.1901921750377236</c:v>
                </c:pt>
                <c:pt idx="54">
                  <c:v>8.0015335934837513</c:v>
                </c:pt>
                <c:pt idx="55">
                  <c:v>4.0798187607151597</c:v>
                </c:pt>
                <c:pt idx="56">
                  <c:v>3.9416613922006789</c:v>
                </c:pt>
                <c:pt idx="57">
                  <c:v>7.7488244679249831</c:v>
                </c:pt>
                <c:pt idx="58">
                  <c:v>4.1780519729885413</c:v>
                </c:pt>
                <c:pt idx="59">
                  <c:v>3.1361184086605665</c:v>
                </c:pt>
                <c:pt idx="60">
                  <c:v>5.3269977455988604</c:v>
                </c:pt>
                <c:pt idx="61">
                  <c:v>2.9120112013441615</c:v>
                </c:pt>
                <c:pt idx="62">
                  <c:v>8.9237196782026444</c:v>
                </c:pt>
                <c:pt idx="63">
                  <c:v>10.536085746896847</c:v>
                </c:pt>
                <c:pt idx="64">
                  <c:v>4.6914530971126585</c:v>
                </c:pt>
                <c:pt idx="65">
                  <c:v>1.9981420626895856</c:v>
                </c:pt>
                <c:pt idx="66">
                  <c:v>5.2102507725858258</c:v>
                </c:pt>
                <c:pt idx="67">
                  <c:v>6.4028104385120033</c:v>
                </c:pt>
                <c:pt idx="68">
                  <c:v>8.3344293965673266</c:v>
                </c:pt>
                <c:pt idx="69">
                  <c:v>10.166276468778422</c:v>
                </c:pt>
                <c:pt idx="70">
                  <c:v>9.2100984931490704</c:v>
                </c:pt>
                <c:pt idx="71">
                  <c:v>12.568502068130735</c:v>
                </c:pt>
                <c:pt idx="72">
                  <c:v>2.0687725027599684</c:v>
                </c:pt>
                <c:pt idx="73">
                  <c:v>8.2728247227892098</c:v>
                </c:pt>
                <c:pt idx="74">
                  <c:v>8.490319800310715</c:v>
                </c:pt>
                <c:pt idx="75">
                  <c:v>1.3997070038910506</c:v>
                </c:pt>
                <c:pt idx="76">
                  <c:v>3.0714453294069579</c:v>
                </c:pt>
                <c:pt idx="77">
                  <c:v>4.1445323066153303</c:v>
                </c:pt>
                <c:pt idx="78">
                  <c:v>4.429887145357001</c:v>
                </c:pt>
                <c:pt idx="79">
                  <c:v>7.357837407128244</c:v>
                </c:pt>
                <c:pt idx="80">
                  <c:v>4.7479818606825619</c:v>
                </c:pt>
                <c:pt idx="81">
                  <c:v>7.0123354832491298</c:v>
                </c:pt>
                <c:pt idx="82">
                  <c:v>6.5048979458190175</c:v>
                </c:pt>
                <c:pt idx="83">
                  <c:v>2.0150768397535712</c:v>
                </c:pt>
                <c:pt idx="84">
                  <c:v>6.0755460940922488</c:v>
                </c:pt>
                <c:pt idx="85">
                  <c:v>4.8252930836079786</c:v>
                </c:pt>
                <c:pt idx="86">
                  <c:v>11.381009183694736</c:v>
                </c:pt>
                <c:pt idx="87">
                  <c:v>9.7891752187397572</c:v>
                </c:pt>
                <c:pt idx="88">
                  <c:v>3.3262405995961988</c:v>
                </c:pt>
                <c:pt idx="89">
                  <c:v>3.3401406603773585</c:v>
                </c:pt>
                <c:pt idx="90">
                  <c:v>5.4568475555797393</c:v>
                </c:pt>
                <c:pt idx="91">
                  <c:v>6.1767701915601814</c:v>
                </c:pt>
                <c:pt idx="92">
                  <c:v>2.955181786533017</c:v>
                </c:pt>
                <c:pt idx="93">
                  <c:v>3.1986545053245892</c:v>
                </c:pt>
                <c:pt idx="94">
                  <c:v>6.6749513014078792</c:v>
                </c:pt>
                <c:pt idx="95">
                  <c:v>7.2125454410523382</c:v>
                </c:pt>
                <c:pt idx="96">
                  <c:v>7.2118645836259514</c:v>
                </c:pt>
                <c:pt idx="97">
                  <c:v>7.8507875107814389</c:v>
                </c:pt>
                <c:pt idx="98">
                  <c:v>6.4736606852984853</c:v>
                </c:pt>
                <c:pt idx="99">
                  <c:v>4.8337773589754578</c:v>
                </c:pt>
                <c:pt idx="100">
                  <c:v>4.3292629004258751</c:v>
                </c:pt>
                <c:pt idx="101">
                  <c:v>7.7644892299367179</c:v>
                </c:pt>
                <c:pt idx="102">
                  <c:v>5.0900997981504945</c:v>
                </c:pt>
                <c:pt idx="103">
                  <c:v>8.7731952120848646</c:v>
                </c:pt>
                <c:pt idx="104">
                  <c:v>5.5983514970295474</c:v>
                </c:pt>
                <c:pt idx="105">
                  <c:v>2.6890396514513135</c:v>
                </c:pt>
                <c:pt idx="106">
                  <c:v>3.8518125773037823</c:v>
                </c:pt>
                <c:pt idx="107">
                  <c:v>4.0362890436273213</c:v>
                </c:pt>
                <c:pt idx="108">
                  <c:v>4.1098323278361049</c:v>
                </c:pt>
                <c:pt idx="109">
                  <c:v>2.2066003330557868</c:v>
                </c:pt>
                <c:pt idx="110">
                  <c:v>5.0464857499109375</c:v>
                </c:pt>
                <c:pt idx="111">
                  <c:v>6.62695871340149</c:v>
                </c:pt>
                <c:pt idx="112">
                  <c:v>9.7853713869322334</c:v>
                </c:pt>
                <c:pt idx="113">
                  <c:v>7.0749901682228113</c:v>
                </c:pt>
                <c:pt idx="114">
                  <c:v>5.2308952422745243</c:v>
                </c:pt>
                <c:pt idx="115">
                  <c:v>4.16037951302041</c:v>
                </c:pt>
                <c:pt idx="116">
                  <c:v>4.1965213012924441</c:v>
                </c:pt>
                <c:pt idx="117">
                  <c:v>11.913384585692228</c:v>
                </c:pt>
                <c:pt idx="118">
                  <c:v>3.4114083075348165</c:v>
                </c:pt>
                <c:pt idx="119">
                  <c:v>1.245534219269103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F8F-498D-A253-13AC7316EF69}"/>
            </c:ext>
          </c:extLst>
        </c:ser>
        <c:ser>
          <c:idx val="1"/>
          <c:order val="1"/>
          <c:tx>
            <c:v>Predicted EV/Rev</c:v>
          </c:tx>
          <c:spPr>
            <a:ln w="19050">
              <a:noFill/>
            </a:ln>
          </c:spPr>
          <c:xVal>
            <c:numRef>
              <c:f>'Filtered Sample'!$G$2:$G$121</c:f>
              <c:numCache>
                <c:formatCode>0%</c:formatCode>
                <c:ptCount val="120"/>
                <c:pt idx="0">
                  <c:v>0.19540403089093994</c:v>
                </c:pt>
                <c:pt idx="1">
                  <c:v>1.2144963326084552</c:v>
                </c:pt>
                <c:pt idx="2">
                  <c:v>0.67664524526153091</c:v>
                </c:pt>
                <c:pt idx="3">
                  <c:v>0.72608401611427897</c:v>
                </c:pt>
                <c:pt idx="4">
                  <c:v>0.19842224811699938</c:v>
                </c:pt>
                <c:pt idx="5">
                  <c:v>0.53193765196918985</c:v>
                </c:pt>
                <c:pt idx="6">
                  <c:v>0.43114241001564946</c:v>
                </c:pt>
                <c:pt idx="7">
                  <c:v>0.20250360646487209</c:v>
                </c:pt>
                <c:pt idx="8">
                  <c:v>0.28142574515120466</c:v>
                </c:pt>
                <c:pt idx="9">
                  <c:v>0.28370075894470548</c:v>
                </c:pt>
                <c:pt idx="10">
                  <c:v>0.65548794189819592</c:v>
                </c:pt>
                <c:pt idx="11">
                  <c:v>0.48525014504395947</c:v>
                </c:pt>
                <c:pt idx="12">
                  <c:v>0.52121490497789513</c:v>
                </c:pt>
                <c:pt idx="13">
                  <c:v>0.15005284263262289</c:v>
                </c:pt>
                <c:pt idx="14">
                  <c:v>0.64699703630446226</c:v>
                </c:pt>
                <c:pt idx="15">
                  <c:v>0.66160949053785467</c:v>
                </c:pt>
                <c:pt idx="16">
                  <c:v>0.43418015216828026</c:v>
                </c:pt>
                <c:pt idx="17">
                  <c:v>0.48735466482810497</c:v>
                </c:pt>
                <c:pt idx="18">
                  <c:v>0.61951131163870943</c:v>
                </c:pt>
                <c:pt idx="19">
                  <c:v>0.46864329256768161</c:v>
                </c:pt>
                <c:pt idx="20">
                  <c:v>0.37096782977611004</c:v>
                </c:pt>
                <c:pt idx="21">
                  <c:v>0.37303754266211603</c:v>
                </c:pt>
                <c:pt idx="22">
                  <c:v>0.18171255400943553</c:v>
                </c:pt>
                <c:pt idx="23">
                  <c:v>0.28332800411495862</c:v>
                </c:pt>
                <c:pt idx="24">
                  <c:v>0.43812405446293501</c:v>
                </c:pt>
                <c:pt idx="25">
                  <c:v>0.56225112661050991</c:v>
                </c:pt>
                <c:pt idx="26">
                  <c:v>0.45291797637918807</c:v>
                </c:pt>
                <c:pt idx="27">
                  <c:v>0.18775252735350578</c:v>
                </c:pt>
                <c:pt idx="28">
                  <c:v>0.22081623409978404</c:v>
                </c:pt>
                <c:pt idx="29">
                  <c:v>0.20959295280444246</c:v>
                </c:pt>
                <c:pt idx="30">
                  <c:v>0.54680841091168686</c:v>
                </c:pt>
                <c:pt idx="31">
                  <c:v>0.43153508277959235</c:v>
                </c:pt>
                <c:pt idx="32">
                  <c:v>0.28840099825468546</c:v>
                </c:pt>
                <c:pt idx="33">
                  <c:v>0.21969927273577627</c:v>
                </c:pt>
                <c:pt idx="34">
                  <c:v>0.50447090521138471</c:v>
                </c:pt>
                <c:pt idx="35">
                  <c:v>0.43523337660636235</c:v>
                </c:pt>
                <c:pt idx="36">
                  <c:v>0.43462988668694685</c:v>
                </c:pt>
                <c:pt idx="37">
                  <c:v>0.14176248215714263</c:v>
                </c:pt>
                <c:pt idx="38">
                  <c:v>0.43699714186323541</c:v>
                </c:pt>
                <c:pt idx="39">
                  <c:v>0.42152705171925225</c:v>
                </c:pt>
                <c:pt idx="40">
                  <c:v>0.55817645019947282</c:v>
                </c:pt>
                <c:pt idx="41">
                  <c:v>0.30624778552025511</c:v>
                </c:pt>
                <c:pt idx="42">
                  <c:v>0.40494762545927565</c:v>
                </c:pt>
                <c:pt idx="43">
                  <c:v>0.2658610466200616</c:v>
                </c:pt>
                <c:pt idx="44">
                  <c:v>0.27397719651240776</c:v>
                </c:pt>
                <c:pt idx="45">
                  <c:v>0.33001864512119328</c:v>
                </c:pt>
                <c:pt idx="46">
                  <c:v>0.27474619289340102</c:v>
                </c:pt>
                <c:pt idx="47">
                  <c:v>0.56033117825570655</c:v>
                </c:pt>
                <c:pt idx="48">
                  <c:v>0.54026948100245054</c:v>
                </c:pt>
                <c:pt idx="49">
                  <c:v>0.62767230095843951</c:v>
                </c:pt>
                <c:pt idx="50">
                  <c:v>0.11566520123723734</c:v>
                </c:pt>
                <c:pt idx="51">
                  <c:v>0.49302894191013868</c:v>
                </c:pt>
                <c:pt idx="52">
                  <c:v>0.23971725083413989</c:v>
                </c:pt>
                <c:pt idx="53">
                  <c:v>0.36086482575212958</c:v>
                </c:pt>
                <c:pt idx="54">
                  <c:v>0.30181365285433243</c:v>
                </c:pt>
                <c:pt idx="55">
                  <c:v>0.41392050000470637</c:v>
                </c:pt>
                <c:pt idx="56">
                  <c:v>0.2613214015083174</c:v>
                </c:pt>
                <c:pt idx="57">
                  <c:v>0.19130951993717502</c:v>
                </c:pt>
                <c:pt idx="58">
                  <c:v>0.44235604635817416</c:v>
                </c:pt>
                <c:pt idx="59">
                  <c:v>0.58653431831151026</c:v>
                </c:pt>
                <c:pt idx="60">
                  <c:v>0.37970630937781852</c:v>
                </c:pt>
                <c:pt idx="61">
                  <c:v>0.27482441807348168</c:v>
                </c:pt>
                <c:pt idx="62">
                  <c:v>0.38263262448301688</c:v>
                </c:pt>
                <c:pt idx="63">
                  <c:v>0.40909090909090912</c:v>
                </c:pt>
                <c:pt idx="64">
                  <c:v>0.38884183690928381</c:v>
                </c:pt>
                <c:pt idx="65">
                  <c:v>0.49486777806355076</c:v>
                </c:pt>
                <c:pt idx="66">
                  <c:v>0.33921478801732324</c:v>
                </c:pt>
                <c:pt idx="67">
                  <c:v>0.3963750489629525</c:v>
                </c:pt>
                <c:pt idx="68">
                  <c:v>0.24998434050016441</c:v>
                </c:pt>
                <c:pt idx="69">
                  <c:v>0.41796603523991765</c:v>
                </c:pt>
                <c:pt idx="70">
                  <c:v>0.20368412265568483</c:v>
                </c:pt>
                <c:pt idx="71">
                  <c:v>0.20235068486568944</c:v>
                </c:pt>
                <c:pt idx="72">
                  <c:v>0.3067190359511896</c:v>
                </c:pt>
                <c:pt idx="73">
                  <c:v>0.12753065270532982</c:v>
                </c:pt>
                <c:pt idx="74">
                  <c:v>0.48223715957670954</c:v>
                </c:pt>
                <c:pt idx="75">
                  <c:v>0.34445264200297476</c:v>
                </c:pt>
                <c:pt idx="76">
                  <c:v>0.37674202220730935</c:v>
                </c:pt>
                <c:pt idx="77">
                  <c:v>0.25578592092574737</c:v>
                </c:pt>
                <c:pt idx="78">
                  <c:v>0.21164273521437896</c:v>
                </c:pt>
                <c:pt idx="79">
                  <c:v>0.49234779159701952</c:v>
                </c:pt>
                <c:pt idx="80">
                  <c:v>0.14052470449453497</c:v>
                </c:pt>
                <c:pt idx="81">
                  <c:v>0.26054192287300054</c:v>
                </c:pt>
                <c:pt idx="82">
                  <c:v>0.2179976452437985</c:v>
                </c:pt>
                <c:pt idx="83">
                  <c:v>0.22949292197886184</c:v>
                </c:pt>
                <c:pt idx="84">
                  <c:v>0.43008734839589802</c:v>
                </c:pt>
                <c:pt idx="85">
                  <c:v>0.34594041478658438</c:v>
                </c:pt>
                <c:pt idx="86">
                  <c:v>0.25636930006119946</c:v>
                </c:pt>
                <c:pt idx="87">
                  <c:v>0.2116168361930203</c:v>
                </c:pt>
                <c:pt idx="88">
                  <c:v>0.30699894706106162</c:v>
                </c:pt>
                <c:pt idx="89">
                  <c:v>0.10827098606532287</c:v>
                </c:pt>
                <c:pt idx="90">
                  <c:v>0.42973244064180216</c:v>
                </c:pt>
                <c:pt idx="91">
                  <c:v>0.15829104748097136</c:v>
                </c:pt>
                <c:pt idx="92">
                  <c:v>0.57881645664164783</c:v>
                </c:pt>
                <c:pt idx="93">
                  <c:v>0.19828958856392076</c:v>
                </c:pt>
                <c:pt idx="94">
                  <c:v>0.4353895551279573</c:v>
                </c:pt>
                <c:pt idx="95">
                  <c:v>0.40864399631607928</c:v>
                </c:pt>
                <c:pt idx="96">
                  <c:v>0.63955918868960371</c:v>
                </c:pt>
                <c:pt idx="97">
                  <c:v>0.44725817491409769</c:v>
                </c:pt>
                <c:pt idx="98">
                  <c:v>0.42976486419382226</c:v>
                </c:pt>
                <c:pt idx="99">
                  <c:v>0.12600428054000659</c:v>
                </c:pt>
                <c:pt idx="100">
                  <c:v>6.4733952045345974E-2</c:v>
                </c:pt>
                <c:pt idx="101">
                  <c:v>0.29519886124278849</c:v>
                </c:pt>
                <c:pt idx="102">
                  <c:v>0.46260940887439295</c:v>
                </c:pt>
                <c:pt idx="103">
                  <c:v>0.54118476449650466</c:v>
                </c:pt>
                <c:pt idx="104">
                  <c:v>0.21320020509085089</c:v>
                </c:pt>
                <c:pt idx="105">
                  <c:v>0.29406135042717996</c:v>
                </c:pt>
                <c:pt idx="106">
                  <c:v>0.18804109488317342</c:v>
                </c:pt>
                <c:pt idx="107">
                  <c:v>0.5924919598103191</c:v>
                </c:pt>
                <c:pt idx="108">
                  <c:v>0.20830207251709093</c:v>
                </c:pt>
                <c:pt idx="109">
                  <c:v>0.18246537591859807</c:v>
                </c:pt>
                <c:pt idx="110">
                  <c:v>8.4959660175673718E-2</c:v>
                </c:pt>
                <c:pt idx="111">
                  <c:v>0.22848902461718351</c:v>
                </c:pt>
                <c:pt idx="112">
                  <c:v>0.17359414681339944</c:v>
                </c:pt>
                <c:pt idx="113">
                  <c:v>0.25291965872639571</c:v>
                </c:pt>
                <c:pt idx="114">
                  <c:v>0.31251465678603868</c:v>
                </c:pt>
                <c:pt idx="115">
                  <c:v>3.7884262798690331E-2</c:v>
                </c:pt>
                <c:pt idx="116">
                  <c:v>5.4475715675295321E-2</c:v>
                </c:pt>
                <c:pt idx="117">
                  <c:v>0.30221593966604288</c:v>
                </c:pt>
                <c:pt idx="118">
                  <c:v>0.28510463458172064</c:v>
                </c:pt>
                <c:pt idx="119">
                  <c:v>0.10027346639823038</c:v>
                </c:pt>
              </c:numCache>
            </c:numRef>
          </c:xVal>
          <c:yVal>
            <c:numRef>
              <c:f>'Filtered Output'!$B$34:$B$153</c:f>
              <c:numCache>
                <c:formatCode>General</c:formatCode>
                <c:ptCount val="120"/>
                <c:pt idx="0">
                  <c:v>6.831336748277252</c:v>
                </c:pt>
                <c:pt idx="1">
                  <c:v>5.4741213688361228</c:v>
                </c:pt>
                <c:pt idx="2">
                  <c:v>4.2149817996501646</c:v>
                </c:pt>
                <c:pt idx="3">
                  <c:v>4.1656997720974651</c:v>
                </c:pt>
                <c:pt idx="4">
                  <c:v>7.0412352623512264</c:v>
                </c:pt>
                <c:pt idx="5">
                  <c:v>5.637885463090953</c:v>
                </c:pt>
                <c:pt idx="6">
                  <c:v>3.2843803239666127</c:v>
                </c:pt>
                <c:pt idx="7">
                  <c:v>5.271063988370198</c:v>
                </c:pt>
                <c:pt idx="8">
                  <c:v>5.5855528715550085</c:v>
                </c:pt>
                <c:pt idx="9">
                  <c:v>5.4671383741151462</c:v>
                </c:pt>
                <c:pt idx="10">
                  <c:v>9.625549506716542</c:v>
                </c:pt>
                <c:pt idx="11">
                  <c:v>6.8646200725212756</c:v>
                </c:pt>
                <c:pt idx="12">
                  <c:v>5.7395366134855221</c:v>
                </c:pt>
                <c:pt idx="13">
                  <c:v>3.4690548421810687</c:v>
                </c:pt>
                <c:pt idx="14">
                  <c:v>6.0380041797036359</c:v>
                </c:pt>
                <c:pt idx="15">
                  <c:v>7.1934921010749848</c:v>
                </c:pt>
                <c:pt idx="16">
                  <c:v>5.5852384389740486</c:v>
                </c:pt>
                <c:pt idx="17">
                  <c:v>5.4674001827196363</c:v>
                </c:pt>
                <c:pt idx="18">
                  <c:v>8.750899694111256</c:v>
                </c:pt>
                <c:pt idx="19">
                  <c:v>4.4973445237899385</c:v>
                </c:pt>
                <c:pt idx="20">
                  <c:v>4.3664998923891947</c:v>
                </c:pt>
                <c:pt idx="21">
                  <c:v>5.2755493651705478</c:v>
                </c:pt>
                <c:pt idx="22">
                  <c:v>4.8104526533721677</c:v>
                </c:pt>
                <c:pt idx="23">
                  <c:v>7.1939137646912359</c:v>
                </c:pt>
                <c:pt idx="24">
                  <c:v>4.8660975215083733</c:v>
                </c:pt>
                <c:pt idx="25">
                  <c:v>5.0715226751320595</c:v>
                </c:pt>
                <c:pt idx="26">
                  <c:v>6.0484656613897281</c:v>
                </c:pt>
                <c:pt idx="27">
                  <c:v>3.5323004869229546</c:v>
                </c:pt>
                <c:pt idx="28">
                  <c:v>5.4134123386227557</c:v>
                </c:pt>
                <c:pt idx="29">
                  <c:v>9.0930038896035477</c:v>
                </c:pt>
                <c:pt idx="30">
                  <c:v>5.9644442429738129</c:v>
                </c:pt>
                <c:pt idx="31">
                  <c:v>4.8662329483203681</c:v>
                </c:pt>
                <c:pt idx="32">
                  <c:v>4.185906024943896</c:v>
                </c:pt>
                <c:pt idx="33">
                  <c:v>6.106805662603227</c:v>
                </c:pt>
                <c:pt idx="34">
                  <c:v>5.6516354006623315</c:v>
                </c:pt>
                <c:pt idx="35">
                  <c:v>6.1373015655432122</c:v>
                </c:pt>
                <c:pt idx="36">
                  <c:v>6.4783214239950375</c:v>
                </c:pt>
                <c:pt idx="37">
                  <c:v>3.7153173316846333</c:v>
                </c:pt>
                <c:pt idx="38">
                  <c:v>5.7739512450529471</c:v>
                </c:pt>
                <c:pt idx="39">
                  <c:v>6.3497434116467488</c:v>
                </c:pt>
                <c:pt idx="40">
                  <c:v>7.1070053627717176</c:v>
                </c:pt>
                <c:pt idx="41">
                  <c:v>5.3386859665584474</c:v>
                </c:pt>
                <c:pt idx="42">
                  <c:v>5.9379124598901178</c:v>
                </c:pt>
                <c:pt idx="43">
                  <c:v>3.7617266744691245</c:v>
                </c:pt>
                <c:pt idx="44">
                  <c:v>5.8903334157735987</c:v>
                </c:pt>
                <c:pt idx="45">
                  <c:v>5.0014162326358784</c:v>
                </c:pt>
                <c:pt idx="46">
                  <c:v>3.44241738645345</c:v>
                </c:pt>
                <c:pt idx="47">
                  <c:v>7.2468203073919613</c:v>
                </c:pt>
                <c:pt idx="48">
                  <c:v>7.1939118145853183</c:v>
                </c:pt>
                <c:pt idx="49">
                  <c:v>6.8039023371462006</c:v>
                </c:pt>
                <c:pt idx="50">
                  <c:v>4.6170978674126104</c:v>
                </c:pt>
                <c:pt idx="51">
                  <c:v>6.8170238487729762</c:v>
                </c:pt>
                <c:pt idx="52">
                  <c:v>5.3461271534007029</c:v>
                </c:pt>
                <c:pt idx="53">
                  <c:v>4.4663747940201608</c:v>
                </c:pt>
                <c:pt idx="54">
                  <c:v>5.1432437625344996</c:v>
                </c:pt>
                <c:pt idx="55">
                  <c:v>5.5262207033811288</c:v>
                </c:pt>
                <c:pt idx="56">
                  <c:v>8.2754461173909508</c:v>
                </c:pt>
                <c:pt idx="57">
                  <c:v>4.3597303148294158</c:v>
                </c:pt>
                <c:pt idx="58">
                  <c:v>5.8485041595949179</c:v>
                </c:pt>
                <c:pt idx="59">
                  <c:v>6.5058823202392944</c:v>
                </c:pt>
                <c:pt idx="60">
                  <c:v>6.3428695621889739</c:v>
                </c:pt>
                <c:pt idx="61">
                  <c:v>3.9091025550084417</c:v>
                </c:pt>
                <c:pt idx="62">
                  <c:v>6.9939915109406527</c:v>
                </c:pt>
                <c:pt idx="63">
                  <c:v>8.3866298533258732</c:v>
                </c:pt>
                <c:pt idx="64">
                  <c:v>5.6258938026952103</c:v>
                </c:pt>
                <c:pt idx="65">
                  <c:v>5.6611288334120307</c:v>
                </c:pt>
                <c:pt idx="66">
                  <c:v>6.6943037555037712</c:v>
                </c:pt>
                <c:pt idx="67">
                  <c:v>4.5215558440028607</c:v>
                </c:pt>
                <c:pt idx="68">
                  <c:v>6.0106268426918712</c:v>
                </c:pt>
                <c:pt idx="69">
                  <c:v>6.8092259683502956</c:v>
                </c:pt>
                <c:pt idx="70">
                  <c:v>5.5344313828947689</c:v>
                </c:pt>
                <c:pt idx="71">
                  <c:v>6.4725019997150257</c:v>
                </c:pt>
                <c:pt idx="72">
                  <c:v>3.7143299473003162</c:v>
                </c:pt>
                <c:pt idx="73">
                  <c:v>5.5449793888961594</c:v>
                </c:pt>
                <c:pt idx="74">
                  <c:v>7.1833375485487467</c:v>
                </c:pt>
                <c:pt idx="75">
                  <c:v>5.4640634922369236</c:v>
                </c:pt>
                <c:pt idx="76">
                  <c:v>5.5881245338726027</c:v>
                </c:pt>
                <c:pt idx="77">
                  <c:v>5.9429221546398505</c:v>
                </c:pt>
                <c:pt idx="78">
                  <c:v>5.1390592665265062</c:v>
                </c:pt>
                <c:pt idx="79">
                  <c:v>7.323840526819299</c:v>
                </c:pt>
                <c:pt idx="80">
                  <c:v>4.7156611514033502</c:v>
                </c:pt>
                <c:pt idx="81">
                  <c:v>5.1481515982069403</c:v>
                </c:pt>
                <c:pt idx="82">
                  <c:v>4.0212270351283843</c:v>
                </c:pt>
                <c:pt idx="83">
                  <c:v>3.3059046287164486</c:v>
                </c:pt>
                <c:pt idx="84">
                  <c:v>6.7591938151910211</c:v>
                </c:pt>
                <c:pt idx="85">
                  <c:v>5.7518508495141445</c:v>
                </c:pt>
                <c:pt idx="86">
                  <c:v>6.8903743002108238</c:v>
                </c:pt>
                <c:pt idx="87">
                  <c:v>5.8636992203175939</c:v>
                </c:pt>
                <c:pt idx="88">
                  <c:v>5.851320292596613</c:v>
                </c:pt>
                <c:pt idx="89">
                  <c:v>3.9129420544543088</c:v>
                </c:pt>
                <c:pt idx="90">
                  <c:v>6.3802078459490215</c:v>
                </c:pt>
                <c:pt idx="91">
                  <c:v>4.6243645443739947</c:v>
                </c:pt>
                <c:pt idx="92">
                  <c:v>6.3096336842761191</c:v>
                </c:pt>
                <c:pt idx="93">
                  <c:v>3.9373989095566428</c:v>
                </c:pt>
                <c:pt idx="94">
                  <c:v>8.240602561161813</c:v>
                </c:pt>
                <c:pt idx="95">
                  <c:v>6.2003340425884943</c:v>
                </c:pt>
                <c:pt idx="96">
                  <c:v>7.1086912389692909</c:v>
                </c:pt>
                <c:pt idx="97">
                  <c:v>6.6988259016627589</c:v>
                </c:pt>
                <c:pt idx="98">
                  <c:v>5.8879693322954374</c:v>
                </c:pt>
                <c:pt idx="99">
                  <c:v>6.8124495321124927</c:v>
                </c:pt>
                <c:pt idx="100">
                  <c:v>7.519476187681998</c:v>
                </c:pt>
                <c:pt idx="101">
                  <c:v>4.9043528309781275</c:v>
                </c:pt>
                <c:pt idx="102">
                  <c:v>5.1627829209417726</c:v>
                </c:pt>
                <c:pt idx="103">
                  <c:v>6.9172431669514127</c:v>
                </c:pt>
                <c:pt idx="104">
                  <c:v>5.2597771780976617</c:v>
                </c:pt>
                <c:pt idx="105">
                  <c:v>5.5711935109212165</c:v>
                </c:pt>
                <c:pt idx="106">
                  <c:v>4.6559524303917943</c:v>
                </c:pt>
                <c:pt idx="107">
                  <c:v>5.7103790805007035</c:v>
                </c:pt>
                <c:pt idx="108">
                  <c:v>3.7314724686154692</c:v>
                </c:pt>
                <c:pt idx="109">
                  <c:v>3.7658846295658788</c:v>
                </c:pt>
                <c:pt idx="110">
                  <c:v>3.6632296594025124</c:v>
                </c:pt>
                <c:pt idx="111">
                  <c:v>6.0426688408794984</c:v>
                </c:pt>
                <c:pt idx="112">
                  <c:v>5.5206811839069552</c:v>
                </c:pt>
                <c:pt idx="113">
                  <c:v>5.2675513128108049</c:v>
                </c:pt>
                <c:pt idx="114">
                  <c:v>5.050272213684627</c:v>
                </c:pt>
                <c:pt idx="115">
                  <c:v>5.7917389253228162</c:v>
                </c:pt>
                <c:pt idx="116">
                  <c:v>8.2299896341995584</c:v>
                </c:pt>
                <c:pt idx="117">
                  <c:v>7.3582227578831203</c:v>
                </c:pt>
                <c:pt idx="118">
                  <c:v>6.7961226510940129</c:v>
                </c:pt>
                <c:pt idx="119">
                  <c:v>2.5699463426707325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F8F-498D-A253-13AC7316E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145144"/>
        <c:axId val="809145536"/>
      </c:scatterChart>
      <c:valAx>
        <c:axId val="809145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S&amp;M Margin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809145536"/>
        <c:crosses val="autoZero"/>
        <c:crossBetween val="midCat"/>
      </c:valAx>
      <c:valAx>
        <c:axId val="8091455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EV/Rev</a:t>
                </a:r>
              </a:p>
            </c:rich>
          </c:tx>
          <c:overlay val="0"/>
        </c:title>
        <c:numFmt formatCode="#,##0.0_);\(#,##0.0\);0.0_);@_)" sourceLinked="1"/>
        <c:majorTickMark val="out"/>
        <c:minorTickMark val="none"/>
        <c:tickLblPos val="nextTo"/>
        <c:crossAx val="809145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EBITDA Margin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EV/Rev</c:v>
          </c:tx>
          <c:spPr>
            <a:ln w="19050">
              <a:noFill/>
            </a:ln>
          </c:spPr>
          <c:xVal>
            <c:numRef>
              <c:f>'Filtered Sample'!$H$2:$H$121</c:f>
              <c:numCache>
                <c:formatCode>0%</c:formatCode>
                <c:ptCount val="120"/>
                <c:pt idx="0">
                  <c:v>-0.77476925974759847</c:v>
                </c:pt>
                <c:pt idx="1">
                  <c:v>-1.4617596107773396</c:v>
                </c:pt>
                <c:pt idx="2">
                  <c:v>-1.1143740340030912</c:v>
                </c:pt>
                <c:pt idx="3">
                  <c:v>-0.42935893194247121</c:v>
                </c:pt>
                <c:pt idx="4">
                  <c:v>4.5932971932313299E-2</c:v>
                </c:pt>
                <c:pt idx="5">
                  <c:v>-0.25936626435609172</c:v>
                </c:pt>
                <c:pt idx="6">
                  <c:v>-0.3627509739286785</c:v>
                </c:pt>
                <c:pt idx="7">
                  <c:v>0.25035919713763116</c:v>
                </c:pt>
                <c:pt idx="8">
                  <c:v>-4.4409677493748537E-2</c:v>
                </c:pt>
                <c:pt idx="9">
                  <c:v>6.1528731478135174E-2</c:v>
                </c:pt>
                <c:pt idx="10">
                  <c:v>-0.40360259948046345</c:v>
                </c:pt>
                <c:pt idx="11">
                  <c:v>-5.8508501807470879E-2</c:v>
                </c:pt>
                <c:pt idx="12">
                  <c:v>-0.12485180339031537</c:v>
                </c:pt>
                <c:pt idx="13">
                  <c:v>-0.18292972351403164</c:v>
                </c:pt>
                <c:pt idx="14">
                  <c:v>-0.52720814709237873</c:v>
                </c:pt>
                <c:pt idx="15">
                  <c:v>-0.29694347402076365</c:v>
                </c:pt>
                <c:pt idx="16">
                  <c:v>-0.2867072605783651</c:v>
                </c:pt>
                <c:pt idx="17">
                  <c:v>-0.38988999968660876</c:v>
                </c:pt>
                <c:pt idx="18">
                  <c:v>-0.19213006120590004</c:v>
                </c:pt>
                <c:pt idx="19">
                  <c:v>-0.1616257708135406</c:v>
                </c:pt>
                <c:pt idx="20">
                  <c:v>-0.24097986569870977</c:v>
                </c:pt>
                <c:pt idx="21">
                  <c:v>-0.21606597921023002</c:v>
                </c:pt>
                <c:pt idx="22">
                  <c:v>0.21514513898538351</c:v>
                </c:pt>
                <c:pt idx="23">
                  <c:v>-0.13064671777998982</c:v>
                </c:pt>
                <c:pt idx="24">
                  <c:v>-4.0006784613153233E-2</c:v>
                </c:pt>
                <c:pt idx="25">
                  <c:v>-0.19213684348227064</c:v>
                </c:pt>
                <c:pt idx="26">
                  <c:v>-0.21769450921622832</c:v>
                </c:pt>
                <c:pt idx="27">
                  <c:v>4.2780837645805925E-2</c:v>
                </c:pt>
                <c:pt idx="28">
                  <c:v>-9.5939818062313938E-3</c:v>
                </c:pt>
                <c:pt idx="29">
                  <c:v>-0.29354885163447586</c:v>
                </c:pt>
                <c:pt idx="30">
                  <c:v>-0.18767712021459937</c:v>
                </c:pt>
                <c:pt idx="31">
                  <c:v>-9.7116792431580154E-2</c:v>
                </c:pt>
                <c:pt idx="32">
                  <c:v>2.6946351966333371E-2</c:v>
                </c:pt>
                <c:pt idx="33">
                  <c:v>3.5092642393346273E-2</c:v>
                </c:pt>
                <c:pt idx="34">
                  <c:v>-0.21380507217218181</c:v>
                </c:pt>
                <c:pt idx="35">
                  <c:v>-0.23658039850886703</c:v>
                </c:pt>
                <c:pt idx="36">
                  <c:v>-0.16941854797937722</c:v>
                </c:pt>
                <c:pt idx="37">
                  <c:v>5.2352119966745631E-2</c:v>
                </c:pt>
                <c:pt idx="38">
                  <c:v>0.19263254750238168</c:v>
                </c:pt>
                <c:pt idx="39">
                  <c:v>-3.7534647241411888E-2</c:v>
                </c:pt>
                <c:pt idx="40">
                  <c:v>-0.17765987856258086</c:v>
                </c:pt>
                <c:pt idx="41">
                  <c:v>0.29703554978150465</c:v>
                </c:pt>
                <c:pt idx="42">
                  <c:v>-0.15957917798215387</c:v>
                </c:pt>
                <c:pt idx="43">
                  <c:v>-8.3200956968570536E-2</c:v>
                </c:pt>
                <c:pt idx="44">
                  <c:v>0.3056673373574782</c:v>
                </c:pt>
                <c:pt idx="45">
                  <c:v>0.26434638491816864</c:v>
                </c:pt>
                <c:pt idx="46">
                  <c:v>-4.4693393384950028E-2</c:v>
                </c:pt>
                <c:pt idx="47">
                  <c:v>-8.4031534503232599E-2</c:v>
                </c:pt>
                <c:pt idx="48">
                  <c:v>-5.8953862534937762E-3</c:v>
                </c:pt>
                <c:pt idx="49">
                  <c:v>-0.20314882317894153</c:v>
                </c:pt>
                <c:pt idx="50">
                  <c:v>0.2095776850470347</c:v>
                </c:pt>
                <c:pt idx="51">
                  <c:v>4.9642175244845543E-2</c:v>
                </c:pt>
                <c:pt idx="52">
                  <c:v>0.35425007028919331</c:v>
                </c:pt>
                <c:pt idx="53">
                  <c:v>1.9566177541594419E-2</c:v>
                </c:pt>
                <c:pt idx="54">
                  <c:v>0.1382021117066432</c:v>
                </c:pt>
                <c:pt idx="55">
                  <c:v>-6.748499114904602E-2</c:v>
                </c:pt>
                <c:pt idx="56">
                  <c:v>0.11639635938702053</c:v>
                </c:pt>
                <c:pt idx="57">
                  <c:v>-3.5297233748913803E-2</c:v>
                </c:pt>
                <c:pt idx="58">
                  <c:v>2.0510319938192006E-2</c:v>
                </c:pt>
                <c:pt idx="59">
                  <c:v>-0.32206534861783442</c:v>
                </c:pt>
                <c:pt idx="60">
                  <c:v>0.19092963381018804</c:v>
                </c:pt>
                <c:pt idx="61">
                  <c:v>-5.2773514104278572E-2</c:v>
                </c:pt>
                <c:pt idx="62">
                  <c:v>-0.20080926173185265</c:v>
                </c:pt>
                <c:pt idx="63">
                  <c:v>-8.3431879773343209E-2</c:v>
                </c:pt>
                <c:pt idx="64">
                  <c:v>4.1850597132395723E-2</c:v>
                </c:pt>
                <c:pt idx="65">
                  <c:v>-3.383291636465665E-2</c:v>
                </c:pt>
                <c:pt idx="66">
                  <c:v>-5.4009471058260393E-2</c:v>
                </c:pt>
                <c:pt idx="67">
                  <c:v>-0.148054296892001</c:v>
                </c:pt>
                <c:pt idx="68">
                  <c:v>0.2628016411155828</c:v>
                </c:pt>
                <c:pt idx="69">
                  <c:v>2.6210494618110591E-2</c:v>
                </c:pt>
                <c:pt idx="70">
                  <c:v>0.2457844064778229</c:v>
                </c:pt>
                <c:pt idx="71">
                  <c:v>0.43761536213199226</c:v>
                </c:pt>
                <c:pt idx="72">
                  <c:v>-6.6681664062389165E-2</c:v>
                </c:pt>
                <c:pt idx="73">
                  <c:v>0.3204203799588089</c:v>
                </c:pt>
                <c:pt idx="74">
                  <c:v>-5.5513968374604379E-2</c:v>
                </c:pt>
                <c:pt idx="75">
                  <c:v>9.3816454472644931E-2</c:v>
                </c:pt>
                <c:pt idx="76">
                  <c:v>0.16492942904952795</c:v>
                </c:pt>
                <c:pt idx="77">
                  <c:v>0.34715525554484089</c:v>
                </c:pt>
                <c:pt idx="78">
                  <c:v>0.42810523144894064</c:v>
                </c:pt>
                <c:pt idx="79">
                  <c:v>-0.17408844944329543</c:v>
                </c:pt>
                <c:pt idx="80">
                  <c:v>0.1855197460953957</c:v>
                </c:pt>
                <c:pt idx="81">
                  <c:v>0.11049378006511108</c:v>
                </c:pt>
                <c:pt idx="82">
                  <c:v>0.13823535382241892</c:v>
                </c:pt>
                <c:pt idx="83">
                  <c:v>2.0635727792309023E-2</c:v>
                </c:pt>
                <c:pt idx="84">
                  <c:v>0.11518518267148996</c:v>
                </c:pt>
                <c:pt idx="85">
                  <c:v>0.30666060593348987</c:v>
                </c:pt>
                <c:pt idx="86">
                  <c:v>0.36045472818525676</c:v>
                </c:pt>
                <c:pt idx="87">
                  <c:v>3.130244186444741E-2</c:v>
                </c:pt>
                <c:pt idx="88">
                  <c:v>0.34477556473804827</c:v>
                </c:pt>
                <c:pt idx="89">
                  <c:v>0.21546212246659341</c:v>
                </c:pt>
                <c:pt idx="90">
                  <c:v>6.2447056988831899E-2</c:v>
                </c:pt>
                <c:pt idx="91">
                  <c:v>0.41064697354113811</c:v>
                </c:pt>
                <c:pt idx="92">
                  <c:v>2.8356900667701995E-2</c:v>
                </c:pt>
                <c:pt idx="93">
                  <c:v>0.17174638575849141</c:v>
                </c:pt>
                <c:pt idx="94">
                  <c:v>-7.7149426348448957E-2</c:v>
                </c:pt>
                <c:pt idx="95">
                  <c:v>0.11068787166254691</c:v>
                </c:pt>
                <c:pt idx="96">
                  <c:v>-0.34254040686400428</c:v>
                </c:pt>
                <c:pt idx="97">
                  <c:v>3.4080313081651117E-3</c:v>
                </c:pt>
                <c:pt idx="98">
                  <c:v>0.1310568696990225</c:v>
                </c:pt>
                <c:pt idx="99">
                  <c:v>0.210594336516299</c:v>
                </c:pt>
                <c:pt idx="100">
                  <c:v>0.25307575733177318</c:v>
                </c:pt>
                <c:pt idx="101">
                  <c:v>4.7195455613744906E-2</c:v>
                </c:pt>
                <c:pt idx="102">
                  <c:v>3.0305247390167545E-2</c:v>
                </c:pt>
                <c:pt idx="103">
                  <c:v>-6.6416225436546669E-2</c:v>
                </c:pt>
                <c:pt idx="104">
                  <c:v>0.19625825432557015</c:v>
                </c:pt>
                <c:pt idx="105">
                  <c:v>9.2239978466538378E-2</c:v>
                </c:pt>
                <c:pt idx="106">
                  <c:v>0.35220537069472913</c:v>
                </c:pt>
                <c:pt idx="107">
                  <c:v>-4.3202941148065041E-2</c:v>
                </c:pt>
                <c:pt idx="108">
                  <c:v>0.19488262938976889</c:v>
                </c:pt>
                <c:pt idx="109">
                  <c:v>0.14979331543244773</c:v>
                </c:pt>
                <c:pt idx="110">
                  <c:v>0.27209922755812105</c:v>
                </c:pt>
                <c:pt idx="111">
                  <c:v>0.50062601249283711</c:v>
                </c:pt>
                <c:pt idx="112">
                  <c:v>0.18834804692223969</c:v>
                </c:pt>
                <c:pt idx="113">
                  <c:v>0.12320178424324617</c:v>
                </c:pt>
                <c:pt idx="114">
                  <c:v>0.10634750760020978</c:v>
                </c:pt>
                <c:pt idx="115">
                  <c:v>0.33725429140417862</c:v>
                </c:pt>
                <c:pt idx="116">
                  <c:v>0.34420158714463439</c:v>
                </c:pt>
                <c:pt idx="117">
                  <c:v>0.29743909980964922</c:v>
                </c:pt>
                <c:pt idx="118">
                  <c:v>0.35636412722889443</c:v>
                </c:pt>
                <c:pt idx="119">
                  <c:v>0.15434104903624257</c:v>
                </c:pt>
              </c:numCache>
            </c:numRef>
          </c:xVal>
          <c:yVal>
            <c:numRef>
              <c:f>'Filtered Sample'!$C$2:$C$121</c:f>
              <c:numCache>
                <c:formatCode>#,##0.0_);\(#,##0.0\);0.0_);@_)</c:formatCode>
                <c:ptCount val="120"/>
                <c:pt idx="0">
                  <c:v>0.57648122410978131</c:v>
                </c:pt>
                <c:pt idx="1">
                  <c:v>7.8129506260335466</c:v>
                </c:pt>
                <c:pt idx="2">
                  <c:v>10.11253519451164</c:v>
                </c:pt>
                <c:pt idx="3">
                  <c:v>3.3714653832491841</c:v>
                </c:pt>
                <c:pt idx="4">
                  <c:v>12.266786806509231</c:v>
                </c:pt>
                <c:pt idx="5">
                  <c:v>1.6798325991189427</c:v>
                </c:pt>
                <c:pt idx="6">
                  <c:v>0.56028755020080312</c:v>
                </c:pt>
                <c:pt idx="7">
                  <c:v>5.8022321144674081</c:v>
                </c:pt>
                <c:pt idx="8">
                  <c:v>8.1596586177651069</c:v>
                </c:pt>
                <c:pt idx="9">
                  <c:v>6.4523526539411495</c:v>
                </c:pt>
                <c:pt idx="10">
                  <c:v>12.764006066393305</c:v>
                </c:pt>
                <c:pt idx="11">
                  <c:v>10.146867839840409</c:v>
                </c:pt>
                <c:pt idx="12">
                  <c:v>7.0694147705516315</c:v>
                </c:pt>
                <c:pt idx="13">
                  <c:v>1.0114658536585366</c:v>
                </c:pt>
                <c:pt idx="14">
                  <c:v>3.6584260968073057</c:v>
                </c:pt>
                <c:pt idx="15">
                  <c:v>6.3740109429466525</c:v>
                </c:pt>
                <c:pt idx="16">
                  <c:v>6.1000758770737011</c:v>
                </c:pt>
                <c:pt idx="17">
                  <c:v>3.9222766122766122</c:v>
                </c:pt>
                <c:pt idx="18">
                  <c:v>10.068368363264293</c:v>
                </c:pt>
                <c:pt idx="19">
                  <c:v>3.7473726905173033</c:v>
                </c:pt>
                <c:pt idx="20">
                  <c:v>5.8731444420696759</c:v>
                </c:pt>
                <c:pt idx="21">
                  <c:v>5.3155876836511409</c:v>
                </c:pt>
                <c:pt idx="22">
                  <c:v>4.0920802692105829</c:v>
                </c:pt>
                <c:pt idx="23">
                  <c:v>2.0835744808456407</c:v>
                </c:pt>
                <c:pt idx="24">
                  <c:v>1.2459494213459066</c:v>
                </c:pt>
                <c:pt idx="25">
                  <c:v>4.5647688752546358</c:v>
                </c:pt>
                <c:pt idx="26">
                  <c:v>4.3721659914652227</c:v>
                </c:pt>
                <c:pt idx="27">
                  <c:v>8.5238847539015605</c:v>
                </c:pt>
                <c:pt idx="28">
                  <c:v>5.8082102070701689</c:v>
                </c:pt>
                <c:pt idx="29">
                  <c:v>7.2610403592663362</c:v>
                </c:pt>
                <c:pt idx="30">
                  <c:v>3.8654935148642928</c:v>
                </c:pt>
                <c:pt idx="31">
                  <c:v>1.1807002329403935</c:v>
                </c:pt>
                <c:pt idx="32">
                  <c:v>2.9983473325766177</c:v>
                </c:pt>
                <c:pt idx="33">
                  <c:v>8.6234948708425652</c:v>
                </c:pt>
                <c:pt idx="34">
                  <c:v>5.5386857868663117</c:v>
                </c:pt>
                <c:pt idx="35">
                  <c:v>8.6079148104728418</c:v>
                </c:pt>
                <c:pt idx="36">
                  <c:v>8.4077397304365906</c:v>
                </c:pt>
                <c:pt idx="37">
                  <c:v>2.265671270718232</c:v>
                </c:pt>
                <c:pt idx="38">
                  <c:v>2.1019087009803923</c:v>
                </c:pt>
                <c:pt idx="39">
                  <c:v>6.5353081442171996</c:v>
                </c:pt>
                <c:pt idx="40">
                  <c:v>6.8447533077898379</c:v>
                </c:pt>
                <c:pt idx="41">
                  <c:v>5.4254390698714063</c:v>
                </c:pt>
                <c:pt idx="42">
                  <c:v>12.250370401026363</c:v>
                </c:pt>
                <c:pt idx="43">
                  <c:v>3.1340332336324357</c:v>
                </c:pt>
                <c:pt idx="44">
                  <c:v>7.9097525042591084</c:v>
                </c:pt>
                <c:pt idx="45">
                  <c:v>3.066665611468923</c:v>
                </c:pt>
                <c:pt idx="46">
                  <c:v>4.0996019037452189</c:v>
                </c:pt>
                <c:pt idx="47">
                  <c:v>5.7389390736787496</c:v>
                </c:pt>
                <c:pt idx="48">
                  <c:v>9.0551950609724976</c:v>
                </c:pt>
                <c:pt idx="49">
                  <c:v>8.9364435486722531</c:v>
                </c:pt>
                <c:pt idx="50">
                  <c:v>5.0794251385061777</c:v>
                </c:pt>
                <c:pt idx="51">
                  <c:v>3.5067365269461073</c:v>
                </c:pt>
                <c:pt idx="52">
                  <c:v>3.5420179179810725</c:v>
                </c:pt>
                <c:pt idx="53">
                  <c:v>4.1901921750377236</c:v>
                </c:pt>
                <c:pt idx="54">
                  <c:v>8.0015335934837513</c:v>
                </c:pt>
                <c:pt idx="55">
                  <c:v>4.0798187607151597</c:v>
                </c:pt>
                <c:pt idx="56">
                  <c:v>3.9416613922006789</c:v>
                </c:pt>
                <c:pt idx="57">
                  <c:v>7.7488244679249831</c:v>
                </c:pt>
                <c:pt idx="58">
                  <c:v>4.1780519729885413</c:v>
                </c:pt>
                <c:pt idx="59">
                  <c:v>3.1361184086605665</c:v>
                </c:pt>
                <c:pt idx="60">
                  <c:v>5.3269977455988604</c:v>
                </c:pt>
                <c:pt idx="61">
                  <c:v>2.9120112013441615</c:v>
                </c:pt>
                <c:pt idx="62">
                  <c:v>8.9237196782026444</c:v>
                </c:pt>
                <c:pt idx="63">
                  <c:v>10.536085746896847</c:v>
                </c:pt>
                <c:pt idx="64">
                  <c:v>4.6914530971126585</c:v>
                </c:pt>
                <c:pt idx="65">
                  <c:v>1.9981420626895856</c:v>
                </c:pt>
                <c:pt idx="66">
                  <c:v>5.2102507725858258</c:v>
                </c:pt>
                <c:pt idx="67">
                  <c:v>6.4028104385120033</c:v>
                </c:pt>
                <c:pt idx="68">
                  <c:v>8.3344293965673266</c:v>
                </c:pt>
                <c:pt idx="69">
                  <c:v>10.166276468778422</c:v>
                </c:pt>
                <c:pt idx="70">
                  <c:v>9.2100984931490704</c:v>
                </c:pt>
                <c:pt idx="71">
                  <c:v>12.568502068130735</c:v>
                </c:pt>
                <c:pt idx="72">
                  <c:v>2.0687725027599684</c:v>
                </c:pt>
                <c:pt idx="73">
                  <c:v>8.2728247227892098</c:v>
                </c:pt>
                <c:pt idx="74">
                  <c:v>8.490319800310715</c:v>
                </c:pt>
                <c:pt idx="75">
                  <c:v>1.3997070038910506</c:v>
                </c:pt>
                <c:pt idx="76">
                  <c:v>3.0714453294069579</c:v>
                </c:pt>
                <c:pt idx="77">
                  <c:v>4.1445323066153303</c:v>
                </c:pt>
                <c:pt idx="78">
                  <c:v>4.429887145357001</c:v>
                </c:pt>
                <c:pt idx="79">
                  <c:v>7.357837407128244</c:v>
                </c:pt>
                <c:pt idx="80">
                  <c:v>4.7479818606825619</c:v>
                </c:pt>
                <c:pt idx="81">
                  <c:v>7.0123354832491298</c:v>
                </c:pt>
                <c:pt idx="82">
                  <c:v>6.5048979458190175</c:v>
                </c:pt>
                <c:pt idx="83">
                  <c:v>2.0150768397535712</c:v>
                </c:pt>
                <c:pt idx="84">
                  <c:v>6.0755460940922488</c:v>
                </c:pt>
                <c:pt idx="85">
                  <c:v>4.8252930836079786</c:v>
                </c:pt>
                <c:pt idx="86">
                  <c:v>11.381009183694736</c:v>
                </c:pt>
                <c:pt idx="87">
                  <c:v>9.7891752187397572</c:v>
                </c:pt>
                <c:pt idx="88">
                  <c:v>3.3262405995961988</c:v>
                </c:pt>
                <c:pt idx="89">
                  <c:v>3.3401406603773585</c:v>
                </c:pt>
                <c:pt idx="90">
                  <c:v>5.4568475555797393</c:v>
                </c:pt>
                <c:pt idx="91">
                  <c:v>6.1767701915601814</c:v>
                </c:pt>
                <c:pt idx="92">
                  <c:v>2.955181786533017</c:v>
                </c:pt>
                <c:pt idx="93">
                  <c:v>3.1986545053245892</c:v>
                </c:pt>
                <c:pt idx="94">
                  <c:v>6.6749513014078792</c:v>
                </c:pt>
                <c:pt idx="95">
                  <c:v>7.2125454410523382</c:v>
                </c:pt>
                <c:pt idx="96">
                  <c:v>7.2118645836259514</c:v>
                </c:pt>
                <c:pt idx="97">
                  <c:v>7.8507875107814389</c:v>
                </c:pt>
                <c:pt idx="98">
                  <c:v>6.4736606852984853</c:v>
                </c:pt>
                <c:pt idx="99">
                  <c:v>4.8337773589754578</c:v>
                </c:pt>
                <c:pt idx="100">
                  <c:v>4.3292629004258751</c:v>
                </c:pt>
                <c:pt idx="101">
                  <c:v>7.7644892299367179</c:v>
                </c:pt>
                <c:pt idx="102">
                  <c:v>5.0900997981504945</c:v>
                </c:pt>
                <c:pt idx="103">
                  <c:v>8.7731952120848646</c:v>
                </c:pt>
                <c:pt idx="104">
                  <c:v>5.5983514970295474</c:v>
                </c:pt>
                <c:pt idx="105">
                  <c:v>2.6890396514513135</c:v>
                </c:pt>
                <c:pt idx="106">
                  <c:v>3.8518125773037823</c:v>
                </c:pt>
                <c:pt idx="107">
                  <c:v>4.0362890436273213</c:v>
                </c:pt>
                <c:pt idx="108">
                  <c:v>4.1098323278361049</c:v>
                </c:pt>
                <c:pt idx="109">
                  <c:v>2.2066003330557868</c:v>
                </c:pt>
                <c:pt idx="110">
                  <c:v>5.0464857499109375</c:v>
                </c:pt>
                <c:pt idx="111">
                  <c:v>6.62695871340149</c:v>
                </c:pt>
                <c:pt idx="112">
                  <c:v>9.7853713869322334</c:v>
                </c:pt>
                <c:pt idx="113">
                  <c:v>7.0749901682228113</c:v>
                </c:pt>
                <c:pt idx="114">
                  <c:v>5.2308952422745243</c:v>
                </c:pt>
                <c:pt idx="115">
                  <c:v>4.16037951302041</c:v>
                </c:pt>
                <c:pt idx="116">
                  <c:v>4.1965213012924441</c:v>
                </c:pt>
                <c:pt idx="117">
                  <c:v>11.913384585692228</c:v>
                </c:pt>
                <c:pt idx="118">
                  <c:v>3.4114083075348165</c:v>
                </c:pt>
                <c:pt idx="119">
                  <c:v>1.245534219269103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0FA-470E-8AC3-88F596685D09}"/>
            </c:ext>
          </c:extLst>
        </c:ser>
        <c:ser>
          <c:idx val="1"/>
          <c:order val="1"/>
          <c:tx>
            <c:v>Predicted EV/Rev</c:v>
          </c:tx>
          <c:spPr>
            <a:ln w="19050">
              <a:noFill/>
            </a:ln>
          </c:spPr>
          <c:xVal>
            <c:numRef>
              <c:f>'Filtered Sample'!$H$2:$H$121</c:f>
              <c:numCache>
                <c:formatCode>0%</c:formatCode>
                <c:ptCount val="120"/>
                <c:pt idx="0">
                  <c:v>-0.77476925974759847</c:v>
                </c:pt>
                <c:pt idx="1">
                  <c:v>-1.4617596107773396</c:v>
                </c:pt>
                <c:pt idx="2">
                  <c:v>-1.1143740340030912</c:v>
                </c:pt>
                <c:pt idx="3">
                  <c:v>-0.42935893194247121</c:v>
                </c:pt>
                <c:pt idx="4">
                  <c:v>4.5932971932313299E-2</c:v>
                </c:pt>
                <c:pt idx="5">
                  <c:v>-0.25936626435609172</c:v>
                </c:pt>
                <c:pt idx="6">
                  <c:v>-0.3627509739286785</c:v>
                </c:pt>
                <c:pt idx="7">
                  <c:v>0.25035919713763116</c:v>
                </c:pt>
                <c:pt idx="8">
                  <c:v>-4.4409677493748537E-2</c:v>
                </c:pt>
                <c:pt idx="9">
                  <c:v>6.1528731478135174E-2</c:v>
                </c:pt>
                <c:pt idx="10">
                  <c:v>-0.40360259948046345</c:v>
                </c:pt>
                <c:pt idx="11">
                  <c:v>-5.8508501807470879E-2</c:v>
                </c:pt>
                <c:pt idx="12">
                  <c:v>-0.12485180339031537</c:v>
                </c:pt>
                <c:pt idx="13">
                  <c:v>-0.18292972351403164</c:v>
                </c:pt>
                <c:pt idx="14">
                  <c:v>-0.52720814709237873</c:v>
                </c:pt>
                <c:pt idx="15">
                  <c:v>-0.29694347402076365</c:v>
                </c:pt>
                <c:pt idx="16">
                  <c:v>-0.2867072605783651</c:v>
                </c:pt>
                <c:pt idx="17">
                  <c:v>-0.38988999968660876</c:v>
                </c:pt>
                <c:pt idx="18">
                  <c:v>-0.19213006120590004</c:v>
                </c:pt>
                <c:pt idx="19">
                  <c:v>-0.1616257708135406</c:v>
                </c:pt>
                <c:pt idx="20">
                  <c:v>-0.24097986569870977</c:v>
                </c:pt>
                <c:pt idx="21">
                  <c:v>-0.21606597921023002</c:v>
                </c:pt>
                <c:pt idx="22">
                  <c:v>0.21514513898538351</c:v>
                </c:pt>
                <c:pt idx="23">
                  <c:v>-0.13064671777998982</c:v>
                </c:pt>
                <c:pt idx="24">
                  <c:v>-4.0006784613153233E-2</c:v>
                </c:pt>
                <c:pt idx="25">
                  <c:v>-0.19213684348227064</c:v>
                </c:pt>
                <c:pt idx="26">
                  <c:v>-0.21769450921622832</c:v>
                </c:pt>
                <c:pt idx="27">
                  <c:v>4.2780837645805925E-2</c:v>
                </c:pt>
                <c:pt idx="28">
                  <c:v>-9.5939818062313938E-3</c:v>
                </c:pt>
                <c:pt idx="29">
                  <c:v>-0.29354885163447586</c:v>
                </c:pt>
                <c:pt idx="30">
                  <c:v>-0.18767712021459937</c:v>
                </c:pt>
                <c:pt idx="31">
                  <c:v>-9.7116792431580154E-2</c:v>
                </c:pt>
                <c:pt idx="32">
                  <c:v>2.6946351966333371E-2</c:v>
                </c:pt>
                <c:pt idx="33">
                  <c:v>3.5092642393346273E-2</c:v>
                </c:pt>
                <c:pt idx="34">
                  <c:v>-0.21380507217218181</c:v>
                </c:pt>
                <c:pt idx="35">
                  <c:v>-0.23658039850886703</c:v>
                </c:pt>
                <c:pt idx="36">
                  <c:v>-0.16941854797937722</c:v>
                </c:pt>
                <c:pt idx="37">
                  <c:v>5.2352119966745631E-2</c:v>
                </c:pt>
                <c:pt idx="38">
                  <c:v>0.19263254750238168</c:v>
                </c:pt>
                <c:pt idx="39">
                  <c:v>-3.7534647241411888E-2</c:v>
                </c:pt>
                <c:pt idx="40">
                  <c:v>-0.17765987856258086</c:v>
                </c:pt>
                <c:pt idx="41">
                  <c:v>0.29703554978150465</c:v>
                </c:pt>
                <c:pt idx="42">
                  <c:v>-0.15957917798215387</c:v>
                </c:pt>
                <c:pt idx="43">
                  <c:v>-8.3200956968570536E-2</c:v>
                </c:pt>
                <c:pt idx="44">
                  <c:v>0.3056673373574782</c:v>
                </c:pt>
                <c:pt idx="45">
                  <c:v>0.26434638491816864</c:v>
                </c:pt>
                <c:pt idx="46">
                  <c:v>-4.4693393384950028E-2</c:v>
                </c:pt>
                <c:pt idx="47">
                  <c:v>-8.4031534503232599E-2</c:v>
                </c:pt>
                <c:pt idx="48">
                  <c:v>-5.8953862534937762E-3</c:v>
                </c:pt>
                <c:pt idx="49">
                  <c:v>-0.20314882317894153</c:v>
                </c:pt>
                <c:pt idx="50">
                  <c:v>0.2095776850470347</c:v>
                </c:pt>
                <c:pt idx="51">
                  <c:v>4.9642175244845543E-2</c:v>
                </c:pt>
                <c:pt idx="52">
                  <c:v>0.35425007028919331</c:v>
                </c:pt>
                <c:pt idx="53">
                  <c:v>1.9566177541594419E-2</c:v>
                </c:pt>
                <c:pt idx="54">
                  <c:v>0.1382021117066432</c:v>
                </c:pt>
                <c:pt idx="55">
                  <c:v>-6.748499114904602E-2</c:v>
                </c:pt>
                <c:pt idx="56">
                  <c:v>0.11639635938702053</c:v>
                </c:pt>
                <c:pt idx="57">
                  <c:v>-3.5297233748913803E-2</c:v>
                </c:pt>
                <c:pt idx="58">
                  <c:v>2.0510319938192006E-2</c:v>
                </c:pt>
                <c:pt idx="59">
                  <c:v>-0.32206534861783442</c:v>
                </c:pt>
                <c:pt idx="60">
                  <c:v>0.19092963381018804</c:v>
                </c:pt>
                <c:pt idx="61">
                  <c:v>-5.2773514104278572E-2</c:v>
                </c:pt>
                <c:pt idx="62">
                  <c:v>-0.20080926173185265</c:v>
                </c:pt>
                <c:pt idx="63">
                  <c:v>-8.3431879773343209E-2</c:v>
                </c:pt>
                <c:pt idx="64">
                  <c:v>4.1850597132395723E-2</c:v>
                </c:pt>
                <c:pt idx="65">
                  <c:v>-3.383291636465665E-2</c:v>
                </c:pt>
                <c:pt idx="66">
                  <c:v>-5.4009471058260393E-2</c:v>
                </c:pt>
                <c:pt idx="67">
                  <c:v>-0.148054296892001</c:v>
                </c:pt>
                <c:pt idx="68">
                  <c:v>0.2628016411155828</c:v>
                </c:pt>
                <c:pt idx="69">
                  <c:v>2.6210494618110591E-2</c:v>
                </c:pt>
                <c:pt idx="70">
                  <c:v>0.2457844064778229</c:v>
                </c:pt>
                <c:pt idx="71">
                  <c:v>0.43761536213199226</c:v>
                </c:pt>
                <c:pt idx="72">
                  <c:v>-6.6681664062389165E-2</c:v>
                </c:pt>
                <c:pt idx="73">
                  <c:v>0.3204203799588089</c:v>
                </c:pt>
                <c:pt idx="74">
                  <c:v>-5.5513968374604379E-2</c:v>
                </c:pt>
                <c:pt idx="75">
                  <c:v>9.3816454472644931E-2</c:v>
                </c:pt>
                <c:pt idx="76">
                  <c:v>0.16492942904952795</c:v>
                </c:pt>
                <c:pt idx="77">
                  <c:v>0.34715525554484089</c:v>
                </c:pt>
                <c:pt idx="78">
                  <c:v>0.42810523144894064</c:v>
                </c:pt>
                <c:pt idx="79">
                  <c:v>-0.17408844944329543</c:v>
                </c:pt>
                <c:pt idx="80">
                  <c:v>0.1855197460953957</c:v>
                </c:pt>
                <c:pt idx="81">
                  <c:v>0.11049378006511108</c:v>
                </c:pt>
                <c:pt idx="82">
                  <c:v>0.13823535382241892</c:v>
                </c:pt>
                <c:pt idx="83">
                  <c:v>2.0635727792309023E-2</c:v>
                </c:pt>
                <c:pt idx="84">
                  <c:v>0.11518518267148996</c:v>
                </c:pt>
                <c:pt idx="85">
                  <c:v>0.30666060593348987</c:v>
                </c:pt>
                <c:pt idx="86">
                  <c:v>0.36045472818525676</c:v>
                </c:pt>
                <c:pt idx="87">
                  <c:v>3.130244186444741E-2</c:v>
                </c:pt>
                <c:pt idx="88">
                  <c:v>0.34477556473804827</c:v>
                </c:pt>
                <c:pt idx="89">
                  <c:v>0.21546212246659341</c:v>
                </c:pt>
                <c:pt idx="90">
                  <c:v>6.2447056988831899E-2</c:v>
                </c:pt>
                <c:pt idx="91">
                  <c:v>0.41064697354113811</c:v>
                </c:pt>
                <c:pt idx="92">
                  <c:v>2.8356900667701995E-2</c:v>
                </c:pt>
                <c:pt idx="93">
                  <c:v>0.17174638575849141</c:v>
                </c:pt>
                <c:pt idx="94">
                  <c:v>-7.7149426348448957E-2</c:v>
                </c:pt>
                <c:pt idx="95">
                  <c:v>0.11068787166254691</c:v>
                </c:pt>
                <c:pt idx="96">
                  <c:v>-0.34254040686400428</c:v>
                </c:pt>
                <c:pt idx="97">
                  <c:v>3.4080313081651117E-3</c:v>
                </c:pt>
                <c:pt idx="98">
                  <c:v>0.1310568696990225</c:v>
                </c:pt>
                <c:pt idx="99">
                  <c:v>0.210594336516299</c:v>
                </c:pt>
                <c:pt idx="100">
                  <c:v>0.25307575733177318</c:v>
                </c:pt>
                <c:pt idx="101">
                  <c:v>4.7195455613744906E-2</c:v>
                </c:pt>
                <c:pt idx="102">
                  <c:v>3.0305247390167545E-2</c:v>
                </c:pt>
                <c:pt idx="103">
                  <c:v>-6.6416225436546669E-2</c:v>
                </c:pt>
                <c:pt idx="104">
                  <c:v>0.19625825432557015</c:v>
                </c:pt>
                <c:pt idx="105">
                  <c:v>9.2239978466538378E-2</c:v>
                </c:pt>
                <c:pt idx="106">
                  <c:v>0.35220537069472913</c:v>
                </c:pt>
                <c:pt idx="107">
                  <c:v>-4.3202941148065041E-2</c:v>
                </c:pt>
                <c:pt idx="108">
                  <c:v>0.19488262938976889</c:v>
                </c:pt>
                <c:pt idx="109">
                  <c:v>0.14979331543244773</c:v>
                </c:pt>
                <c:pt idx="110">
                  <c:v>0.27209922755812105</c:v>
                </c:pt>
                <c:pt idx="111">
                  <c:v>0.50062601249283711</c:v>
                </c:pt>
                <c:pt idx="112">
                  <c:v>0.18834804692223969</c:v>
                </c:pt>
                <c:pt idx="113">
                  <c:v>0.12320178424324617</c:v>
                </c:pt>
                <c:pt idx="114">
                  <c:v>0.10634750760020978</c:v>
                </c:pt>
                <c:pt idx="115">
                  <c:v>0.33725429140417862</c:v>
                </c:pt>
                <c:pt idx="116">
                  <c:v>0.34420158714463439</c:v>
                </c:pt>
                <c:pt idx="117">
                  <c:v>0.29743909980964922</c:v>
                </c:pt>
                <c:pt idx="118">
                  <c:v>0.35636412722889443</c:v>
                </c:pt>
                <c:pt idx="119">
                  <c:v>0.15434104903624257</c:v>
                </c:pt>
              </c:numCache>
            </c:numRef>
          </c:xVal>
          <c:yVal>
            <c:numRef>
              <c:f>'Filtered Output'!$B$34:$B$153</c:f>
              <c:numCache>
                <c:formatCode>General</c:formatCode>
                <c:ptCount val="120"/>
                <c:pt idx="0">
                  <c:v>6.831336748277252</c:v>
                </c:pt>
                <c:pt idx="1">
                  <c:v>5.4741213688361228</c:v>
                </c:pt>
                <c:pt idx="2">
                  <c:v>4.2149817996501646</c:v>
                </c:pt>
                <c:pt idx="3">
                  <c:v>4.1656997720974651</c:v>
                </c:pt>
                <c:pt idx="4">
                  <c:v>7.0412352623512264</c:v>
                </c:pt>
                <c:pt idx="5">
                  <c:v>5.637885463090953</c:v>
                </c:pt>
                <c:pt idx="6">
                  <c:v>3.2843803239666127</c:v>
                </c:pt>
                <c:pt idx="7">
                  <c:v>5.271063988370198</c:v>
                </c:pt>
                <c:pt idx="8">
                  <c:v>5.5855528715550085</c:v>
                </c:pt>
                <c:pt idx="9">
                  <c:v>5.4671383741151462</c:v>
                </c:pt>
                <c:pt idx="10">
                  <c:v>9.625549506716542</c:v>
                </c:pt>
                <c:pt idx="11">
                  <c:v>6.8646200725212756</c:v>
                </c:pt>
                <c:pt idx="12">
                  <c:v>5.7395366134855221</c:v>
                </c:pt>
                <c:pt idx="13">
                  <c:v>3.4690548421810687</c:v>
                </c:pt>
                <c:pt idx="14">
                  <c:v>6.0380041797036359</c:v>
                </c:pt>
                <c:pt idx="15">
                  <c:v>7.1934921010749848</c:v>
                </c:pt>
                <c:pt idx="16">
                  <c:v>5.5852384389740486</c:v>
                </c:pt>
                <c:pt idx="17">
                  <c:v>5.4674001827196363</c:v>
                </c:pt>
                <c:pt idx="18">
                  <c:v>8.750899694111256</c:v>
                </c:pt>
                <c:pt idx="19">
                  <c:v>4.4973445237899385</c:v>
                </c:pt>
                <c:pt idx="20">
                  <c:v>4.3664998923891947</c:v>
                </c:pt>
                <c:pt idx="21">
                  <c:v>5.2755493651705478</c:v>
                </c:pt>
                <c:pt idx="22">
                  <c:v>4.8104526533721677</c:v>
                </c:pt>
                <c:pt idx="23">
                  <c:v>7.1939137646912359</c:v>
                </c:pt>
                <c:pt idx="24">
                  <c:v>4.8660975215083733</c:v>
                </c:pt>
                <c:pt idx="25">
                  <c:v>5.0715226751320595</c:v>
                </c:pt>
                <c:pt idx="26">
                  <c:v>6.0484656613897281</c:v>
                </c:pt>
                <c:pt idx="27">
                  <c:v>3.5323004869229546</c:v>
                </c:pt>
                <c:pt idx="28">
                  <c:v>5.4134123386227557</c:v>
                </c:pt>
                <c:pt idx="29">
                  <c:v>9.0930038896035477</c:v>
                </c:pt>
                <c:pt idx="30">
                  <c:v>5.9644442429738129</c:v>
                </c:pt>
                <c:pt idx="31">
                  <c:v>4.8662329483203681</c:v>
                </c:pt>
                <c:pt idx="32">
                  <c:v>4.185906024943896</c:v>
                </c:pt>
                <c:pt idx="33">
                  <c:v>6.106805662603227</c:v>
                </c:pt>
                <c:pt idx="34">
                  <c:v>5.6516354006623315</c:v>
                </c:pt>
                <c:pt idx="35">
                  <c:v>6.1373015655432122</c:v>
                </c:pt>
                <c:pt idx="36">
                  <c:v>6.4783214239950375</c:v>
                </c:pt>
                <c:pt idx="37">
                  <c:v>3.7153173316846333</c:v>
                </c:pt>
                <c:pt idx="38">
                  <c:v>5.7739512450529471</c:v>
                </c:pt>
                <c:pt idx="39">
                  <c:v>6.3497434116467488</c:v>
                </c:pt>
                <c:pt idx="40">
                  <c:v>7.1070053627717176</c:v>
                </c:pt>
                <c:pt idx="41">
                  <c:v>5.3386859665584474</c:v>
                </c:pt>
                <c:pt idx="42">
                  <c:v>5.9379124598901178</c:v>
                </c:pt>
                <c:pt idx="43">
                  <c:v>3.7617266744691245</c:v>
                </c:pt>
                <c:pt idx="44">
                  <c:v>5.8903334157735987</c:v>
                </c:pt>
                <c:pt idx="45">
                  <c:v>5.0014162326358784</c:v>
                </c:pt>
                <c:pt idx="46">
                  <c:v>3.44241738645345</c:v>
                </c:pt>
                <c:pt idx="47">
                  <c:v>7.2468203073919613</c:v>
                </c:pt>
                <c:pt idx="48">
                  <c:v>7.1939118145853183</c:v>
                </c:pt>
                <c:pt idx="49">
                  <c:v>6.8039023371462006</c:v>
                </c:pt>
                <c:pt idx="50">
                  <c:v>4.6170978674126104</c:v>
                </c:pt>
                <c:pt idx="51">
                  <c:v>6.8170238487729762</c:v>
                </c:pt>
                <c:pt idx="52">
                  <c:v>5.3461271534007029</c:v>
                </c:pt>
                <c:pt idx="53">
                  <c:v>4.4663747940201608</c:v>
                </c:pt>
                <c:pt idx="54">
                  <c:v>5.1432437625344996</c:v>
                </c:pt>
                <c:pt idx="55">
                  <c:v>5.5262207033811288</c:v>
                </c:pt>
                <c:pt idx="56">
                  <c:v>8.2754461173909508</c:v>
                </c:pt>
                <c:pt idx="57">
                  <c:v>4.3597303148294158</c:v>
                </c:pt>
                <c:pt idx="58">
                  <c:v>5.8485041595949179</c:v>
                </c:pt>
                <c:pt idx="59">
                  <c:v>6.5058823202392944</c:v>
                </c:pt>
                <c:pt idx="60">
                  <c:v>6.3428695621889739</c:v>
                </c:pt>
                <c:pt idx="61">
                  <c:v>3.9091025550084417</c:v>
                </c:pt>
                <c:pt idx="62">
                  <c:v>6.9939915109406527</c:v>
                </c:pt>
                <c:pt idx="63">
                  <c:v>8.3866298533258732</c:v>
                </c:pt>
                <c:pt idx="64">
                  <c:v>5.6258938026952103</c:v>
                </c:pt>
                <c:pt idx="65">
                  <c:v>5.6611288334120307</c:v>
                </c:pt>
                <c:pt idx="66">
                  <c:v>6.6943037555037712</c:v>
                </c:pt>
                <c:pt idx="67">
                  <c:v>4.5215558440028607</c:v>
                </c:pt>
                <c:pt idx="68">
                  <c:v>6.0106268426918712</c:v>
                </c:pt>
                <c:pt idx="69">
                  <c:v>6.8092259683502956</c:v>
                </c:pt>
                <c:pt idx="70">
                  <c:v>5.5344313828947689</c:v>
                </c:pt>
                <c:pt idx="71">
                  <c:v>6.4725019997150257</c:v>
                </c:pt>
                <c:pt idx="72">
                  <c:v>3.7143299473003162</c:v>
                </c:pt>
                <c:pt idx="73">
                  <c:v>5.5449793888961594</c:v>
                </c:pt>
                <c:pt idx="74">
                  <c:v>7.1833375485487467</c:v>
                </c:pt>
                <c:pt idx="75">
                  <c:v>5.4640634922369236</c:v>
                </c:pt>
                <c:pt idx="76">
                  <c:v>5.5881245338726027</c:v>
                </c:pt>
                <c:pt idx="77">
                  <c:v>5.9429221546398505</c:v>
                </c:pt>
                <c:pt idx="78">
                  <c:v>5.1390592665265062</c:v>
                </c:pt>
                <c:pt idx="79">
                  <c:v>7.323840526819299</c:v>
                </c:pt>
                <c:pt idx="80">
                  <c:v>4.7156611514033502</c:v>
                </c:pt>
                <c:pt idx="81">
                  <c:v>5.1481515982069403</c:v>
                </c:pt>
                <c:pt idx="82">
                  <c:v>4.0212270351283843</c:v>
                </c:pt>
                <c:pt idx="83">
                  <c:v>3.3059046287164486</c:v>
                </c:pt>
                <c:pt idx="84">
                  <c:v>6.7591938151910211</c:v>
                </c:pt>
                <c:pt idx="85">
                  <c:v>5.7518508495141445</c:v>
                </c:pt>
                <c:pt idx="86">
                  <c:v>6.8903743002108238</c:v>
                </c:pt>
                <c:pt idx="87">
                  <c:v>5.8636992203175939</c:v>
                </c:pt>
                <c:pt idx="88">
                  <c:v>5.851320292596613</c:v>
                </c:pt>
                <c:pt idx="89">
                  <c:v>3.9129420544543088</c:v>
                </c:pt>
                <c:pt idx="90">
                  <c:v>6.3802078459490215</c:v>
                </c:pt>
                <c:pt idx="91">
                  <c:v>4.6243645443739947</c:v>
                </c:pt>
                <c:pt idx="92">
                  <c:v>6.3096336842761191</c:v>
                </c:pt>
                <c:pt idx="93">
                  <c:v>3.9373989095566428</c:v>
                </c:pt>
                <c:pt idx="94">
                  <c:v>8.240602561161813</c:v>
                </c:pt>
                <c:pt idx="95">
                  <c:v>6.2003340425884943</c:v>
                </c:pt>
                <c:pt idx="96">
                  <c:v>7.1086912389692909</c:v>
                </c:pt>
                <c:pt idx="97">
                  <c:v>6.6988259016627589</c:v>
                </c:pt>
                <c:pt idx="98">
                  <c:v>5.8879693322954374</c:v>
                </c:pt>
                <c:pt idx="99">
                  <c:v>6.8124495321124927</c:v>
                </c:pt>
                <c:pt idx="100">
                  <c:v>7.519476187681998</c:v>
                </c:pt>
                <c:pt idx="101">
                  <c:v>4.9043528309781275</c:v>
                </c:pt>
                <c:pt idx="102">
                  <c:v>5.1627829209417726</c:v>
                </c:pt>
                <c:pt idx="103">
                  <c:v>6.9172431669514127</c:v>
                </c:pt>
                <c:pt idx="104">
                  <c:v>5.2597771780976617</c:v>
                </c:pt>
                <c:pt idx="105">
                  <c:v>5.5711935109212165</c:v>
                </c:pt>
                <c:pt idx="106">
                  <c:v>4.6559524303917943</c:v>
                </c:pt>
                <c:pt idx="107">
                  <c:v>5.7103790805007035</c:v>
                </c:pt>
                <c:pt idx="108">
                  <c:v>3.7314724686154692</c:v>
                </c:pt>
                <c:pt idx="109">
                  <c:v>3.7658846295658788</c:v>
                </c:pt>
                <c:pt idx="110">
                  <c:v>3.6632296594025124</c:v>
                </c:pt>
                <c:pt idx="111">
                  <c:v>6.0426688408794984</c:v>
                </c:pt>
                <c:pt idx="112">
                  <c:v>5.5206811839069552</c:v>
                </c:pt>
                <c:pt idx="113">
                  <c:v>5.2675513128108049</c:v>
                </c:pt>
                <c:pt idx="114">
                  <c:v>5.050272213684627</c:v>
                </c:pt>
                <c:pt idx="115">
                  <c:v>5.7917389253228162</c:v>
                </c:pt>
                <c:pt idx="116">
                  <c:v>8.2299896341995584</c:v>
                </c:pt>
                <c:pt idx="117">
                  <c:v>7.3582227578831203</c:v>
                </c:pt>
                <c:pt idx="118">
                  <c:v>6.7961226510940129</c:v>
                </c:pt>
                <c:pt idx="119">
                  <c:v>2.5699463426707325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0FA-470E-8AC3-88F596685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146320"/>
        <c:axId val="809146712"/>
      </c:scatterChart>
      <c:valAx>
        <c:axId val="809146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EBITDA Margin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809146712"/>
        <c:crosses val="autoZero"/>
        <c:crossBetween val="midCat"/>
      </c:valAx>
      <c:valAx>
        <c:axId val="8091467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EV/Rev</a:t>
                </a:r>
              </a:p>
            </c:rich>
          </c:tx>
          <c:overlay val="0"/>
        </c:title>
        <c:numFmt formatCode="#,##0.0_);\(#,##0.0\);0.0_);@_)" sourceLinked="1"/>
        <c:majorTickMark val="out"/>
        <c:minorTickMark val="none"/>
        <c:tickLblPos val="nextTo"/>
        <c:crossAx val="8091463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Profit Margin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EV/Rev</c:v>
          </c:tx>
          <c:spPr>
            <a:ln w="19050">
              <a:noFill/>
            </a:ln>
          </c:spPr>
          <c:xVal>
            <c:numRef>
              <c:f>'Filtered Sample'!$I$2:$I$121</c:f>
              <c:numCache>
                <c:formatCode>0%</c:formatCode>
                <c:ptCount val="120"/>
                <c:pt idx="0">
                  <c:v>-0.81159625164814475</c:v>
                </c:pt>
                <c:pt idx="1">
                  <c:v>-1.6269396631159929</c:v>
                </c:pt>
                <c:pt idx="2">
                  <c:v>-1.1697714146262099</c:v>
                </c:pt>
                <c:pt idx="3">
                  <c:v>-0.44895429908724671</c:v>
                </c:pt>
                <c:pt idx="4">
                  <c:v>-0.31811310458675307</c:v>
                </c:pt>
                <c:pt idx="5">
                  <c:v>-0.28542567914031614</c:v>
                </c:pt>
                <c:pt idx="6">
                  <c:v>-0.62696531372440323</c:v>
                </c:pt>
                <c:pt idx="7">
                  <c:v>0.16792960779188498</c:v>
                </c:pt>
                <c:pt idx="8">
                  <c:v>-0.137903072523548</c:v>
                </c:pt>
                <c:pt idx="9">
                  <c:v>-4.517528008673654E-2</c:v>
                </c:pt>
                <c:pt idx="10">
                  <c:v>-0.44139034453003517</c:v>
                </c:pt>
                <c:pt idx="11">
                  <c:v>-0.13449689685759542</c:v>
                </c:pt>
                <c:pt idx="12">
                  <c:v>-0.14799918208566143</c:v>
                </c:pt>
                <c:pt idx="13">
                  <c:v>-0.39573463359162725</c:v>
                </c:pt>
                <c:pt idx="14">
                  <c:v>-0.57156338979545007</c:v>
                </c:pt>
                <c:pt idx="15">
                  <c:v>-0.34458133247744022</c:v>
                </c:pt>
                <c:pt idx="16">
                  <c:v>-0.32097260499846886</c:v>
                </c:pt>
                <c:pt idx="17">
                  <c:v>-0.65422214829671888</c:v>
                </c:pt>
                <c:pt idx="18">
                  <c:v>-0.21851944579096239</c:v>
                </c:pt>
                <c:pt idx="19">
                  <c:v>-0.32442046693600513</c:v>
                </c:pt>
                <c:pt idx="20">
                  <c:v>-0.3447641020578105</c:v>
                </c:pt>
                <c:pt idx="21">
                  <c:v>-0.23881920127653916</c:v>
                </c:pt>
                <c:pt idx="22">
                  <c:v>0.12152605918890333</c:v>
                </c:pt>
                <c:pt idx="23">
                  <c:v>-0.27934203627576876</c:v>
                </c:pt>
                <c:pt idx="24">
                  <c:v>-8.4296520423600627E-2</c:v>
                </c:pt>
                <c:pt idx="25">
                  <c:v>-0.25167377453250095</c:v>
                </c:pt>
                <c:pt idx="26">
                  <c:v>-0.2655258416875409</c:v>
                </c:pt>
                <c:pt idx="27">
                  <c:v>5.3461994018760582E-2</c:v>
                </c:pt>
                <c:pt idx="28">
                  <c:v>-0.23347012720172772</c:v>
                </c:pt>
                <c:pt idx="29">
                  <c:v>-0.31713433716531614</c:v>
                </c:pt>
                <c:pt idx="30">
                  <c:v>-0.27097319670889908</c:v>
                </c:pt>
                <c:pt idx="31">
                  <c:v>-0.13914855276495103</c:v>
                </c:pt>
                <c:pt idx="32">
                  <c:v>-3.2454695222405273E-2</c:v>
                </c:pt>
                <c:pt idx="33">
                  <c:v>-3.6651622508554908E-2</c:v>
                </c:pt>
                <c:pt idx="34">
                  <c:v>-0.24352193410726553</c:v>
                </c:pt>
                <c:pt idx="35">
                  <c:v>-0.28080821314150284</c:v>
                </c:pt>
                <c:pt idx="36">
                  <c:v>-0.22722663595105191</c:v>
                </c:pt>
                <c:pt idx="37">
                  <c:v>-4.2261141001709773E-2</c:v>
                </c:pt>
                <c:pt idx="38">
                  <c:v>5.4889192725901793E-2</c:v>
                </c:pt>
                <c:pt idx="39">
                  <c:v>-0.12790277669230971</c:v>
                </c:pt>
                <c:pt idx="40">
                  <c:v>-0.22092738611271831</c:v>
                </c:pt>
                <c:pt idx="41">
                  <c:v>0.40103169059199528</c:v>
                </c:pt>
                <c:pt idx="42">
                  <c:v>-0.22516716492845568</c:v>
                </c:pt>
                <c:pt idx="43">
                  <c:v>-0.19867034104867806</c:v>
                </c:pt>
                <c:pt idx="44">
                  <c:v>0.21276932914404878</c:v>
                </c:pt>
                <c:pt idx="45">
                  <c:v>8.5428483887666037E-2</c:v>
                </c:pt>
                <c:pt idx="46">
                  <c:v>-0.15946938451776649</c:v>
                </c:pt>
                <c:pt idx="47">
                  <c:v>-0.10523436469191186</c:v>
                </c:pt>
                <c:pt idx="48">
                  <c:v>-8.7178644035064382E-2</c:v>
                </c:pt>
                <c:pt idx="49">
                  <c:v>-0.25911901444461649</c:v>
                </c:pt>
                <c:pt idx="50">
                  <c:v>0.14413653216825575</c:v>
                </c:pt>
                <c:pt idx="51">
                  <c:v>-2.1799151110561674E-2</c:v>
                </c:pt>
                <c:pt idx="52">
                  <c:v>0.16390927344611117</c:v>
                </c:pt>
                <c:pt idx="53">
                  <c:v>1.9614338271570129E-2</c:v>
                </c:pt>
                <c:pt idx="54">
                  <c:v>3.955165157037363E-2</c:v>
                </c:pt>
                <c:pt idx="55">
                  <c:v>-0.10987946987452818</c:v>
                </c:pt>
                <c:pt idx="56">
                  <c:v>5.3675170497600407E-2</c:v>
                </c:pt>
                <c:pt idx="57">
                  <c:v>-0.11313237392019553</c:v>
                </c:pt>
                <c:pt idx="58">
                  <c:v>-6.636852248580738E-2</c:v>
                </c:pt>
                <c:pt idx="59">
                  <c:v>-0.35757347546418328</c:v>
                </c:pt>
                <c:pt idx="60">
                  <c:v>0.13211163371598883</c:v>
                </c:pt>
                <c:pt idx="61">
                  <c:v>-0.12710149340941534</c:v>
                </c:pt>
                <c:pt idx="62">
                  <c:v>-0.3190529846614778</c:v>
                </c:pt>
                <c:pt idx="63">
                  <c:v>-0.12112952697708795</c:v>
                </c:pt>
                <c:pt idx="64">
                  <c:v>-3.8488770243618048E-2</c:v>
                </c:pt>
                <c:pt idx="65">
                  <c:v>-8.1343964086137158E-2</c:v>
                </c:pt>
                <c:pt idx="66">
                  <c:v>-0.10750678901855586</c:v>
                </c:pt>
                <c:pt idx="67">
                  <c:v>-0.16283748168422885</c:v>
                </c:pt>
                <c:pt idx="68">
                  <c:v>0.166605485032055</c:v>
                </c:pt>
                <c:pt idx="69">
                  <c:v>-3.9516806217013457E-2</c:v>
                </c:pt>
                <c:pt idx="70">
                  <c:v>0.14145890144137127</c:v>
                </c:pt>
                <c:pt idx="71">
                  <c:v>0.30083750676574428</c:v>
                </c:pt>
                <c:pt idx="72">
                  <c:v>-0.10494352130105246</c:v>
                </c:pt>
                <c:pt idx="73">
                  <c:v>0.12069220256770544</c:v>
                </c:pt>
                <c:pt idx="74">
                  <c:v>-0.1265161452563327</c:v>
                </c:pt>
                <c:pt idx="75">
                  <c:v>8.3248837108374787E-2</c:v>
                </c:pt>
                <c:pt idx="76">
                  <c:v>6.3183463541559445E-2</c:v>
                </c:pt>
                <c:pt idx="77">
                  <c:v>0.18998194877144337</c:v>
                </c:pt>
                <c:pt idx="78">
                  <c:v>0.2829972991471616</c:v>
                </c:pt>
                <c:pt idx="79">
                  <c:v>-0.19658894523613904</c:v>
                </c:pt>
                <c:pt idx="80">
                  <c:v>4.177908225325213E-2</c:v>
                </c:pt>
                <c:pt idx="81">
                  <c:v>4.5352465055309668E-2</c:v>
                </c:pt>
                <c:pt idx="82">
                  <c:v>1.0832333013623581E-2</c:v>
                </c:pt>
                <c:pt idx="83">
                  <c:v>-3.6627147080944304E-3</c:v>
                </c:pt>
                <c:pt idx="84">
                  <c:v>9.1813351439375343E-2</c:v>
                </c:pt>
                <c:pt idx="85">
                  <c:v>0.2030865917039695</c:v>
                </c:pt>
                <c:pt idx="86">
                  <c:v>0.28179107087920752</c:v>
                </c:pt>
                <c:pt idx="87">
                  <c:v>-0.15712901126750914</c:v>
                </c:pt>
                <c:pt idx="88">
                  <c:v>7.5428893232798611E-2</c:v>
                </c:pt>
                <c:pt idx="89">
                  <c:v>4.819837721477066E-2</c:v>
                </c:pt>
                <c:pt idx="90">
                  <c:v>-3.9696454737572787E-2</c:v>
                </c:pt>
                <c:pt idx="91">
                  <c:v>0.24918575570859006</c:v>
                </c:pt>
                <c:pt idx="92">
                  <c:v>-1.0834570505356555E-2</c:v>
                </c:pt>
                <c:pt idx="93">
                  <c:v>1.0619681589690514E-2</c:v>
                </c:pt>
                <c:pt idx="94">
                  <c:v>-0.13688015485851276</c:v>
                </c:pt>
                <c:pt idx="95">
                  <c:v>4.0826302631850615E-2</c:v>
                </c:pt>
                <c:pt idx="96">
                  <c:v>-0.36914925230302753</c:v>
                </c:pt>
                <c:pt idx="97">
                  <c:v>-3.8053292150637866E-2</c:v>
                </c:pt>
                <c:pt idx="98">
                  <c:v>8.3799201194223835E-2</c:v>
                </c:pt>
                <c:pt idx="99">
                  <c:v>-1.6795940704626276E-2</c:v>
                </c:pt>
                <c:pt idx="100">
                  <c:v>0.10323290266826267</c:v>
                </c:pt>
                <c:pt idx="101">
                  <c:v>-1.0447476597386358E-2</c:v>
                </c:pt>
                <c:pt idx="102">
                  <c:v>-7.793685572468817E-2</c:v>
                </c:pt>
                <c:pt idx="103">
                  <c:v>-0.16722539085440391</c:v>
                </c:pt>
                <c:pt idx="104">
                  <c:v>5.0853760092755822E-2</c:v>
                </c:pt>
                <c:pt idx="105">
                  <c:v>3.6190930381431376E-2</c:v>
                </c:pt>
                <c:pt idx="106">
                  <c:v>9.9335982673200984E-2</c:v>
                </c:pt>
                <c:pt idx="107">
                  <c:v>0.13635747211584634</c:v>
                </c:pt>
                <c:pt idx="108">
                  <c:v>9.621988776192282E-2</c:v>
                </c:pt>
                <c:pt idx="109">
                  <c:v>8.4802501413227815E-2</c:v>
                </c:pt>
                <c:pt idx="110">
                  <c:v>0.18931979666366661</c:v>
                </c:pt>
                <c:pt idx="111">
                  <c:v>0.43366146404157885</c:v>
                </c:pt>
                <c:pt idx="112">
                  <c:v>0.1092716168823316</c:v>
                </c:pt>
                <c:pt idx="113">
                  <c:v>1.0140546239076941E-2</c:v>
                </c:pt>
                <c:pt idx="114">
                  <c:v>4.2834057467392654E-2</c:v>
                </c:pt>
                <c:pt idx="115">
                  <c:v>0.24665552810936545</c:v>
                </c:pt>
                <c:pt idx="116">
                  <c:v>0.11994384890125027</c:v>
                </c:pt>
                <c:pt idx="117">
                  <c:v>0.20995365661793713</c:v>
                </c:pt>
                <c:pt idx="118">
                  <c:v>0.1301536113691058</c:v>
                </c:pt>
                <c:pt idx="119">
                  <c:v>6.6964827721336634E-2</c:v>
                </c:pt>
              </c:numCache>
            </c:numRef>
          </c:xVal>
          <c:yVal>
            <c:numRef>
              <c:f>'Filtered Sample'!$C$2:$C$121</c:f>
              <c:numCache>
                <c:formatCode>#,##0.0_);\(#,##0.0\);0.0_);@_)</c:formatCode>
                <c:ptCount val="120"/>
                <c:pt idx="0">
                  <c:v>0.57648122410978131</c:v>
                </c:pt>
                <c:pt idx="1">
                  <c:v>7.8129506260335466</c:v>
                </c:pt>
                <c:pt idx="2">
                  <c:v>10.11253519451164</c:v>
                </c:pt>
                <c:pt idx="3">
                  <c:v>3.3714653832491841</c:v>
                </c:pt>
                <c:pt idx="4">
                  <c:v>12.266786806509231</c:v>
                </c:pt>
                <c:pt idx="5">
                  <c:v>1.6798325991189427</c:v>
                </c:pt>
                <c:pt idx="6">
                  <c:v>0.56028755020080312</c:v>
                </c:pt>
                <c:pt idx="7">
                  <c:v>5.8022321144674081</c:v>
                </c:pt>
                <c:pt idx="8">
                  <c:v>8.1596586177651069</c:v>
                </c:pt>
                <c:pt idx="9">
                  <c:v>6.4523526539411495</c:v>
                </c:pt>
                <c:pt idx="10">
                  <c:v>12.764006066393305</c:v>
                </c:pt>
                <c:pt idx="11">
                  <c:v>10.146867839840409</c:v>
                </c:pt>
                <c:pt idx="12">
                  <c:v>7.0694147705516315</c:v>
                </c:pt>
                <c:pt idx="13">
                  <c:v>1.0114658536585366</c:v>
                </c:pt>
                <c:pt idx="14">
                  <c:v>3.6584260968073057</c:v>
                </c:pt>
                <c:pt idx="15">
                  <c:v>6.3740109429466525</c:v>
                </c:pt>
                <c:pt idx="16">
                  <c:v>6.1000758770737011</c:v>
                </c:pt>
                <c:pt idx="17">
                  <c:v>3.9222766122766122</c:v>
                </c:pt>
                <c:pt idx="18">
                  <c:v>10.068368363264293</c:v>
                </c:pt>
                <c:pt idx="19">
                  <c:v>3.7473726905173033</c:v>
                </c:pt>
                <c:pt idx="20">
                  <c:v>5.8731444420696759</c:v>
                </c:pt>
                <c:pt idx="21">
                  <c:v>5.3155876836511409</c:v>
                </c:pt>
                <c:pt idx="22">
                  <c:v>4.0920802692105829</c:v>
                </c:pt>
                <c:pt idx="23">
                  <c:v>2.0835744808456407</c:v>
                </c:pt>
                <c:pt idx="24">
                  <c:v>1.2459494213459066</c:v>
                </c:pt>
                <c:pt idx="25">
                  <c:v>4.5647688752546358</c:v>
                </c:pt>
                <c:pt idx="26">
                  <c:v>4.3721659914652227</c:v>
                </c:pt>
                <c:pt idx="27">
                  <c:v>8.5238847539015605</c:v>
                </c:pt>
                <c:pt idx="28">
                  <c:v>5.8082102070701689</c:v>
                </c:pt>
                <c:pt idx="29">
                  <c:v>7.2610403592663362</c:v>
                </c:pt>
                <c:pt idx="30">
                  <c:v>3.8654935148642928</c:v>
                </c:pt>
                <c:pt idx="31">
                  <c:v>1.1807002329403935</c:v>
                </c:pt>
                <c:pt idx="32">
                  <c:v>2.9983473325766177</c:v>
                </c:pt>
                <c:pt idx="33">
                  <c:v>8.6234948708425652</c:v>
                </c:pt>
                <c:pt idx="34">
                  <c:v>5.5386857868663117</c:v>
                </c:pt>
                <c:pt idx="35">
                  <c:v>8.6079148104728418</c:v>
                </c:pt>
                <c:pt idx="36">
                  <c:v>8.4077397304365906</c:v>
                </c:pt>
                <c:pt idx="37">
                  <c:v>2.265671270718232</c:v>
                </c:pt>
                <c:pt idx="38">
                  <c:v>2.1019087009803923</c:v>
                </c:pt>
                <c:pt idx="39">
                  <c:v>6.5353081442171996</c:v>
                </c:pt>
                <c:pt idx="40">
                  <c:v>6.8447533077898379</c:v>
                </c:pt>
                <c:pt idx="41">
                  <c:v>5.4254390698714063</c:v>
                </c:pt>
                <c:pt idx="42">
                  <c:v>12.250370401026363</c:v>
                </c:pt>
                <c:pt idx="43">
                  <c:v>3.1340332336324357</c:v>
                </c:pt>
                <c:pt idx="44">
                  <c:v>7.9097525042591084</c:v>
                </c:pt>
                <c:pt idx="45">
                  <c:v>3.066665611468923</c:v>
                </c:pt>
                <c:pt idx="46">
                  <c:v>4.0996019037452189</c:v>
                </c:pt>
                <c:pt idx="47">
                  <c:v>5.7389390736787496</c:v>
                </c:pt>
                <c:pt idx="48">
                  <c:v>9.0551950609724976</c:v>
                </c:pt>
                <c:pt idx="49">
                  <c:v>8.9364435486722531</c:v>
                </c:pt>
                <c:pt idx="50">
                  <c:v>5.0794251385061777</c:v>
                </c:pt>
                <c:pt idx="51">
                  <c:v>3.5067365269461073</c:v>
                </c:pt>
                <c:pt idx="52">
                  <c:v>3.5420179179810725</c:v>
                </c:pt>
                <c:pt idx="53">
                  <c:v>4.1901921750377236</c:v>
                </c:pt>
                <c:pt idx="54">
                  <c:v>8.0015335934837513</c:v>
                </c:pt>
                <c:pt idx="55">
                  <c:v>4.0798187607151597</c:v>
                </c:pt>
                <c:pt idx="56">
                  <c:v>3.9416613922006789</c:v>
                </c:pt>
                <c:pt idx="57">
                  <c:v>7.7488244679249831</c:v>
                </c:pt>
                <c:pt idx="58">
                  <c:v>4.1780519729885413</c:v>
                </c:pt>
                <c:pt idx="59">
                  <c:v>3.1361184086605665</c:v>
                </c:pt>
                <c:pt idx="60">
                  <c:v>5.3269977455988604</c:v>
                </c:pt>
                <c:pt idx="61">
                  <c:v>2.9120112013441615</c:v>
                </c:pt>
                <c:pt idx="62">
                  <c:v>8.9237196782026444</c:v>
                </c:pt>
                <c:pt idx="63">
                  <c:v>10.536085746896847</c:v>
                </c:pt>
                <c:pt idx="64">
                  <c:v>4.6914530971126585</c:v>
                </c:pt>
                <c:pt idx="65">
                  <c:v>1.9981420626895856</c:v>
                </c:pt>
                <c:pt idx="66">
                  <c:v>5.2102507725858258</c:v>
                </c:pt>
                <c:pt idx="67">
                  <c:v>6.4028104385120033</c:v>
                </c:pt>
                <c:pt idx="68">
                  <c:v>8.3344293965673266</c:v>
                </c:pt>
                <c:pt idx="69">
                  <c:v>10.166276468778422</c:v>
                </c:pt>
                <c:pt idx="70">
                  <c:v>9.2100984931490704</c:v>
                </c:pt>
                <c:pt idx="71">
                  <c:v>12.568502068130735</c:v>
                </c:pt>
                <c:pt idx="72">
                  <c:v>2.0687725027599684</c:v>
                </c:pt>
                <c:pt idx="73">
                  <c:v>8.2728247227892098</c:v>
                </c:pt>
                <c:pt idx="74">
                  <c:v>8.490319800310715</c:v>
                </c:pt>
                <c:pt idx="75">
                  <c:v>1.3997070038910506</c:v>
                </c:pt>
                <c:pt idx="76">
                  <c:v>3.0714453294069579</c:v>
                </c:pt>
                <c:pt idx="77">
                  <c:v>4.1445323066153303</c:v>
                </c:pt>
                <c:pt idx="78">
                  <c:v>4.429887145357001</c:v>
                </c:pt>
                <c:pt idx="79">
                  <c:v>7.357837407128244</c:v>
                </c:pt>
                <c:pt idx="80">
                  <c:v>4.7479818606825619</c:v>
                </c:pt>
                <c:pt idx="81">
                  <c:v>7.0123354832491298</c:v>
                </c:pt>
                <c:pt idx="82">
                  <c:v>6.5048979458190175</c:v>
                </c:pt>
                <c:pt idx="83">
                  <c:v>2.0150768397535712</c:v>
                </c:pt>
                <c:pt idx="84">
                  <c:v>6.0755460940922488</c:v>
                </c:pt>
                <c:pt idx="85">
                  <c:v>4.8252930836079786</c:v>
                </c:pt>
                <c:pt idx="86">
                  <c:v>11.381009183694736</c:v>
                </c:pt>
                <c:pt idx="87">
                  <c:v>9.7891752187397572</c:v>
                </c:pt>
                <c:pt idx="88">
                  <c:v>3.3262405995961988</c:v>
                </c:pt>
                <c:pt idx="89">
                  <c:v>3.3401406603773585</c:v>
                </c:pt>
                <c:pt idx="90">
                  <c:v>5.4568475555797393</c:v>
                </c:pt>
                <c:pt idx="91">
                  <c:v>6.1767701915601814</c:v>
                </c:pt>
                <c:pt idx="92">
                  <c:v>2.955181786533017</c:v>
                </c:pt>
                <c:pt idx="93">
                  <c:v>3.1986545053245892</c:v>
                </c:pt>
                <c:pt idx="94">
                  <c:v>6.6749513014078792</c:v>
                </c:pt>
                <c:pt idx="95">
                  <c:v>7.2125454410523382</c:v>
                </c:pt>
                <c:pt idx="96">
                  <c:v>7.2118645836259514</c:v>
                </c:pt>
                <c:pt idx="97">
                  <c:v>7.8507875107814389</c:v>
                </c:pt>
                <c:pt idx="98">
                  <c:v>6.4736606852984853</c:v>
                </c:pt>
                <c:pt idx="99">
                  <c:v>4.8337773589754578</c:v>
                </c:pt>
                <c:pt idx="100">
                  <c:v>4.3292629004258751</c:v>
                </c:pt>
                <c:pt idx="101">
                  <c:v>7.7644892299367179</c:v>
                </c:pt>
                <c:pt idx="102">
                  <c:v>5.0900997981504945</c:v>
                </c:pt>
                <c:pt idx="103">
                  <c:v>8.7731952120848646</c:v>
                </c:pt>
                <c:pt idx="104">
                  <c:v>5.5983514970295474</c:v>
                </c:pt>
                <c:pt idx="105">
                  <c:v>2.6890396514513135</c:v>
                </c:pt>
                <c:pt idx="106">
                  <c:v>3.8518125773037823</c:v>
                </c:pt>
                <c:pt idx="107">
                  <c:v>4.0362890436273213</c:v>
                </c:pt>
                <c:pt idx="108">
                  <c:v>4.1098323278361049</c:v>
                </c:pt>
                <c:pt idx="109">
                  <c:v>2.2066003330557868</c:v>
                </c:pt>
                <c:pt idx="110">
                  <c:v>5.0464857499109375</c:v>
                </c:pt>
                <c:pt idx="111">
                  <c:v>6.62695871340149</c:v>
                </c:pt>
                <c:pt idx="112">
                  <c:v>9.7853713869322334</c:v>
                </c:pt>
                <c:pt idx="113">
                  <c:v>7.0749901682228113</c:v>
                </c:pt>
                <c:pt idx="114">
                  <c:v>5.2308952422745243</c:v>
                </c:pt>
                <c:pt idx="115">
                  <c:v>4.16037951302041</c:v>
                </c:pt>
                <c:pt idx="116">
                  <c:v>4.1965213012924441</c:v>
                </c:pt>
                <c:pt idx="117">
                  <c:v>11.913384585692228</c:v>
                </c:pt>
                <c:pt idx="118">
                  <c:v>3.4114083075348165</c:v>
                </c:pt>
                <c:pt idx="119">
                  <c:v>1.245534219269103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500-4C11-96A0-5B10450D8BCB}"/>
            </c:ext>
          </c:extLst>
        </c:ser>
        <c:ser>
          <c:idx val="1"/>
          <c:order val="1"/>
          <c:tx>
            <c:v>Predicted EV/Rev</c:v>
          </c:tx>
          <c:spPr>
            <a:ln w="19050">
              <a:noFill/>
            </a:ln>
          </c:spPr>
          <c:xVal>
            <c:numRef>
              <c:f>'Filtered Sample'!$I$2:$I$121</c:f>
              <c:numCache>
                <c:formatCode>0%</c:formatCode>
                <c:ptCount val="120"/>
                <c:pt idx="0">
                  <c:v>-0.81159625164814475</c:v>
                </c:pt>
                <c:pt idx="1">
                  <c:v>-1.6269396631159929</c:v>
                </c:pt>
                <c:pt idx="2">
                  <c:v>-1.1697714146262099</c:v>
                </c:pt>
                <c:pt idx="3">
                  <c:v>-0.44895429908724671</c:v>
                </c:pt>
                <c:pt idx="4">
                  <c:v>-0.31811310458675307</c:v>
                </c:pt>
                <c:pt idx="5">
                  <c:v>-0.28542567914031614</c:v>
                </c:pt>
                <c:pt idx="6">
                  <c:v>-0.62696531372440323</c:v>
                </c:pt>
                <c:pt idx="7">
                  <c:v>0.16792960779188498</c:v>
                </c:pt>
                <c:pt idx="8">
                  <c:v>-0.137903072523548</c:v>
                </c:pt>
                <c:pt idx="9">
                  <c:v>-4.517528008673654E-2</c:v>
                </c:pt>
                <c:pt idx="10">
                  <c:v>-0.44139034453003517</c:v>
                </c:pt>
                <c:pt idx="11">
                  <c:v>-0.13449689685759542</c:v>
                </c:pt>
                <c:pt idx="12">
                  <c:v>-0.14799918208566143</c:v>
                </c:pt>
                <c:pt idx="13">
                  <c:v>-0.39573463359162725</c:v>
                </c:pt>
                <c:pt idx="14">
                  <c:v>-0.57156338979545007</c:v>
                </c:pt>
                <c:pt idx="15">
                  <c:v>-0.34458133247744022</c:v>
                </c:pt>
                <c:pt idx="16">
                  <c:v>-0.32097260499846886</c:v>
                </c:pt>
                <c:pt idx="17">
                  <c:v>-0.65422214829671888</c:v>
                </c:pt>
                <c:pt idx="18">
                  <c:v>-0.21851944579096239</c:v>
                </c:pt>
                <c:pt idx="19">
                  <c:v>-0.32442046693600513</c:v>
                </c:pt>
                <c:pt idx="20">
                  <c:v>-0.3447641020578105</c:v>
                </c:pt>
                <c:pt idx="21">
                  <c:v>-0.23881920127653916</c:v>
                </c:pt>
                <c:pt idx="22">
                  <c:v>0.12152605918890333</c:v>
                </c:pt>
                <c:pt idx="23">
                  <c:v>-0.27934203627576876</c:v>
                </c:pt>
                <c:pt idx="24">
                  <c:v>-8.4296520423600627E-2</c:v>
                </c:pt>
                <c:pt idx="25">
                  <c:v>-0.25167377453250095</c:v>
                </c:pt>
                <c:pt idx="26">
                  <c:v>-0.2655258416875409</c:v>
                </c:pt>
                <c:pt idx="27">
                  <c:v>5.3461994018760582E-2</c:v>
                </c:pt>
                <c:pt idx="28">
                  <c:v>-0.23347012720172772</c:v>
                </c:pt>
                <c:pt idx="29">
                  <c:v>-0.31713433716531614</c:v>
                </c:pt>
                <c:pt idx="30">
                  <c:v>-0.27097319670889908</c:v>
                </c:pt>
                <c:pt idx="31">
                  <c:v>-0.13914855276495103</c:v>
                </c:pt>
                <c:pt idx="32">
                  <c:v>-3.2454695222405273E-2</c:v>
                </c:pt>
                <c:pt idx="33">
                  <c:v>-3.6651622508554908E-2</c:v>
                </c:pt>
                <c:pt idx="34">
                  <c:v>-0.24352193410726553</c:v>
                </c:pt>
                <c:pt idx="35">
                  <c:v>-0.28080821314150284</c:v>
                </c:pt>
                <c:pt idx="36">
                  <c:v>-0.22722663595105191</c:v>
                </c:pt>
                <c:pt idx="37">
                  <c:v>-4.2261141001709773E-2</c:v>
                </c:pt>
                <c:pt idx="38">
                  <c:v>5.4889192725901793E-2</c:v>
                </c:pt>
                <c:pt idx="39">
                  <c:v>-0.12790277669230971</c:v>
                </c:pt>
                <c:pt idx="40">
                  <c:v>-0.22092738611271831</c:v>
                </c:pt>
                <c:pt idx="41">
                  <c:v>0.40103169059199528</c:v>
                </c:pt>
                <c:pt idx="42">
                  <c:v>-0.22516716492845568</c:v>
                </c:pt>
                <c:pt idx="43">
                  <c:v>-0.19867034104867806</c:v>
                </c:pt>
                <c:pt idx="44">
                  <c:v>0.21276932914404878</c:v>
                </c:pt>
                <c:pt idx="45">
                  <c:v>8.5428483887666037E-2</c:v>
                </c:pt>
                <c:pt idx="46">
                  <c:v>-0.15946938451776649</c:v>
                </c:pt>
                <c:pt idx="47">
                  <c:v>-0.10523436469191186</c:v>
                </c:pt>
                <c:pt idx="48">
                  <c:v>-8.7178644035064382E-2</c:v>
                </c:pt>
                <c:pt idx="49">
                  <c:v>-0.25911901444461649</c:v>
                </c:pt>
                <c:pt idx="50">
                  <c:v>0.14413653216825575</c:v>
                </c:pt>
                <c:pt idx="51">
                  <c:v>-2.1799151110561674E-2</c:v>
                </c:pt>
                <c:pt idx="52">
                  <c:v>0.16390927344611117</c:v>
                </c:pt>
                <c:pt idx="53">
                  <c:v>1.9614338271570129E-2</c:v>
                </c:pt>
                <c:pt idx="54">
                  <c:v>3.955165157037363E-2</c:v>
                </c:pt>
                <c:pt idx="55">
                  <c:v>-0.10987946987452818</c:v>
                </c:pt>
                <c:pt idx="56">
                  <c:v>5.3675170497600407E-2</c:v>
                </c:pt>
                <c:pt idx="57">
                  <c:v>-0.11313237392019553</c:v>
                </c:pt>
                <c:pt idx="58">
                  <c:v>-6.636852248580738E-2</c:v>
                </c:pt>
                <c:pt idx="59">
                  <c:v>-0.35757347546418328</c:v>
                </c:pt>
                <c:pt idx="60">
                  <c:v>0.13211163371598883</c:v>
                </c:pt>
                <c:pt idx="61">
                  <c:v>-0.12710149340941534</c:v>
                </c:pt>
                <c:pt idx="62">
                  <c:v>-0.3190529846614778</c:v>
                </c:pt>
                <c:pt idx="63">
                  <c:v>-0.12112952697708795</c:v>
                </c:pt>
                <c:pt idx="64">
                  <c:v>-3.8488770243618048E-2</c:v>
                </c:pt>
                <c:pt idx="65">
                  <c:v>-8.1343964086137158E-2</c:v>
                </c:pt>
                <c:pt idx="66">
                  <c:v>-0.10750678901855586</c:v>
                </c:pt>
                <c:pt idx="67">
                  <c:v>-0.16283748168422885</c:v>
                </c:pt>
                <c:pt idx="68">
                  <c:v>0.166605485032055</c:v>
                </c:pt>
                <c:pt idx="69">
                  <c:v>-3.9516806217013457E-2</c:v>
                </c:pt>
                <c:pt idx="70">
                  <c:v>0.14145890144137127</c:v>
                </c:pt>
                <c:pt idx="71">
                  <c:v>0.30083750676574428</c:v>
                </c:pt>
                <c:pt idx="72">
                  <c:v>-0.10494352130105246</c:v>
                </c:pt>
                <c:pt idx="73">
                  <c:v>0.12069220256770544</c:v>
                </c:pt>
                <c:pt idx="74">
                  <c:v>-0.1265161452563327</c:v>
                </c:pt>
                <c:pt idx="75">
                  <c:v>8.3248837108374787E-2</c:v>
                </c:pt>
                <c:pt idx="76">
                  <c:v>6.3183463541559445E-2</c:v>
                </c:pt>
                <c:pt idx="77">
                  <c:v>0.18998194877144337</c:v>
                </c:pt>
                <c:pt idx="78">
                  <c:v>0.2829972991471616</c:v>
                </c:pt>
                <c:pt idx="79">
                  <c:v>-0.19658894523613904</c:v>
                </c:pt>
                <c:pt idx="80">
                  <c:v>4.177908225325213E-2</c:v>
                </c:pt>
                <c:pt idx="81">
                  <c:v>4.5352465055309668E-2</c:v>
                </c:pt>
                <c:pt idx="82">
                  <c:v>1.0832333013623581E-2</c:v>
                </c:pt>
                <c:pt idx="83">
                  <c:v>-3.6627147080944304E-3</c:v>
                </c:pt>
                <c:pt idx="84">
                  <c:v>9.1813351439375343E-2</c:v>
                </c:pt>
                <c:pt idx="85">
                  <c:v>0.2030865917039695</c:v>
                </c:pt>
                <c:pt idx="86">
                  <c:v>0.28179107087920752</c:v>
                </c:pt>
                <c:pt idx="87">
                  <c:v>-0.15712901126750914</c:v>
                </c:pt>
                <c:pt idx="88">
                  <c:v>7.5428893232798611E-2</c:v>
                </c:pt>
                <c:pt idx="89">
                  <c:v>4.819837721477066E-2</c:v>
                </c:pt>
                <c:pt idx="90">
                  <c:v>-3.9696454737572787E-2</c:v>
                </c:pt>
                <c:pt idx="91">
                  <c:v>0.24918575570859006</c:v>
                </c:pt>
                <c:pt idx="92">
                  <c:v>-1.0834570505356555E-2</c:v>
                </c:pt>
                <c:pt idx="93">
                  <c:v>1.0619681589690514E-2</c:v>
                </c:pt>
                <c:pt idx="94">
                  <c:v>-0.13688015485851276</c:v>
                </c:pt>
                <c:pt idx="95">
                  <c:v>4.0826302631850615E-2</c:v>
                </c:pt>
                <c:pt idx="96">
                  <c:v>-0.36914925230302753</c:v>
                </c:pt>
                <c:pt idx="97">
                  <c:v>-3.8053292150637866E-2</c:v>
                </c:pt>
                <c:pt idx="98">
                  <c:v>8.3799201194223835E-2</c:v>
                </c:pt>
                <c:pt idx="99">
                  <c:v>-1.6795940704626276E-2</c:v>
                </c:pt>
                <c:pt idx="100">
                  <c:v>0.10323290266826267</c:v>
                </c:pt>
                <c:pt idx="101">
                  <c:v>-1.0447476597386358E-2</c:v>
                </c:pt>
                <c:pt idx="102">
                  <c:v>-7.793685572468817E-2</c:v>
                </c:pt>
                <c:pt idx="103">
                  <c:v>-0.16722539085440391</c:v>
                </c:pt>
                <c:pt idx="104">
                  <c:v>5.0853760092755822E-2</c:v>
                </c:pt>
                <c:pt idx="105">
                  <c:v>3.6190930381431376E-2</c:v>
                </c:pt>
                <c:pt idx="106">
                  <c:v>9.9335982673200984E-2</c:v>
                </c:pt>
                <c:pt idx="107">
                  <c:v>0.13635747211584634</c:v>
                </c:pt>
                <c:pt idx="108">
                  <c:v>9.621988776192282E-2</c:v>
                </c:pt>
                <c:pt idx="109">
                  <c:v>8.4802501413227815E-2</c:v>
                </c:pt>
                <c:pt idx="110">
                  <c:v>0.18931979666366661</c:v>
                </c:pt>
                <c:pt idx="111">
                  <c:v>0.43366146404157885</c:v>
                </c:pt>
                <c:pt idx="112">
                  <c:v>0.1092716168823316</c:v>
                </c:pt>
                <c:pt idx="113">
                  <c:v>1.0140546239076941E-2</c:v>
                </c:pt>
                <c:pt idx="114">
                  <c:v>4.2834057467392654E-2</c:v>
                </c:pt>
                <c:pt idx="115">
                  <c:v>0.24665552810936545</c:v>
                </c:pt>
                <c:pt idx="116">
                  <c:v>0.11994384890125027</c:v>
                </c:pt>
                <c:pt idx="117">
                  <c:v>0.20995365661793713</c:v>
                </c:pt>
                <c:pt idx="118">
                  <c:v>0.1301536113691058</c:v>
                </c:pt>
                <c:pt idx="119">
                  <c:v>6.6964827721336634E-2</c:v>
                </c:pt>
              </c:numCache>
            </c:numRef>
          </c:xVal>
          <c:yVal>
            <c:numRef>
              <c:f>'Filtered Output'!$B$34:$B$153</c:f>
              <c:numCache>
                <c:formatCode>General</c:formatCode>
                <c:ptCount val="120"/>
                <c:pt idx="0">
                  <c:v>6.831336748277252</c:v>
                </c:pt>
                <c:pt idx="1">
                  <c:v>5.4741213688361228</c:v>
                </c:pt>
                <c:pt idx="2">
                  <c:v>4.2149817996501646</c:v>
                </c:pt>
                <c:pt idx="3">
                  <c:v>4.1656997720974651</c:v>
                </c:pt>
                <c:pt idx="4">
                  <c:v>7.0412352623512264</c:v>
                </c:pt>
                <c:pt idx="5">
                  <c:v>5.637885463090953</c:v>
                </c:pt>
                <c:pt idx="6">
                  <c:v>3.2843803239666127</c:v>
                </c:pt>
                <c:pt idx="7">
                  <c:v>5.271063988370198</c:v>
                </c:pt>
                <c:pt idx="8">
                  <c:v>5.5855528715550085</c:v>
                </c:pt>
                <c:pt idx="9">
                  <c:v>5.4671383741151462</c:v>
                </c:pt>
                <c:pt idx="10">
                  <c:v>9.625549506716542</c:v>
                </c:pt>
                <c:pt idx="11">
                  <c:v>6.8646200725212756</c:v>
                </c:pt>
                <c:pt idx="12">
                  <c:v>5.7395366134855221</c:v>
                </c:pt>
                <c:pt idx="13">
                  <c:v>3.4690548421810687</c:v>
                </c:pt>
                <c:pt idx="14">
                  <c:v>6.0380041797036359</c:v>
                </c:pt>
                <c:pt idx="15">
                  <c:v>7.1934921010749848</c:v>
                </c:pt>
                <c:pt idx="16">
                  <c:v>5.5852384389740486</c:v>
                </c:pt>
                <c:pt idx="17">
                  <c:v>5.4674001827196363</c:v>
                </c:pt>
                <c:pt idx="18">
                  <c:v>8.750899694111256</c:v>
                </c:pt>
                <c:pt idx="19">
                  <c:v>4.4973445237899385</c:v>
                </c:pt>
                <c:pt idx="20">
                  <c:v>4.3664998923891947</c:v>
                </c:pt>
                <c:pt idx="21">
                  <c:v>5.2755493651705478</c:v>
                </c:pt>
                <c:pt idx="22">
                  <c:v>4.8104526533721677</c:v>
                </c:pt>
                <c:pt idx="23">
                  <c:v>7.1939137646912359</c:v>
                </c:pt>
                <c:pt idx="24">
                  <c:v>4.8660975215083733</c:v>
                </c:pt>
                <c:pt idx="25">
                  <c:v>5.0715226751320595</c:v>
                </c:pt>
                <c:pt idx="26">
                  <c:v>6.0484656613897281</c:v>
                </c:pt>
                <c:pt idx="27">
                  <c:v>3.5323004869229546</c:v>
                </c:pt>
                <c:pt idx="28">
                  <c:v>5.4134123386227557</c:v>
                </c:pt>
                <c:pt idx="29">
                  <c:v>9.0930038896035477</c:v>
                </c:pt>
                <c:pt idx="30">
                  <c:v>5.9644442429738129</c:v>
                </c:pt>
                <c:pt idx="31">
                  <c:v>4.8662329483203681</c:v>
                </c:pt>
                <c:pt idx="32">
                  <c:v>4.185906024943896</c:v>
                </c:pt>
                <c:pt idx="33">
                  <c:v>6.106805662603227</c:v>
                </c:pt>
                <c:pt idx="34">
                  <c:v>5.6516354006623315</c:v>
                </c:pt>
                <c:pt idx="35">
                  <c:v>6.1373015655432122</c:v>
                </c:pt>
                <c:pt idx="36">
                  <c:v>6.4783214239950375</c:v>
                </c:pt>
                <c:pt idx="37">
                  <c:v>3.7153173316846333</c:v>
                </c:pt>
                <c:pt idx="38">
                  <c:v>5.7739512450529471</c:v>
                </c:pt>
                <c:pt idx="39">
                  <c:v>6.3497434116467488</c:v>
                </c:pt>
                <c:pt idx="40">
                  <c:v>7.1070053627717176</c:v>
                </c:pt>
                <c:pt idx="41">
                  <c:v>5.3386859665584474</c:v>
                </c:pt>
                <c:pt idx="42">
                  <c:v>5.9379124598901178</c:v>
                </c:pt>
                <c:pt idx="43">
                  <c:v>3.7617266744691245</c:v>
                </c:pt>
                <c:pt idx="44">
                  <c:v>5.8903334157735987</c:v>
                </c:pt>
                <c:pt idx="45">
                  <c:v>5.0014162326358784</c:v>
                </c:pt>
                <c:pt idx="46">
                  <c:v>3.44241738645345</c:v>
                </c:pt>
                <c:pt idx="47">
                  <c:v>7.2468203073919613</c:v>
                </c:pt>
                <c:pt idx="48">
                  <c:v>7.1939118145853183</c:v>
                </c:pt>
                <c:pt idx="49">
                  <c:v>6.8039023371462006</c:v>
                </c:pt>
                <c:pt idx="50">
                  <c:v>4.6170978674126104</c:v>
                </c:pt>
                <c:pt idx="51">
                  <c:v>6.8170238487729762</c:v>
                </c:pt>
                <c:pt idx="52">
                  <c:v>5.3461271534007029</c:v>
                </c:pt>
                <c:pt idx="53">
                  <c:v>4.4663747940201608</c:v>
                </c:pt>
                <c:pt idx="54">
                  <c:v>5.1432437625344996</c:v>
                </c:pt>
                <c:pt idx="55">
                  <c:v>5.5262207033811288</c:v>
                </c:pt>
                <c:pt idx="56">
                  <c:v>8.2754461173909508</c:v>
                </c:pt>
                <c:pt idx="57">
                  <c:v>4.3597303148294158</c:v>
                </c:pt>
                <c:pt idx="58">
                  <c:v>5.8485041595949179</c:v>
                </c:pt>
                <c:pt idx="59">
                  <c:v>6.5058823202392944</c:v>
                </c:pt>
                <c:pt idx="60">
                  <c:v>6.3428695621889739</c:v>
                </c:pt>
                <c:pt idx="61">
                  <c:v>3.9091025550084417</c:v>
                </c:pt>
                <c:pt idx="62">
                  <c:v>6.9939915109406527</c:v>
                </c:pt>
                <c:pt idx="63">
                  <c:v>8.3866298533258732</c:v>
                </c:pt>
                <c:pt idx="64">
                  <c:v>5.6258938026952103</c:v>
                </c:pt>
                <c:pt idx="65">
                  <c:v>5.6611288334120307</c:v>
                </c:pt>
                <c:pt idx="66">
                  <c:v>6.6943037555037712</c:v>
                </c:pt>
                <c:pt idx="67">
                  <c:v>4.5215558440028607</c:v>
                </c:pt>
                <c:pt idx="68">
                  <c:v>6.0106268426918712</c:v>
                </c:pt>
                <c:pt idx="69">
                  <c:v>6.8092259683502956</c:v>
                </c:pt>
                <c:pt idx="70">
                  <c:v>5.5344313828947689</c:v>
                </c:pt>
                <c:pt idx="71">
                  <c:v>6.4725019997150257</c:v>
                </c:pt>
                <c:pt idx="72">
                  <c:v>3.7143299473003162</c:v>
                </c:pt>
                <c:pt idx="73">
                  <c:v>5.5449793888961594</c:v>
                </c:pt>
                <c:pt idx="74">
                  <c:v>7.1833375485487467</c:v>
                </c:pt>
                <c:pt idx="75">
                  <c:v>5.4640634922369236</c:v>
                </c:pt>
                <c:pt idx="76">
                  <c:v>5.5881245338726027</c:v>
                </c:pt>
                <c:pt idx="77">
                  <c:v>5.9429221546398505</c:v>
                </c:pt>
                <c:pt idx="78">
                  <c:v>5.1390592665265062</c:v>
                </c:pt>
                <c:pt idx="79">
                  <c:v>7.323840526819299</c:v>
                </c:pt>
                <c:pt idx="80">
                  <c:v>4.7156611514033502</c:v>
                </c:pt>
                <c:pt idx="81">
                  <c:v>5.1481515982069403</c:v>
                </c:pt>
                <c:pt idx="82">
                  <c:v>4.0212270351283843</c:v>
                </c:pt>
                <c:pt idx="83">
                  <c:v>3.3059046287164486</c:v>
                </c:pt>
                <c:pt idx="84">
                  <c:v>6.7591938151910211</c:v>
                </c:pt>
                <c:pt idx="85">
                  <c:v>5.7518508495141445</c:v>
                </c:pt>
                <c:pt idx="86">
                  <c:v>6.8903743002108238</c:v>
                </c:pt>
                <c:pt idx="87">
                  <c:v>5.8636992203175939</c:v>
                </c:pt>
                <c:pt idx="88">
                  <c:v>5.851320292596613</c:v>
                </c:pt>
                <c:pt idx="89">
                  <c:v>3.9129420544543088</c:v>
                </c:pt>
                <c:pt idx="90">
                  <c:v>6.3802078459490215</c:v>
                </c:pt>
                <c:pt idx="91">
                  <c:v>4.6243645443739947</c:v>
                </c:pt>
                <c:pt idx="92">
                  <c:v>6.3096336842761191</c:v>
                </c:pt>
                <c:pt idx="93">
                  <c:v>3.9373989095566428</c:v>
                </c:pt>
                <c:pt idx="94">
                  <c:v>8.240602561161813</c:v>
                </c:pt>
                <c:pt idx="95">
                  <c:v>6.2003340425884943</c:v>
                </c:pt>
                <c:pt idx="96">
                  <c:v>7.1086912389692909</c:v>
                </c:pt>
                <c:pt idx="97">
                  <c:v>6.6988259016627589</c:v>
                </c:pt>
                <c:pt idx="98">
                  <c:v>5.8879693322954374</c:v>
                </c:pt>
                <c:pt idx="99">
                  <c:v>6.8124495321124927</c:v>
                </c:pt>
                <c:pt idx="100">
                  <c:v>7.519476187681998</c:v>
                </c:pt>
                <c:pt idx="101">
                  <c:v>4.9043528309781275</c:v>
                </c:pt>
                <c:pt idx="102">
                  <c:v>5.1627829209417726</c:v>
                </c:pt>
                <c:pt idx="103">
                  <c:v>6.9172431669514127</c:v>
                </c:pt>
                <c:pt idx="104">
                  <c:v>5.2597771780976617</c:v>
                </c:pt>
                <c:pt idx="105">
                  <c:v>5.5711935109212165</c:v>
                </c:pt>
                <c:pt idx="106">
                  <c:v>4.6559524303917943</c:v>
                </c:pt>
                <c:pt idx="107">
                  <c:v>5.7103790805007035</c:v>
                </c:pt>
                <c:pt idx="108">
                  <c:v>3.7314724686154692</c:v>
                </c:pt>
                <c:pt idx="109">
                  <c:v>3.7658846295658788</c:v>
                </c:pt>
                <c:pt idx="110">
                  <c:v>3.6632296594025124</c:v>
                </c:pt>
                <c:pt idx="111">
                  <c:v>6.0426688408794984</c:v>
                </c:pt>
                <c:pt idx="112">
                  <c:v>5.5206811839069552</c:v>
                </c:pt>
                <c:pt idx="113">
                  <c:v>5.2675513128108049</c:v>
                </c:pt>
                <c:pt idx="114">
                  <c:v>5.050272213684627</c:v>
                </c:pt>
                <c:pt idx="115">
                  <c:v>5.7917389253228162</c:v>
                </c:pt>
                <c:pt idx="116">
                  <c:v>8.2299896341995584</c:v>
                </c:pt>
                <c:pt idx="117">
                  <c:v>7.3582227578831203</c:v>
                </c:pt>
                <c:pt idx="118">
                  <c:v>6.7961226510940129</c:v>
                </c:pt>
                <c:pt idx="119">
                  <c:v>2.5699463426707325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00-4C11-96A0-5B10450D8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147496"/>
        <c:axId val="809147888"/>
      </c:scatterChart>
      <c:valAx>
        <c:axId val="809147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Profit Margin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809147888"/>
        <c:crosses val="autoZero"/>
        <c:crossBetween val="midCat"/>
      </c:valAx>
      <c:valAx>
        <c:axId val="8091478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EV/Rev</a:t>
                </a:r>
              </a:p>
            </c:rich>
          </c:tx>
          <c:overlay val="0"/>
        </c:title>
        <c:numFmt formatCode="#,##0.0_);\(#,##0.0\);0.0_);@_)" sourceLinked="1"/>
        <c:majorTickMark val="out"/>
        <c:minorTickMark val="none"/>
        <c:tickLblPos val="nextTo"/>
        <c:crossAx val="809147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Rev Growth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#REF!</c:f>
            </c:numRef>
          </c:xVal>
          <c:yVal>
            <c:numRef>
              <c:f>'Full Sample Output'!$C$32:$C$198</c:f>
              <c:numCache>
                <c:formatCode>General</c:formatCode>
                <c:ptCount val="167"/>
                <c:pt idx="0">
                  <c:v>1.7669718943015456</c:v>
                </c:pt>
                <c:pt idx="1">
                  <c:v>-1.0447320014463566</c:v>
                </c:pt>
                <c:pt idx="2">
                  <c:v>4.8919822813083487</c:v>
                </c:pt>
                <c:pt idx="3">
                  <c:v>1.1549489891363711</c:v>
                </c:pt>
                <c:pt idx="4">
                  <c:v>1.0930640601392287</c:v>
                </c:pt>
                <c:pt idx="5">
                  <c:v>-0.84211220615088411</c:v>
                </c:pt>
                <c:pt idx="6">
                  <c:v>1.873196519741346</c:v>
                </c:pt>
                <c:pt idx="7">
                  <c:v>3.8586943047261792</c:v>
                </c:pt>
                <c:pt idx="8">
                  <c:v>3.1144811414228259</c:v>
                </c:pt>
                <c:pt idx="9">
                  <c:v>3.3272695382028052</c:v>
                </c:pt>
                <c:pt idx="10">
                  <c:v>2.9507787406976211</c:v>
                </c:pt>
                <c:pt idx="11">
                  <c:v>1.0551512393290858</c:v>
                </c:pt>
                <c:pt idx="12">
                  <c:v>-1.2353890112146582</c:v>
                </c:pt>
                <c:pt idx="13">
                  <c:v>0.56405279896019023</c:v>
                </c:pt>
                <c:pt idx="14">
                  <c:v>-2.0462860298297629</c:v>
                </c:pt>
                <c:pt idx="15">
                  <c:v>0.67292305791385054</c:v>
                </c:pt>
                <c:pt idx="16">
                  <c:v>0.23142665889082004</c:v>
                </c:pt>
                <c:pt idx="17">
                  <c:v>6.6920178567113915</c:v>
                </c:pt>
                <c:pt idx="18">
                  <c:v>2.2647917149545433</c:v>
                </c:pt>
                <c:pt idx="19">
                  <c:v>-2.5491769474602357</c:v>
                </c:pt>
                <c:pt idx="20">
                  <c:v>-0.15706947729389142</c:v>
                </c:pt>
                <c:pt idx="21">
                  <c:v>0.40986745186816176</c:v>
                </c:pt>
                <c:pt idx="22">
                  <c:v>-1.4640198725269773</c:v>
                </c:pt>
                <c:pt idx="23">
                  <c:v>-1.1058328219309308</c:v>
                </c:pt>
                <c:pt idx="24">
                  <c:v>1.034078326673312</c:v>
                </c:pt>
                <c:pt idx="25">
                  <c:v>2.675503799871759E-2</c:v>
                </c:pt>
                <c:pt idx="26">
                  <c:v>3.065202904963825</c:v>
                </c:pt>
                <c:pt idx="27">
                  <c:v>0.85033652124017767</c:v>
                </c:pt>
                <c:pt idx="28">
                  <c:v>-2.5394771242789771</c:v>
                </c:pt>
                <c:pt idx="29">
                  <c:v>4.1924826089444363</c:v>
                </c:pt>
                <c:pt idx="30">
                  <c:v>-1.8411683004603157</c:v>
                </c:pt>
                <c:pt idx="31">
                  <c:v>2.4378635083096087</c:v>
                </c:pt>
                <c:pt idx="32">
                  <c:v>3.2780064024748468</c:v>
                </c:pt>
                <c:pt idx="33">
                  <c:v>1.7017373019855571</c:v>
                </c:pt>
                <c:pt idx="34">
                  <c:v>-0.77798566076978037</c:v>
                </c:pt>
                <c:pt idx="35">
                  <c:v>2.0137497377811284</c:v>
                </c:pt>
                <c:pt idx="36">
                  <c:v>0.19896620768513884</c:v>
                </c:pt>
                <c:pt idx="37">
                  <c:v>4.2680156682006238</c:v>
                </c:pt>
                <c:pt idx="38">
                  <c:v>-1.3849120503524288</c:v>
                </c:pt>
                <c:pt idx="39">
                  <c:v>0.56156389041814947</c:v>
                </c:pt>
                <c:pt idx="40">
                  <c:v>5.2020444707263209</c:v>
                </c:pt>
                <c:pt idx="41">
                  <c:v>0.49746315313276757</c:v>
                </c:pt>
                <c:pt idx="42">
                  <c:v>4.4904607741375271</c:v>
                </c:pt>
                <c:pt idx="43">
                  <c:v>6.2172575003243988</c:v>
                </c:pt>
                <c:pt idx="44">
                  <c:v>-1.0327343738933985</c:v>
                </c:pt>
                <c:pt idx="45">
                  <c:v>0.35040813143754468</c:v>
                </c:pt>
                <c:pt idx="46">
                  <c:v>2.2894464771291094</c:v>
                </c:pt>
                <c:pt idx="47">
                  <c:v>1.2880657923838505</c:v>
                </c:pt>
                <c:pt idx="48">
                  <c:v>0.67208807398336035</c:v>
                </c:pt>
                <c:pt idx="49">
                  <c:v>-1.5008645797925073</c:v>
                </c:pt>
                <c:pt idx="50">
                  <c:v>-1.2416297899642263</c:v>
                </c:pt>
                <c:pt idx="51">
                  <c:v>0.88165979682049933</c:v>
                </c:pt>
                <c:pt idx="52">
                  <c:v>0.58991819501325615</c:v>
                </c:pt>
                <c:pt idx="53">
                  <c:v>1.5499573088252481</c:v>
                </c:pt>
                <c:pt idx="54">
                  <c:v>-1.9072552452426903</c:v>
                </c:pt>
                <c:pt idx="55">
                  <c:v>4.8565530492107687</c:v>
                </c:pt>
                <c:pt idx="56">
                  <c:v>-1.0152068146467284</c:v>
                </c:pt>
                <c:pt idx="57">
                  <c:v>2.1275434983391479</c:v>
                </c:pt>
                <c:pt idx="58">
                  <c:v>1.2424298627618411</c:v>
                </c:pt>
                <c:pt idx="59">
                  <c:v>-1.0550808673378329</c:v>
                </c:pt>
                <c:pt idx="60">
                  <c:v>-0.48884459068659147</c:v>
                </c:pt>
                <c:pt idx="61">
                  <c:v>-0.53496986215863718</c:v>
                </c:pt>
                <c:pt idx="62">
                  <c:v>-2.2961527388623821</c:v>
                </c:pt>
                <c:pt idx="63">
                  <c:v>6.2419925776132974</c:v>
                </c:pt>
                <c:pt idx="64">
                  <c:v>-3.1139473461421496</c:v>
                </c:pt>
                <c:pt idx="65">
                  <c:v>-1.0112571062091447</c:v>
                </c:pt>
                <c:pt idx="66">
                  <c:v>-0.74763288052775057</c:v>
                </c:pt>
                <c:pt idx="67">
                  <c:v>-7.2632096451483719E-2</c:v>
                </c:pt>
                <c:pt idx="68">
                  <c:v>-1.4366325498358847</c:v>
                </c:pt>
                <c:pt idx="69">
                  <c:v>2.1268414473107189</c:v>
                </c:pt>
                <c:pt idx="70">
                  <c:v>6.5800081236250003</c:v>
                </c:pt>
                <c:pt idx="71">
                  <c:v>0.869020122196277</c:v>
                </c:pt>
                <c:pt idx="72">
                  <c:v>2.6055246580954883</c:v>
                </c:pt>
                <c:pt idx="73">
                  <c:v>-0.64114279766632087</c:v>
                </c:pt>
                <c:pt idx="74">
                  <c:v>-2.1653135979686273</c:v>
                </c:pt>
                <c:pt idx="75">
                  <c:v>-0.87334855559243518</c:v>
                </c:pt>
                <c:pt idx="76">
                  <c:v>2.2489798870626423</c:v>
                </c:pt>
                <c:pt idx="77">
                  <c:v>0.31563516943793513</c:v>
                </c:pt>
                <c:pt idx="78">
                  <c:v>-2.3616183504433006</c:v>
                </c:pt>
                <c:pt idx="79">
                  <c:v>2.6184120588540276</c:v>
                </c:pt>
                <c:pt idx="80">
                  <c:v>2.9745531460892147</c:v>
                </c:pt>
                <c:pt idx="81">
                  <c:v>-4.1990147246097695</c:v>
                </c:pt>
                <c:pt idx="82">
                  <c:v>-0.65120629167580457</c:v>
                </c:pt>
                <c:pt idx="83">
                  <c:v>-0.82397675616464117</c:v>
                </c:pt>
                <c:pt idx="84">
                  <c:v>0.49519885209931847</c:v>
                </c:pt>
                <c:pt idx="85">
                  <c:v>-2.6879319128595096</c:v>
                </c:pt>
                <c:pt idx="86">
                  <c:v>5.2728568486070699</c:v>
                </c:pt>
                <c:pt idx="87">
                  <c:v>3.3829407675860512E-2</c:v>
                </c:pt>
                <c:pt idx="88">
                  <c:v>3.0922839281663643</c:v>
                </c:pt>
                <c:pt idx="89">
                  <c:v>1.9021533523122374</c:v>
                </c:pt>
                <c:pt idx="90">
                  <c:v>2.3516852225583316</c:v>
                </c:pt>
                <c:pt idx="91">
                  <c:v>0.23884051316027222</c:v>
                </c:pt>
                <c:pt idx="92">
                  <c:v>-1.9455871075318782</c:v>
                </c:pt>
                <c:pt idx="93">
                  <c:v>2.8246789037361797</c:v>
                </c:pt>
                <c:pt idx="94">
                  <c:v>3.6669743245121946</c:v>
                </c:pt>
                <c:pt idx="95">
                  <c:v>-1.0502721111797233</c:v>
                </c:pt>
                <c:pt idx="96">
                  <c:v>-0.6418533378983291</c:v>
                </c:pt>
                <c:pt idx="97">
                  <c:v>4.8365080888614704</c:v>
                </c:pt>
                <c:pt idx="98">
                  <c:v>3.7163296650924496</c:v>
                </c:pt>
                <c:pt idx="99">
                  <c:v>-2.288588366278848</c:v>
                </c:pt>
                <c:pt idx="100">
                  <c:v>-1.3906193629532329</c:v>
                </c:pt>
                <c:pt idx="101">
                  <c:v>1.4647371783965997</c:v>
                </c:pt>
                <c:pt idx="102">
                  <c:v>-1.9352576119033653</c:v>
                </c:pt>
                <c:pt idx="103">
                  <c:v>-9.5199985898647199E-2</c:v>
                </c:pt>
                <c:pt idx="104">
                  <c:v>0.33806770029495237</c:v>
                </c:pt>
                <c:pt idx="105">
                  <c:v>-0.6540408353252527</c:v>
                </c:pt>
                <c:pt idx="106">
                  <c:v>-0.31024433281533437</c:v>
                </c:pt>
                <c:pt idx="107">
                  <c:v>3.9595929970944406</c:v>
                </c:pt>
                <c:pt idx="108">
                  <c:v>-2.6815296111543114</c:v>
                </c:pt>
                <c:pt idx="109">
                  <c:v>-0.90647820671285562</c:v>
                </c:pt>
                <c:pt idx="110">
                  <c:v>2.7615631121560105</c:v>
                </c:pt>
                <c:pt idx="111">
                  <c:v>0.18196946666753977</c:v>
                </c:pt>
                <c:pt idx="112">
                  <c:v>-0.61759331670920137</c:v>
                </c:pt>
                <c:pt idx="113">
                  <c:v>0.93650446135609844</c:v>
                </c:pt>
                <c:pt idx="114">
                  <c:v>-3.0101958865312568</c:v>
                </c:pt>
                <c:pt idx="115">
                  <c:v>2.6247718485411218</c:v>
                </c:pt>
                <c:pt idx="116">
                  <c:v>-0.2379013959422478</c:v>
                </c:pt>
                <c:pt idx="117">
                  <c:v>-1.8883026831091234</c:v>
                </c:pt>
                <c:pt idx="118">
                  <c:v>-5.0334980697882541</c:v>
                </c:pt>
                <c:pt idx="119">
                  <c:v>-2.2235249200562497</c:v>
                </c:pt>
                <c:pt idx="120">
                  <c:v>-0.61466087101958067</c:v>
                </c:pt>
                <c:pt idx="121">
                  <c:v>-1.0174196874984895</c:v>
                </c:pt>
                <c:pt idx="122">
                  <c:v>-2.2303388887243241</c:v>
                </c:pt>
                <c:pt idx="123">
                  <c:v>-1.3527720851436973</c:v>
                </c:pt>
                <c:pt idx="124">
                  <c:v>-0.43746145731899944</c:v>
                </c:pt>
                <c:pt idx="125">
                  <c:v>-1.7588712763781436</c:v>
                </c:pt>
                <c:pt idx="126">
                  <c:v>-2.2868442426004925</c:v>
                </c:pt>
                <c:pt idx="127">
                  <c:v>-2.0185441475571935</c:v>
                </c:pt>
                <c:pt idx="128">
                  <c:v>-1.1668406937200104</c:v>
                </c:pt>
                <c:pt idx="129">
                  <c:v>-3.9265257685051971</c:v>
                </c:pt>
                <c:pt idx="130">
                  <c:v>0.94804463276326434</c:v>
                </c:pt>
                <c:pt idx="131">
                  <c:v>-1.7328967200399079</c:v>
                </c:pt>
                <c:pt idx="132">
                  <c:v>0.10655407699165487</c:v>
                </c:pt>
                <c:pt idx="133">
                  <c:v>-0.7545413763355806</c:v>
                </c:pt>
                <c:pt idx="134">
                  <c:v>-2.1441776136755584</c:v>
                </c:pt>
                <c:pt idx="135">
                  <c:v>-2.5180292365826995</c:v>
                </c:pt>
                <c:pt idx="136">
                  <c:v>-3.2200469000102587</c:v>
                </c:pt>
                <c:pt idx="137">
                  <c:v>-3.181746172882888</c:v>
                </c:pt>
                <c:pt idx="138">
                  <c:v>-0.7498580789684457</c:v>
                </c:pt>
                <c:pt idx="139">
                  <c:v>4.0408938311139355</c:v>
                </c:pt>
                <c:pt idx="140">
                  <c:v>-0.41351136276705791</c:v>
                </c:pt>
                <c:pt idx="141">
                  <c:v>-1.6425221056635566</c:v>
                </c:pt>
                <c:pt idx="142">
                  <c:v>-4.9041707178086469</c:v>
                </c:pt>
                <c:pt idx="143">
                  <c:v>1.378291929576597</c:v>
                </c:pt>
                <c:pt idx="144">
                  <c:v>-4.8078916607185604</c:v>
                </c:pt>
                <c:pt idx="145">
                  <c:v>5.2058953603833071</c:v>
                </c:pt>
                <c:pt idx="146">
                  <c:v>-1.4148533850144966</c:v>
                </c:pt>
                <c:pt idx="147">
                  <c:v>-1.5585038005741185</c:v>
                </c:pt>
                <c:pt idx="148">
                  <c:v>-2.0156044886066682</c:v>
                </c:pt>
                <c:pt idx="149">
                  <c:v>-3.4157168642384832</c:v>
                </c:pt>
                <c:pt idx="150">
                  <c:v>-4.5945801616418649</c:v>
                </c:pt>
                <c:pt idx="151">
                  <c:v>-3.1316148073310242</c:v>
                </c:pt>
                <c:pt idx="152">
                  <c:v>3.8065500943455044</c:v>
                </c:pt>
                <c:pt idx="153">
                  <c:v>-1.5332928957721723</c:v>
                </c:pt>
                <c:pt idx="154">
                  <c:v>-4.2378018846992713</c:v>
                </c:pt>
                <c:pt idx="155">
                  <c:v>-4.3695868839016221</c:v>
                </c:pt>
                <c:pt idx="156">
                  <c:v>-0.12853320544633229</c:v>
                </c:pt>
                <c:pt idx="157">
                  <c:v>-1.8282328653283919</c:v>
                </c:pt>
                <c:pt idx="158">
                  <c:v>-2.7239578488988392</c:v>
                </c:pt>
                <c:pt idx="159">
                  <c:v>-4.8294172795953507</c:v>
                </c:pt>
                <c:pt idx="160">
                  <c:v>-3.344058135125572</c:v>
                </c:pt>
                <c:pt idx="161">
                  <c:v>-2.2194664708597762</c:v>
                </c:pt>
                <c:pt idx="162">
                  <c:v>-3.62099173598512</c:v>
                </c:pt>
                <c:pt idx="163">
                  <c:v>-2.8313363869206314</c:v>
                </c:pt>
                <c:pt idx="164">
                  <c:v>-3.2634618933980373</c:v>
                </c:pt>
                <c:pt idx="165">
                  <c:v>-3.4908419949060274</c:v>
                </c:pt>
                <c:pt idx="166">
                  <c:v>-1.3826489095552605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73B-4931-A410-5D971113D1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148672"/>
        <c:axId val="809149064"/>
      </c:scatterChart>
      <c:valAx>
        <c:axId val="809148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Rev Growth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809149064"/>
        <c:crosses val="autoZero"/>
        <c:crossBetween val="midCat"/>
      </c:valAx>
      <c:valAx>
        <c:axId val="80914906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148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GP Margin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#REF!</c:f>
            </c:numRef>
          </c:xVal>
          <c:yVal>
            <c:numRef>
              <c:f>'Full Sample Output'!$C$32:$C$198</c:f>
              <c:numCache>
                <c:formatCode>General</c:formatCode>
                <c:ptCount val="167"/>
                <c:pt idx="0">
                  <c:v>1.7669718943015456</c:v>
                </c:pt>
                <c:pt idx="1">
                  <c:v>-1.0447320014463566</c:v>
                </c:pt>
                <c:pt idx="2">
                  <c:v>4.8919822813083487</c:v>
                </c:pt>
                <c:pt idx="3">
                  <c:v>1.1549489891363711</c:v>
                </c:pt>
                <c:pt idx="4">
                  <c:v>1.0930640601392287</c:v>
                </c:pt>
                <c:pt idx="5">
                  <c:v>-0.84211220615088411</c:v>
                </c:pt>
                <c:pt idx="6">
                  <c:v>1.873196519741346</c:v>
                </c:pt>
                <c:pt idx="7">
                  <c:v>3.8586943047261792</c:v>
                </c:pt>
                <c:pt idx="8">
                  <c:v>3.1144811414228259</c:v>
                </c:pt>
                <c:pt idx="9">
                  <c:v>3.3272695382028052</c:v>
                </c:pt>
                <c:pt idx="10">
                  <c:v>2.9507787406976211</c:v>
                </c:pt>
                <c:pt idx="11">
                  <c:v>1.0551512393290858</c:v>
                </c:pt>
                <c:pt idx="12">
                  <c:v>-1.2353890112146582</c:v>
                </c:pt>
                <c:pt idx="13">
                  <c:v>0.56405279896019023</c:v>
                </c:pt>
                <c:pt idx="14">
                  <c:v>-2.0462860298297629</c:v>
                </c:pt>
                <c:pt idx="15">
                  <c:v>0.67292305791385054</c:v>
                </c:pt>
                <c:pt idx="16">
                  <c:v>0.23142665889082004</c:v>
                </c:pt>
                <c:pt idx="17">
                  <c:v>6.6920178567113915</c:v>
                </c:pt>
                <c:pt idx="18">
                  <c:v>2.2647917149545433</c:v>
                </c:pt>
                <c:pt idx="19">
                  <c:v>-2.5491769474602357</c:v>
                </c:pt>
                <c:pt idx="20">
                  <c:v>-0.15706947729389142</c:v>
                </c:pt>
                <c:pt idx="21">
                  <c:v>0.40986745186816176</c:v>
                </c:pt>
                <c:pt idx="22">
                  <c:v>-1.4640198725269773</c:v>
                </c:pt>
                <c:pt idx="23">
                  <c:v>-1.1058328219309308</c:v>
                </c:pt>
                <c:pt idx="24">
                  <c:v>1.034078326673312</c:v>
                </c:pt>
                <c:pt idx="25">
                  <c:v>2.675503799871759E-2</c:v>
                </c:pt>
                <c:pt idx="26">
                  <c:v>3.065202904963825</c:v>
                </c:pt>
                <c:pt idx="27">
                  <c:v>0.85033652124017767</c:v>
                </c:pt>
                <c:pt idx="28">
                  <c:v>-2.5394771242789771</c:v>
                </c:pt>
                <c:pt idx="29">
                  <c:v>4.1924826089444363</c:v>
                </c:pt>
                <c:pt idx="30">
                  <c:v>-1.8411683004603157</c:v>
                </c:pt>
                <c:pt idx="31">
                  <c:v>2.4378635083096087</c:v>
                </c:pt>
                <c:pt idx="32">
                  <c:v>3.2780064024748468</c:v>
                </c:pt>
                <c:pt idx="33">
                  <c:v>1.7017373019855571</c:v>
                </c:pt>
                <c:pt idx="34">
                  <c:v>-0.77798566076978037</c:v>
                </c:pt>
                <c:pt idx="35">
                  <c:v>2.0137497377811284</c:v>
                </c:pt>
                <c:pt idx="36">
                  <c:v>0.19896620768513884</c:v>
                </c:pt>
                <c:pt idx="37">
                  <c:v>4.2680156682006238</c:v>
                </c:pt>
                <c:pt idx="38">
                  <c:v>-1.3849120503524288</c:v>
                </c:pt>
                <c:pt idx="39">
                  <c:v>0.56156389041814947</c:v>
                </c:pt>
                <c:pt idx="40">
                  <c:v>5.2020444707263209</c:v>
                </c:pt>
                <c:pt idx="41">
                  <c:v>0.49746315313276757</c:v>
                </c:pt>
                <c:pt idx="42">
                  <c:v>4.4904607741375271</c:v>
                </c:pt>
                <c:pt idx="43">
                  <c:v>6.2172575003243988</c:v>
                </c:pt>
                <c:pt idx="44">
                  <c:v>-1.0327343738933985</c:v>
                </c:pt>
                <c:pt idx="45">
                  <c:v>0.35040813143754468</c:v>
                </c:pt>
                <c:pt idx="46">
                  <c:v>2.2894464771291094</c:v>
                </c:pt>
                <c:pt idx="47">
                  <c:v>1.2880657923838505</c:v>
                </c:pt>
                <c:pt idx="48">
                  <c:v>0.67208807398336035</c:v>
                </c:pt>
                <c:pt idx="49">
                  <c:v>-1.5008645797925073</c:v>
                </c:pt>
                <c:pt idx="50">
                  <c:v>-1.2416297899642263</c:v>
                </c:pt>
                <c:pt idx="51">
                  <c:v>0.88165979682049933</c:v>
                </c:pt>
                <c:pt idx="52">
                  <c:v>0.58991819501325615</c:v>
                </c:pt>
                <c:pt idx="53">
                  <c:v>1.5499573088252481</c:v>
                </c:pt>
                <c:pt idx="54">
                  <c:v>-1.9072552452426903</c:v>
                </c:pt>
                <c:pt idx="55">
                  <c:v>4.8565530492107687</c:v>
                </c:pt>
                <c:pt idx="56">
                  <c:v>-1.0152068146467284</c:v>
                </c:pt>
                <c:pt idx="57">
                  <c:v>2.1275434983391479</c:v>
                </c:pt>
                <c:pt idx="58">
                  <c:v>1.2424298627618411</c:v>
                </c:pt>
                <c:pt idx="59">
                  <c:v>-1.0550808673378329</c:v>
                </c:pt>
                <c:pt idx="60">
                  <c:v>-0.48884459068659147</c:v>
                </c:pt>
                <c:pt idx="61">
                  <c:v>-0.53496986215863718</c:v>
                </c:pt>
                <c:pt idx="62">
                  <c:v>-2.2961527388623821</c:v>
                </c:pt>
                <c:pt idx="63">
                  <c:v>6.2419925776132974</c:v>
                </c:pt>
                <c:pt idx="64">
                  <c:v>-3.1139473461421496</c:v>
                </c:pt>
                <c:pt idx="65">
                  <c:v>-1.0112571062091447</c:v>
                </c:pt>
                <c:pt idx="66">
                  <c:v>-0.74763288052775057</c:v>
                </c:pt>
                <c:pt idx="67">
                  <c:v>-7.2632096451483719E-2</c:v>
                </c:pt>
                <c:pt idx="68">
                  <c:v>-1.4366325498358847</c:v>
                </c:pt>
                <c:pt idx="69">
                  <c:v>2.1268414473107189</c:v>
                </c:pt>
                <c:pt idx="70">
                  <c:v>6.5800081236250003</c:v>
                </c:pt>
                <c:pt idx="71">
                  <c:v>0.869020122196277</c:v>
                </c:pt>
                <c:pt idx="72">
                  <c:v>2.6055246580954883</c:v>
                </c:pt>
                <c:pt idx="73">
                  <c:v>-0.64114279766632087</c:v>
                </c:pt>
                <c:pt idx="74">
                  <c:v>-2.1653135979686273</c:v>
                </c:pt>
                <c:pt idx="75">
                  <c:v>-0.87334855559243518</c:v>
                </c:pt>
                <c:pt idx="76">
                  <c:v>2.2489798870626423</c:v>
                </c:pt>
                <c:pt idx="77">
                  <c:v>0.31563516943793513</c:v>
                </c:pt>
                <c:pt idx="78">
                  <c:v>-2.3616183504433006</c:v>
                </c:pt>
                <c:pt idx="79">
                  <c:v>2.6184120588540276</c:v>
                </c:pt>
                <c:pt idx="80">
                  <c:v>2.9745531460892147</c:v>
                </c:pt>
                <c:pt idx="81">
                  <c:v>-4.1990147246097695</c:v>
                </c:pt>
                <c:pt idx="82">
                  <c:v>-0.65120629167580457</c:v>
                </c:pt>
                <c:pt idx="83">
                  <c:v>-0.82397675616464117</c:v>
                </c:pt>
                <c:pt idx="84">
                  <c:v>0.49519885209931847</c:v>
                </c:pt>
                <c:pt idx="85">
                  <c:v>-2.6879319128595096</c:v>
                </c:pt>
                <c:pt idx="86">
                  <c:v>5.2728568486070699</c:v>
                </c:pt>
                <c:pt idx="87">
                  <c:v>3.3829407675860512E-2</c:v>
                </c:pt>
                <c:pt idx="88">
                  <c:v>3.0922839281663643</c:v>
                </c:pt>
                <c:pt idx="89">
                  <c:v>1.9021533523122374</c:v>
                </c:pt>
                <c:pt idx="90">
                  <c:v>2.3516852225583316</c:v>
                </c:pt>
                <c:pt idx="91">
                  <c:v>0.23884051316027222</c:v>
                </c:pt>
                <c:pt idx="92">
                  <c:v>-1.9455871075318782</c:v>
                </c:pt>
                <c:pt idx="93">
                  <c:v>2.8246789037361797</c:v>
                </c:pt>
                <c:pt idx="94">
                  <c:v>3.6669743245121946</c:v>
                </c:pt>
                <c:pt idx="95">
                  <c:v>-1.0502721111797233</c:v>
                </c:pt>
                <c:pt idx="96">
                  <c:v>-0.6418533378983291</c:v>
                </c:pt>
                <c:pt idx="97">
                  <c:v>4.8365080888614704</c:v>
                </c:pt>
                <c:pt idx="98">
                  <c:v>3.7163296650924496</c:v>
                </c:pt>
                <c:pt idx="99">
                  <c:v>-2.288588366278848</c:v>
                </c:pt>
                <c:pt idx="100">
                  <c:v>-1.3906193629532329</c:v>
                </c:pt>
                <c:pt idx="101">
                  <c:v>1.4647371783965997</c:v>
                </c:pt>
                <c:pt idx="102">
                  <c:v>-1.9352576119033653</c:v>
                </c:pt>
                <c:pt idx="103">
                  <c:v>-9.5199985898647199E-2</c:v>
                </c:pt>
                <c:pt idx="104">
                  <c:v>0.33806770029495237</c:v>
                </c:pt>
                <c:pt idx="105">
                  <c:v>-0.6540408353252527</c:v>
                </c:pt>
                <c:pt idx="106">
                  <c:v>-0.31024433281533437</c:v>
                </c:pt>
                <c:pt idx="107">
                  <c:v>3.9595929970944406</c:v>
                </c:pt>
                <c:pt idx="108">
                  <c:v>-2.6815296111543114</c:v>
                </c:pt>
                <c:pt idx="109">
                  <c:v>-0.90647820671285562</c:v>
                </c:pt>
                <c:pt idx="110">
                  <c:v>2.7615631121560105</c:v>
                </c:pt>
                <c:pt idx="111">
                  <c:v>0.18196946666753977</c:v>
                </c:pt>
                <c:pt idx="112">
                  <c:v>-0.61759331670920137</c:v>
                </c:pt>
                <c:pt idx="113">
                  <c:v>0.93650446135609844</c:v>
                </c:pt>
                <c:pt idx="114">
                  <c:v>-3.0101958865312568</c:v>
                </c:pt>
                <c:pt idx="115">
                  <c:v>2.6247718485411218</c:v>
                </c:pt>
                <c:pt idx="116">
                  <c:v>-0.2379013959422478</c:v>
                </c:pt>
                <c:pt idx="117">
                  <c:v>-1.8883026831091234</c:v>
                </c:pt>
                <c:pt idx="118">
                  <c:v>-5.0334980697882541</c:v>
                </c:pt>
                <c:pt idx="119">
                  <c:v>-2.2235249200562497</c:v>
                </c:pt>
                <c:pt idx="120">
                  <c:v>-0.61466087101958067</c:v>
                </c:pt>
                <c:pt idx="121">
                  <c:v>-1.0174196874984895</c:v>
                </c:pt>
                <c:pt idx="122">
                  <c:v>-2.2303388887243241</c:v>
                </c:pt>
                <c:pt idx="123">
                  <c:v>-1.3527720851436973</c:v>
                </c:pt>
                <c:pt idx="124">
                  <c:v>-0.43746145731899944</c:v>
                </c:pt>
                <c:pt idx="125">
                  <c:v>-1.7588712763781436</c:v>
                </c:pt>
                <c:pt idx="126">
                  <c:v>-2.2868442426004925</c:v>
                </c:pt>
                <c:pt idx="127">
                  <c:v>-2.0185441475571935</c:v>
                </c:pt>
                <c:pt idx="128">
                  <c:v>-1.1668406937200104</c:v>
                </c:pt>
                <c:pt idx="129">
                  <c:v>-3.9265257685051971</c:v>
                </c:pt>
                <c:pt idx="130">
                  <c:v>0.94804463276326434</c:v>
                </c:pt>
                <c:pt idx="131">
                  <c:v>-1.7328967200399079</c:v>
                </c:pt>
                <c:pt idx="132">
                  <c:v>0.10655407699165487</c:v>
                </c:pt>
                <c:pt idx="133">
                  <c:v>-0.7545413763355806</c:v>
                </c:pt>
                <c:pt idx="134">
                  <c:v>-2.1441776136755584</c:v>
                </c:pt>
                <c:pt idx="135">
                  <c:v>-2.5180292365826995</c:v>
                </c:pt>
                <c:pt idx="136">
                  <c:v>-3.2200469000102587</c:v>
                </c:pt>
                <c:pt idx="137">
                  <c:v>-3.181746172882888</c:v>
                </c:pt>
                <c:pt idx="138">
                  <c:v>-0.7498580789684457</c:v>
                </c:pt>
                <c:pt idx="139">
                  <c:v>4.0408938311139355</c:v>
                </c:pt>
                <c:pt idx="140">
                  <c:v>-0.41351136276705791</c:v>
                </c:pt>
                <c:pt idx="141">
                  <c:v>-1.6425221056635566</c:v>
                </c:pt>
                <c:pt idx="142">
                  <c:v>-4.9041707178086469</c:v>
                </c:pt>
                <c:pt idx="143">
                  <c:v>1.378291929576597</c:v>
                </c:pt>
                <c:pt idx="144">
                  <c:v>-4.8078916607185604</c:v>
                </c:pt>
                <c:pt idx="145">
                  <c:v>5.2058953603833071</c:v>
                </c:pt>
                <c:pt idx="146">
                  <c:v>-1.4148533850144966</c:v>
                </c:pt>
                <c:pt idx="147">
                  <c:v>-1.5585038005741185</c:v>
                </c:pt>
                <c:pt idx="148">
                  <c:v>-2.0156044886066682</c:v>
                </c:pt>
                <c:pt idx="149">
                  <c:v>-3.4157168642384832</c:v>
                </c:pt>
                <c:pt idx="150">
                  <c:v>-4.5945801616418649</c:v>
                </c:pt>
                <c:pt idx="151">
                  <c:v>-3.1316148073310242</c:v>
                </c:pt>
                <c:pt idx="152">
                  <c:v>3.8065500943455044</c:v>
                </c:pt>
                <c:pt idx="153">
                  <c:v>-1.5332928957721723</c:v>
                </c:pt>
                <c:pt idx="154">
                  <c:v>-4.2378018846992713</c:v>
                </c:pt>
                <c:pt idx="155">
                  <c:v>-4.3695868839016221</c:v>
                </c:pt>
                <c:pt idx="156">
                  <c:v>-0.12853320544633229</c:v>
                </c:pt>
                <c:pt idx="157">
                  <c:v>-1.8282328653283919</c:v>
                </c:pt>
                <c:pt idx="158">
                  <c:v>-2.7239578488988392</c:v>
                </c:pt>
                <c:pt idx="159">
                  <c:v>-4.8294172795953507</c:v>
                </c:pt>
                <c:pt idx="160">
                  <c:v>-3.344058135125572</c:v>
                </c:pt>
                <c:pt idx="161">
                  <c:v>-2.2194664708597762</c:v>
                </c:pt>
                <c:pt idx="162">
                  <c:v>-3.62099173598512</c:v>
                </c:pt>
                <c:pt idx="163">
                  <c:v>-2.8313363869206314</c:v>
                </c:pt>
                <c:pt idx="164">
                  <c:v>-3.2634618933980373</c:v>
                </c:pt>
                <c:pt idx="165">
                  <c:v>-3.4908419949060274</c:v>
                </c:pt>
                <c:pt idx="166">
                  <c:v>-1.3826489095552605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786-4F14-ABB0-0F8531A3D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149848"/>
        <c:axId val="809150240"/>
      </c:scatterChart>
      <c:valAx>
        <c:axId val="809149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GP Margin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809150240"/>
        <c:crosses val="autoZero"/>
        <c:crossBetween val="midCat"/>
      </c:valAx>
      <c:valAx>
        <c:axId val="8091502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149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R&amp;D Margin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#REF!</c:f>
            </c:numRef>
          </c:xVal>
          <c:yVal>
            <c:numRef>
              <c:f>'Full Sample Output'!$C$32:$C$198</c:f>
              <c:numCache>
                <c:formatCode>General</c:formatCode>
                <c:ptCount val="167"/>
                <c:pt idx="0">
                  <c:v>1.7669718943015456</c:v>
                </c:pt>
                <c:pt idx="1">
                  <c:v>-1.0447320014463566</c:v>
                </c:pt>
                <c:pt idx="2">
                  <c:v>4.8919822813083487</c:v>
                </c:pt>
                <c:pt idx="3">
                  <c:v>1.1549489891363711</c:v>
                </c:pt>
                <c:pt idx="4">
                  <c:v>1.0930640601392287</c:v>
                </c:pt>
                <c:pt idx="5">
                  <c:v>-0.84211220615088411</c:v>
                </c:pt>
                <c:pt idx="6">
                  <c:v>1.873196519741346</c:v>
                </c:pt>
                <c:pt idx="7">
                  <c:v>3.8586943047261792</c:v>
                </c:pt>
                <c:pt idx="8">
                  <c:v>3.1144811414228259</c:v>
                </c:pt>
                <c:pt idx="9">
                  <c:v>3.3272695382028052</c:v>
                </c:pt>
                <c:pt idx="10">
                  <c:v>2.9507787406976211</c:v>
                </c:pt>
                <c:pt idx="11">
                  <c:v>1.0551512393290858</c:v>
                </c:pt>
                <c:pt idx="12">
                  <c:v>-1.2353890112146582</c:v>
                </c:pt>
                <c:pt idx="13">
                  <c:v>0.56405279896019023</c:v>
                </c:pt>
                <c:pt idx="14">
                  <c:v>-2.0462860298297629</c:v>
                </c:pt>
                <c:pt idx="15">
                  <c:v>0.67292305791385054</c:v>
                </c:pt>
                <c:pt idx="16">
                  <c:v>0.23142665889082004</c:v>
                </c:pt>
                <c:pt idx="17">
                  <c:v>6.6920178567113915</c:v>
                </c:pt>
                <c:pt idx="18">
                  <c:v>2.2647917149545433</c:v>
                </c:pt>
                <c:pt idx="19">
                  <c:v>-2.5491769474602357</c:v>
                </c:pt>
                <c:pt idx="20">
                  <c:v>-0.15706947729389142</c:v>
                </c:pt>
                <c:pt idx="21">
                  <c:v>0.40986745186816176</c:v>
                </c:pt>
                <c:pt idx="22">
                  <c:v>-1.4640198725269773</c:v>
                </c:pt>
                <c:pt idx="23">
                  <c:v>-1.1058328219309308</c:v>
                </c:pt>
                <c:pt idx="24">
                  <c:v>1.034078326673312</c:v>
                </c:pt>
                <c:pt idx="25">
                  <c:v>2.675503799871759E-2</c:v>
                </c:pt>
                <c:pt idx="26">
                  <c:v>3.065202904963825</c:v>
                </c:pt>
                <c:pt idx="27">
                  <c:v>0.85033652124017767</c:v>
                </c:pt>
                <c:pt idx="28">
                  <c:v>-2.5394771242789771</c:v>
                </c:pt>
                <c:pt idx="29">
                  <c:v>4.1924826089444363</c:v>
                </c:pt>
                <c:pt idx="30">
                  <c:v>-1.8411683004603157</c:v>
                </c:pt>
                <c:pt idx="31">
                  <c:v>2.4378635083096087</c:v>
                </c:pt>
                <c:pt idx="32">
                  <c:v>3.2780064024748468</c:v>
                </c:pt>
                <c:pt idx="33">
                  <c:v>1.7017373019855571</c:v>
                </c:pt>
                <c:pt idx="34">
                  <c:v>-0.77798566076978037</c:v>
                </c:pt>
                <c:pt idx="35">
                  <c:v>2.0137497377811284</c:v>
                </c:pt>
                <c:pt idx="36">
                  <c:v>0.19896620768513884</c:v>
                </c:pt>
                <c:pt idx="37">
                  <c:v>4.2680156682006238</c:v>
                </c:pt>
                <c:pt idx="38">
                  <c:v>-1.3849120503524288</c:v>
                </c:pt>
                <c:pt idx="39">
                  <c:v>0.56156389041814947</c:v>
                </c:pt>
                <c:pt idx="40">
                  <c:v>5.2020444707263209</c:v>
                </c:pt>
                <c:pt idx="41">
                  <c:v>0.49746315313276757</c:v>
                </c:pt>
                <c:pt idx="42">
                  <c:v>4.4904607741375271</c:v>
                </c:pt>
                <c:pt idx="43">
                  <c:v>6.2172575003243988</c:v>
                </c:pt>
                <c:pt idx="44">
                  <c:v>-1.0327343738933985</c:v>
                </c:pt>
                <c:pt idx="45">
                  <c:v>0.35040813143754468</c:v>
                </c:pt>
                <c:pt idx="46">
                  <c:v>2.2894464771291094</c:v>
                </c:pt>
                <c:pt idx="47">
                  <c:v>1.2880657923838505</c:v>
                </c:pt>
                <c:pt idx="48">
                  <c:v>0.67208807398336035</c:v>
                </c:pt>
                <c:pt idx="49">
                  <c:v>-1.5008645797925073</c:v>
                </c:pt>
                <c:pt idx="50">
                  <c:v>-1.2416297899642263</c:v>
                </c:pt>
                <c:pt idx="51">
                  <c:v>0.88165979682049933</c:v>
                </c:pt>
                <c:pt idx="52">
                  <c:v>0.58991819501325615</c:v>
                </c:pt>
                <c:pt idx="53">
                  <c:v>1.5499573088252481</c:v>
                </c:pt>
                <c:pt idx="54">
                  <c:v>-1.9072552452426903</c:v>
                </c:pt>
                <c:pt idx="55">
                  <c:v>4.8565530492107687</c:v>
                </c:pt>
                <c:pt idx="56">
                  <c:v>-1.0152068146467284</c:v>
                </c:pt>
                <c:pt idx="57">
                  <c:v>2.1275434983391479</c:v>
                </c:pt>
                <c:pt idx="58">
                  <c:v>1.2424298627618411</c:v>
                </c:pt>
                <c:pt idx="59">
                  <c:v>-1.0550808673378329</c:v>
                </c:pt>
                <c:pt idx="60">
                  <c:v>-0.48884459068659147</c:v>
                </c:pt>
                <c:pt idx="61">
                  <c:v>-0.53496986215863718</c:v>
                </c:pt>
                <c:pt idx="62">
                  <c:v>-2.2961527388623821</c:v>
                </c:pt>
                <c:pt idx="63">
                  <c:v>6.2419925776132974</c:v>
                </c:pt>
                <c:pt idx="64">
                  <c:v>-3.1139473461421496</c:v>
                </c:pt>
                <c:pt idx="65">
                  <c:v>-1.0112571062091447</c:v>
                </c:pt>
                <c:pt idx="66">
                  <c:v>-0.74763288052775057</c:v>
                </c:pt>
                <c:pt idx="67">
                  <c:v>-7.2632096451483719E-2</c:v>
                </c:pt>
                <c:pt idx="68">
                  <c:v>-1.4366325498358847</c:v>
                </c:pt>
                <c:pt idx="69">
                  <c:v>2.1268414473107189</c:v>
                </c:pt>
                <c:pt idx="70">
                  <c:v>6.5800081236250003</c:v>
                </c:pt>
                <c:pt idx="71">
                  <c:v>0.869020122196277</c:v>
                </c:pt>
                <c:pt idx="72">
                  <c:v>2.6055246580954883</c:v>
                </c:pt>
                <c:pt idx="73">
                  <c:v>-0.64114279766632087</c:v>
                </c:pt>
                <c:pt idx="74">
                  <c:v>-2.1653135979686273</c:v>
                </c:pt>
                <c:pt idx="75">
                  <c:v>-0.87334855559243518</c:v>
                </c:pt>
                <c:pt idx="76">
                  <c:v>2.2489798870626423</c:v>
                </c:pt>
                <c:pt idx="77">
                  <c:v>0.31563516943793513</c:v>
                </c:pt>
                <c:pt idx="78">
                  <c:v>-2.3616183504433006</c:v>
                </c:pt>
                <c:pt idx="79">
                  <c:v>2.6184120588540276</c:v>
                </c:pt>
                <c:pt idx="80">
                  <c:v>2.9745531460892147</c:v>
                </c:pt>
                <c:pt idx="81">
                  <c:v>-4.1990147246097695</c:v>
                </c:pt>
                <c:pt idx="82">
                  <c:v>-0.65120629167580457</c:v>
                </c:pt>
                <c:pt idx="83">
                  <c:v>-0.82397675616464117</c:v>
                </c:pt>
                <c:pt idx="84">
                  <c:v>0.49519885209931847</c:v>
                </c:pt>
                <c:pt idx="85">
                  <c:v>-2.6879319128595096</c:v>
                </c:pt>
                <c:pt idx="86">
                  <c:v>5.2728568486070699</c:v>
                </c:pt>
                <c:pt idx="87">
                  <c:v>3.3829407675860512E-2</c:v>
                </c:pt>
                <c:pt idx="88">
                  <c:v>3.0922839281663643</c:v>
                </c:pt>
                <c:pt idx="89">
                  <c:v>1.9021533523122374</c:v>
                </c:pt>
                <c:pt idx="90">
                  <c:v>2.3516852225583316</c:v>
                </c:pt>
                <c:pt idx="91">
                  <c:v>0.23884051316027222</c:v>
                </c:pt>
                <c:pt idx="92">
                  <c:v>-1.9455871075318782</c:v>
                </c:pt>
                <c:pt idx="93">
                  <c:v>2.8246789037361797</c:v>
                </c:pt>
                <c:pt idx="94">
                  <c:v>3.6669743245121946</c:v>
                </c:pt>
                <c:pt idx="95">
                  <c:v>-1.0502721111797233</c:v>
                </c:pt>
                <c:pt idx="96">
                  <c:v>-0.6418533378983291</c:v>
                </c:pt>
                <c:pt idx="97">
                  <c:v>4.8365080888614704</c:v>
                </c:pt>
                <c:pt idx="98">
                  <c:v>3.7163296650924496</c:v>
                </c:pt>
                <c:pt idx="99">
                  <c:v>-2.288588366278848</c:v>
                </c:pt>
                <c:pt idx="100">
                  <c:v>-1.3906193629532329</c:v>
                </c:pt>
                <c:pt idx="101">
                  <c:v>1.4647371783965997</c:v>
                </c:pt>
                <c:pt idx="102">
                  <c:v>-1.9352576119033653</c:v>
                </c:pt>
                <c:pt idx="103">
                  <c:v>-9.5199985898647199E-2</c:v>
                </c:pt>
                <c:pt idx="104">
                  <c:v>0.33806770029495237</c:v>
                </c:pt>
                <c:pt idx="105">
                  <c:v>-0.6540408353252527</c:v>
                </c:pt>
                <c:pt idx="106">
                  <c:v>-0.31024433281533437</c:v>
                </c:pt>
                <c:pt idx="107">
                  <c:v>3.9595929970944406</c:v>
                </c:pt>
                <c:pt idx="108">
                  <c:v>-2.6815296111543114</c:v>
                </c:pt>
                <c:pt idx="109">
                  <c:v>-0.90647820671285562</c:v>
                </c:pt>
                <c:pt idx="110">
                  <c:v>2.7615631121560105</c:v>
                </c:pt>
                <c:pt idx="111">
                  <c:v>0.18196946666753977</c:v>
                </c:pt>
                <c:pt idx="112">
                  <c:v>-0.61759331670920137</c:v>
                </c:pt>
                <c:pt idx="113">
                  <c:v>0.93650446135609844</c:v>
                </c:pt>
                <c:pt idx="114">
                  <c:v>-3.0101958865312568</c:v>
                </c:pt>
                <c:pt idx="115">
                  <c:v>2.6247718485411218</c:v>
                </c:pt>
                <c:pt idx="116">
                  <c:v>-0.2379013959422478</c:v>
                </c:pt>
                <c:pt idx="117">
                  <c:v>-1.8883026831091234</c:v>
                </c:pt>
                <c:pt idx="118">
                  <c:v>-5.0334980697882541</c:v>
                </c:pt>
                <c:pt idx="119">
                  <c:v>-2.2235249200562497</c:v>
                </c:pt>
                <c:pt idx="120">
                  <c:v>-0.61466087101958067</c:v>
                </c:pt>
                <c:pt idx="121">
                  <c:v>-1.0174196874984895</c:v>
                </c:pt>
                <c:pt idx="122">
                  <c:v>-2.2303388887243241</c:v>
                </c:pt>
                <c:pt idx="123">
                  <c:v>-1.3527720851436973</c:v>
                </c:pt>
                <c:pt idx="124">
                  <c:v>-0.43746145731899944</c:v>
                </c:pt>
                <c:pt idx="125">
                  <c:v>-1.7588712763781436</c:v>
                </c:pt>
                <c:pt idx="126">
                  <c:v>-2.2868442426004925</c:v>
                </c:pt>
                <c:pt idx="127">
                  <c:v>-2.0185441475571935</c:v>
                </c:pt>
                <c:pt idx="128">
                  <c:v>-1.1668406937200104</c:v>
                </c:pt>
                <c:pt idx="129">
                  <c:v>-3.9265257685051971</c:v>
                </c:pt>
                <c:pt idx="130">
                  <c:v>0.94804463276326434</c:v>
                </c:pt>
                <c:pt idx="131">
                  <c:v>-1.7328967200399079</c:v>
                </c:pt>
                <c:pt idx="132">
                  <c:v>0.10655407699165487</c:v>
                </c:pt>
                <c:pt idx="133">
                  <c:v>-0.7545413763355806</c:v>
                </c:pt>
                <c:pt idx="134">
                  <c:v>-2.1441776136755584</c:v>
                </c:pt>
                <c:pt idx="135">
                  <c:v>-2.5180292365826995</c:v>
                </c:pt>
                <c:pt idx="136">
                  <c:v>-3.2200469000102587</c:v>
                </c:pt>
                <c:pt idx="137">
                  <c:v>-3.181746172882888</c:v>
                </c:pt>
                <c:pt idx="138">
                  <c:v>-0.7498580789684457</c:v>
                </c:pt>
                <c:pt idx="139">
                  <c:v>4.0408938311139355</c:v>
                </c:pt>
                <c:pt idx="140">
                  <c:v>-0.41351136276705791</c:v>
                </c:pt>
                <c:pt idx="141">
                  <c:v>-1.6425221056635566</c:v>
                </c:pt>
                <c:pt idx="142">
                  <c:v>-4.9041707178086469</c:v>
                </c:pt>
                <c:pt idx="143">
                  <c:v>1.378291929576597</c:v>
                </c:pt>
                <c:pt idx="144">
                  <c:v>-4.8078916607185604</c:v>
                </c:pt>
                <c:pt idx="145">
                  <c:v>5.2058953603833071</c:v>
                </c:pt>
                <c:pt idx="146">
                  <c:v>-1.4148533850144966</c:v>
                </c:pt>
                <c:pt idx="147">
                  <c:v>-1.5585038005741185</c:v>
                </c:pt>
                <c:pt idx="148">
                  <c:v>-2.0156044886066682</c:v>
                </c:pt>
                <c:pt idx="149">
                  <c:v>-3.4157168642384832</c:v>
                </c:pt>
                <c:pt idx="150">
                  <c:v>-4.5945801616418649</c:v>
                </c:pt>
                <c:pt idx="151">
                  <c:v>-3.1316148073310242</c:v>
                </c:pt>
                <c:pt idx="152">
                  <c:v>3.8065500943455044</c:v>
                </c:pt>
                <c:pt idx="153">
                  <c:v>-1.5332928957721723</c:v>
                </c:pt>
                <c:pt idx="154">
                  <c:v>-4.2378018846992713</c:v>
                </c:pt>
                <c:pt idx="155">
                  <c:v>-4.3695868839016221</c:v>
                </c:pt>
                <c:pt idx="156">
                  <c:v>-0.12853320544633229</c:v>
                </c:pt>
                <c:pt idx="157">
                  <c:v>-1.8282328653283919</c:v>
                </c:pt>
                <c:pt idx="158">
                  <c:v>-2.7239578488988392</c:v>
                </c:pt>
                <c:pt idx="159">
                  <c:v>-4.8294172795953507</c:v>
                </c:pt>
                <c:pt idx="160">
                  <c:v>-3.344058135125572</c:v>
                </c:pt>
                <c:pt idx="161">
                  <c:v>-2.2194664708597762</c:v>
                </c:pt>
                <c:pt idx="162">
                  <c:v>-3.62099173598512</c:v>
                </c:pt>
                <c:pt idx="163">
                  <c:v>-2.8313363869206314</c:v>
                </c:pt>
                <c:pt idx="164">
                  <c:v>-3.2634618933980373</c:v>
                </c:pt>
                <c:pt idx="165">
                  <c:v>-3.4908419949060274</c:v>
                </c:pt>
                <c:pt idx="166">
                  <c:v>-1.3826489095552605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F52-4A25-8B1A-839688F24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151024"/>
        <c:axId val="809151416"/>
      </c:scatterChart>
      <c:valAx>
        <c:axId val="809151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R&amp;D Margin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809151416"/>
        <c:crosses val="autoZero"/>
        <c:crossBetween val="midCat"/>
      </c:valAx>
      <c:valAx>
        <c:axId val="8091514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151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EBITDA Margin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#REF!</c:f>
            </c:numRef>
          </c:xVal>
          <c:yVal>
            <c:numRef>
              <c:f>'Full Sample Output'!$C$32:$C$198</c:f>
              <c:numCache>
                <c:formatCode>General</c:formatCode>
                <c:ptCount val="167"/>
                <c:pt idx="0">
                  <c:v>1.7669718943015456</c:v>
                </c:pt>
                <c:pt idx="1">
                  <c:v>-1.0447320014463566</c:v>
                </c:pt>
                <c:pt idx="2">
                  <c:v>4.8919822813083487</c:v>
                </c:pt>
                <c:pt idx="3">
                  <c:v>1.1549489891363711</c:v>
                </c:pt>
                <c:pt idx="4">
                  <c:v>1.0930640601392287</c:v>
                </c:pt>
                <c:pt idx="5">
                  <c:v>-0.84211220615088411</c:v>
                </c:pt>
                <c:pt idx="6">
                  <c:v>1.873196519741346</c:v>
                </c:pt>
                <c:pt idx="7">
                  <c:v>3.8586943047261792</c:v>
                </c:pt>
                <c:pt idx="8">
                  <c:v>3.1144811414228259</c:v>
                </c:pt>
                <c:pt idx="9">
                  <c:v>3.3272695382028052</c:v>
                </c:pt>
                <c:pt idx="10">
                  <c:v>2.9507787406976211</c:v>
                </c:pt>
                <c:pt idx="11">
                  <c:v>1.0551512393290858</c:v>
                </c:pt>
                <c:pt idx="12">
                  <c:v>-1.2353890112146582</c:v>
                </c:pt>
                <c:pt idx="13">
                  <c:v>0.56405279896019023</c:v>
                </c:pt>
                <c:pt idx="14">
                  <c:v>-2.0462860298297629</c:v>
                </c:pt>
                <c:pt idx="15">
                  <c:v>0.67292305791385054</c:v>
                </c:pt>
                <c:pt idx="16">
                  <c:v>0.23142665889082004</c:v>
                </c:pt>
                <c:pt idx="17">
                  <c:v>6.6920178567113915</c:v>
                </c:pt>
                <c:pt idx="18">
                  <c:v>2.2647917149545433</c:v>
                </c:pt>
                <c:pt idx="19">
                  <c:v>-2.5491769474602357</c:v>
                </c:pt>
                <c:pt idx="20">
                  <c:v>-0.15706947729389142</c:v>
                </c:pt>
                <c:pt idx="21">
                  <c:v>0.40986745186816176</c:v>
                </c:pt>
                <c:pt idx="22">
                  <c:v>-1.4640198725269773</c:v>
                </c:pt>
                <c:pt idx="23">
                  <c:v>-1.1058328219309308</c:v>
                </c:pt>
                <c:pt idx="24">
                  <c:v>1.034078326673312</c:v>
                </c:pt>
                <c:pt idx="25">
                  <c:v>2.675503799871759E-2</c:v>
                </c:pt>
                <c:pt idx="26">
                  <c:v>3.065202904963825</c:v>
                </c:pt>
                <c:pt idx="27">
                  <c:v>0.85033652124017767</c:v>
                </c:pt>
                <c:pt idx="28">
                  <c:v>-2.5394771242789771</c:v>
                </c:pt>
                <c:pt idx="29">
                  <c:v>4.1924826089444363</c:v>
                </c:pt>
                <c:pt idx="30">
                  <c:v>-1.8411683004603157</c:v>
                </c:pt>
                <c:pt idx="31">
                  <c:v>2.4378635083096087</c:v>
                </c:pt>
                <c:pt idx="32">
                  <c:v>3.2780064024748468</c:v>
                </c:pt>
                <c:pt idx="33">
                  <c:v>1.7017373019855571</c:v>
                </c:pt>
                <c:pt idx="34">
                  <c:v>-0.77798566076978037</c:v>
                </c:pt>
                <c:pt idx="35">
                  <c:v>2.0137497377811284</c:v>
                </c:pt>
                <c:pt idx="36">
                  <c:v>0.19896620768513884</c:v>
                </c:pt>
                <c:pt idx="37">
                  <c:v>4.2680156682006238</c:v>
                </c:pt>
                <c:pt idx="38">
                  <c:v>-1.3849120503524288</c:v>
                </c:pt>
                <c:pt idx="39">
                  <c:v>0.56156389041814947</c:v>
                </c:pt>
                <c:pt idx="40">
                  <c:v>5.2020444707263209</c:v>
                </c:pt>
                <c:pt idx="41">
                  <c:v>0.49746315313276757</c:v>
                </c:pt>
                <c:pt idx="42">
                  <c:v>4.4904607741375271</c:v>
                </c:pt>
                <c:pt idx="43">
                  <c:v>6.2172575003243988</c:v>
                </c:pt>
                <c:pt idx="44">
                  <c:v>-1.0327343738933985</c:v>
                </c:pt>
                <c:pt idx="45">
                  <c:v>0.35040813143754468</c:v>
                </c:pt>
                <c:pt idx="46">
                  <c:v>2.2894464771291094</c:v>
                </c:pt>
                <c:pt idx="47">
                  <c:v>1.2880657923838505</c:v>
                </c:pt>
                <c:pt idx="48">
                  <c:v>0.67208807398336035</c:v>
                </c:pt>
                <c:pt idx="49">
                  <c:v>-1.5008645797925073</c:v>
                </c:pt>
                <c:pt idx="50">
                  <c:v>-1.2416297899642263</c:v>
                </c:pt>
                <c:pt idx="51">
                  <c:v>0.88165979682049933</c:v>
                </c:pt>
                <c:pt idx="52">
                  <c:v>0.58991819501325615</c:v>
                </c:pt>
                <c:pt idx="53">
                  <c:v>1.5499573088252481</c:v>
                </c:pt>
                <c:pt idx="54">
                  <c:v>-1.9072552452426903</c:v>
                </c:pt>
                <c:pt idx="55">
                  <c:v>4.8565530492107687</c:v>
                </c:pt>
                <c:pt idx="56">
                  <c:v>-1.0152068146467284</c:v>
                </c:pt>
                <c:pt idx="57">
                  <c:v>2.1275434983391479</c:v>
                </c:pt>
                <c:pt idx="58">
                  <c:v>1.2424298627618411</c:v>
                </c:pt>
                <c:pt idx="59">
                  <c:v>-1.0550808673378329</c:v>
                </c:pt>
                <c:pt idx="60">
                  <c:v>-0.48884459068659147</c:v>
                </c:pt>
                <c:pt idx="61">
                  <c:v>-0.53496986215863718</c:v>
                </c:pt>
                <c:pt idx="62">
                  <c:v>-2.2961527388623821</c:v>
                </c:pt>
                <c:pt idx="63">
                  <c:v>6.2419925776132974</c:v>
                </c:pt>
                <c:pt idx="64">
                  <c:v>-3.1139473461421496</c:v>
                </c:pt>
                <c:pt idx="65">
                  <c:v>-1.0112571062091447</c:v>
                </c:pt>
                <c:pt idx="66">
                  <c:v>-0.74763288052775057</c:v>
                </c:pt>
                <c:pt idx="67">
                  <c:v>-7.2632096451483719E-2</c:v>
                </c:pt>
                <c:pt idx="68">
                  <c:v>-1.4366325498358847</c:v>
                </c:pt>
                <c:pt idx="69">
                  <c:v>2.1268414473107189</c:v>
                </c:pt>
                <c:pt idx="70">
                  <c:v>6.5800081236250003</c:v>
                </c:pt>
                <c:pt idx="71">
                  <c:v>0.869020122196277</c:v>
                </c:pt>
                <c:pt idx="72">
                  <c:v>2.6055246580954883</c:v>
                </c:pt>
                <c:pt idx="73">
                  <c:v>-0.64114279766632087</c:v>
                </c:pt>
                <c:pt idx="74">
                  <c:v>-2.1653135979686273</c:v>
                </c:pt>
                <c:pt idx="75">
                  <c:v>-0.87334855559243518</c:v>
                </c:pt>
                <c:pt idx="76">
                  <c:v>2.2489798870626423</c:v>
                </c:pt>
                <c:pt idx="77">
                  <c:v>0.31563516943793513</c:v>
                </c:pt>
                <c:pt idx="78">
                  <c:v>-2.3616183504433006</c:v>
                </c:pt>
                <c:pt idx="79">
                  <c:v>2.6184120588540276</c:v>
                </c:pt>
                <c:pt idx="80">
                  <c:v>2.9745531460892147</c:v>
                </c:pt>
                <c:pt idx="81">
                  <c:v>-4.1990147246097695</c:v>
                </c:pt>
                <c:pt idx="82">
                  <c:v>-0.65120629167580457</c:v>
                </c:pt>
                <c:pt idx="83">
                  <c:v>-0.82397675616464117</c:v>
                </c:pt>
                <c:pt idx="84">
                  <c:v>0.49519885209931847</c:v>
                </c:pt>
                <c:pt idx="85">
                  <c:v>-2.6879319128595096</c:v>
                </c:pt>
                <c:pt idx="86">
                  <c:v>5.2728568486070699</c:v>
                </c:pt>
                <c:pt idx="87">
                  <c:v>3.3829407675860512E-2</c:v>
                </c:pt>
                <c:pt idx="88">
                  <c:v>3.0922839281663643</c:v>
                </c:pt>
                <c:pt idx="89">
                  <c:v>1.9021533523122374</c:v>
                </c:pt>
                <c:pt idx="90">
                  <c:v>2.3516852225583316</c:v>
                </c:pt>
                <c:pt idx="91">
                  <c:v>0.23884051316027222</c:v>
                </c:pt>
                <c:pt idx="92">
                  <c:v>-1.9455871075318782</c:v>
                </c:pt>
                <c:pt idx="93">
                  <c:v>2.8246789037361797</c:v>
                </c:pt>
                <c:pt idx="94">
                  <c:v>3.6669743245121946</c:v>
                </c:pt>
                <c:pt idx="95">
                  <c:v>-1.0502721111797233</c:v>
                </c:pt>
                <c:pt idx="96">
                  <c:v>-0.6418533378983291</c:v>
                </c:pt>
                <c:pt idx="97">
                  <c:v>4.8365080888614704</c:v>
                </c:pt>
                <c:pt idx="98">
                  <c:v>3.7163296650924496</c:v>
                </c:pt>
                <c:pt idx="99">
                  <c:v>-2.288588366278848</c:v>
                </c:pt>
                <c:pt idx="100">
                  <c:v>-1.3906193629532329</c:v>
                </c:pt>
                <c:pt idx="101">
                  <c:v>1.4647371783965997</c:v>
                </c:pt>
                <c:pt idx="102">
                  <c:v>-1.9352576119033653</c:v>
                </c:pt>
                <c:pt idx="103">
                  <c:v>-9.5199985898647199E-2</c:v>
                </c:pt>
                <c:pt idx="104">
                  <c:v>0.33806770029495237</c:v>
                </c:pt>
                <c:pt idx="105">
                  <c:v>-0.6540408353252527</c:v>
                </c:pt>
                <c:pt idx="106">
                  <c:v>-0.31024433281533437</c:v>
                </c:pt>
                <c:pt idx="107">
                  <c:v>3.9595929970944406</c:v>
                </c:pt>
                <c:pt idx="108">
                  <c:v>-2.6815296111543114</c:v>
                </c:pt>
                <c:pt idx="109">
                  <c:v>-0.90647820671285562</c:v>
                </c:pt>
                <c:pt idx="110">
                  <c:v>2.7615631121560105</c:v>
                </c:pt>
                <c:pt idx="111">
                  <c:v>0.18196946666753977</c:v>
                </c:pt>
                <c:pt idx="112">
                  <c:v>-0.61759331670920137</c:v>
                </c:pt>
                <c:pt idx="113">
                  <c:v>0.93650446135609844</c:v>
                </c:pt>
                <c:pt idx="114">
                  <c:v>-3.0101958865312568</c:v>
                </c:pt>
                <c:pt idx="115">
                  <c:v>2.6247718485411218</c:v>
                </c:pt>
                <c:pt idx="116">
                  <c:v>-0.2379013959422478</c:v>
                </c:pt>
                <c:pt idx="117">
                  <c:v>-1.8883026831091234</c:v>
                </c:pt>
                <c:pt idx="118">
                  <c:v>-5.0334980697882541</c:v>
                </c:pt>
                <c:pt idx="119">
                  <c:v>-2.2235249200562497</c:v>
                </c:pt>
                <c:pt idx="120">
                  <c:v>-0.61466087101958067</c:v>
                </c:pt>
                <c:pt idx="121">
                  <c:v>-1.0174196874984895</c:v>
                </c:pt>
                <c:pt idx="122">
                  <c:v>-2.2303388887243241</c:v>
                </c:pt>
                <c:pt idx="123">
                  <c:v>-1.3527720851436973</c:v>
                </c:pt>
                <c:pt idx="124">
                  <c:v>-0.43746145731899944</c:v>
                </c:pt>
                <c:pt idx="125">
                  <c:v>-1.7588712763781436</c:v>
                </c:pt>
                <c:pt idx="126">
                  <c:v>-2.2868442426004925</c:v>
                </c:pt>
                <c:pt idx="127">
                  <c:v>-2.0185441475571935</c:v>
                </c:pt>
                <c:pt idx="128">
                  <c:v>-1.1668406937200104</c:v>
                </c:pt>
                <c:pt idx="129">
                  <c:v>-3.9265257685051971</c:v>
                </c:pt>
                <c:pt idx="130">
                  <c:v>0.94804463276326434</c:v>
                </c:pt>
                <c:pt idx="131">
                  <c:v>-1.7328967200399079</c:v>
                </c:pt>
                <c:pt idx="132">
                  <c:v>0.10655407699165487</c:v>
                </c:pt>
                <c:pt idx="133">
                  <c:v>-0.7545413763355806</c:v>
                </c:pt>
                <c:pt idx="134">
                  <c:v>-2.1441776136755584</c:v>
                </c:pt>
                <c:pt idx="135">
                  <c:v>-2.5180292365826995</c:v>
                </c:pt>
                <c:pt idx="136">
                  <c:v>-3.2200469000102587</c:v>
                </c:pt>
                <c:pt idx="137">
                  <c:v>-3.181746172882888</c:v>
                </c:pt>
                <c:pt idx="138">
                  <c:v>-0.7498580789684457</c:v>
                </c:pt>
                <c:pt idx="139">
                  <c:v>4.0408938311139355</c:v>
                </c:pt>
                <c:pt idx="140">
                  <c:v>-0.41351136276705791</c:v>
                </c:pt>
                <c:pt idx="141">
                  <c:v>-1.6425221056635566</c:v>
                </c:pt>
                <c:pt idx="142">
                  <c:v>-4.9041707178086469</c:v>
                </c:pt>
                <c:pt idx="143">
                  <c:v>1.378291929576597</c:v>
                </c:pt>
                <c:pt idx="144">
                  <c:v>-4.8078916607185604</c:v>
                </c:pt>
                <c:pt idx="145">
                  <c:v>5.2058953603833071</c:v>
                </c:pt>
                <c:pt idx="146">
                  <c:v>-1.4148533850144966</c:v>
                </c:pt>
                <c:pt idx="147">
                  <c:v>-1.5585038005741185</c:v>
                </c:pt>
                <c:pt idx="148">
                  <c:v>-2.0156044886066682</c:v>
                </c:pt>
                <c:pt idx="149">
                  <c:v>-3.4157168642384832</c:v>
                </c:pt>
                <c:pt idx="150">
                  <c:v>-4.5945801616418649</c:v>
                </c:pt>
                <c:pt idx="151">
                  <c:v>-3.1316148073310242</c:v>
                </c:pt>
                <c:pt idx="152">
                  <c:v>3.8065500943455044</c:v>
                </c:pt>
                <c:pt idx="153">
                  <c:v>-1.5332928957721723</c:v>
                </c:pt>
                <c:pt idx="154">
                  <c:v>-4.2378018846992713</c:v>
                </c:pt>
                <c:pt idx="155">
                  <c:v>-4.3695868839016221</c:v>
                </c:pt>
                <c:pt idx="156">
                  <c:v>-0.12853320544633229</c:v>
                </c:pt>
                <c:pt idx="157">
                  <c:v>-1.8282328653283919</c:v>
                </c:pt>
                <c:pt idx="158">
                  <c:v>-2.7239578488988392</c:v>
                </c:pt>
                <c:pt idx="159">
                  <c:v>-4.8294172795953507</c:v>
                </c:pt>
                <c:pt idx="160">
                  <c:v>-3.344058135125572</c:v>
                </c:pt>
                <c:pt idx="161">
                  <c:v>-2.2194664708597762</c:v>
                </c:pt>
                <c:pt idx="162">
                  <c:v>-3.62099173598512</c:v>
                </c:pt>
                <c:pt idx="163">
                  <c:v>-2.8313363869206314</c:v>
                </c:pt>
                <c:pt idx="164">
                  <c:v>-3.2634618933980373</c:v>
                </c:pt>
                <c:pt idx="165">
                  <c:v>-3.4908419949060274</c:v>
                </c:pt>
                <c:pt idx="166">
                  <c:v>-1.3826489095552605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12E-42DF-89F5-463F810B4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152200"/>
        <c:axId val="809152592"/>
      </c:scatterChart>
      <c:valAx>
        <c:axId val="809152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EBITDA Margin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809152592"/>
        <c:crosses val="autoZero"/>
        <c:crossBetween val="midCat"/>
      </c:valAx>
      <c:valAx>
        <c:axId val="8091525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152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Profit Margin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#REF!</c:f>
            </c:numRef>
          </c:xVal>
          <c:yVal>
            <c:numRef>
              <c:f>'Full Sample Output'!$C$32:$C$198</c:f>
              <c:numCache>
                <c:formatCode>General</c:formatCode>
                <c:ptCount val="167"/>
                <c:pt idx="0">
                  <c:v>1.7669718943015456</c:v>
                </c:pt>
                <c:pt idx="1">
                  <c:v>-1.0447320014463566</c:v>
                </c:pt>
                <c:pt idx="2">
                  <c:v>4.8919822813083487</c:v>
                </c:pt>
                <c:pt idx="3">
                  <c:v>1.1549489891363711</c:v>
                </c:pt>
                <c:pt idx="4">
                  <c:v>1.0930640601392287</c:v>
                </c:pt>
                <c:pt idx="5">
                  <c:v>-0.84211220615088411</c:v>
                </c:pt>
                <c:pt idx="6">
                  <c:v>1.873196519741346</c:v>
                </c:pt>
                <c:pt idx="7">
                  <c:v>3.8586943047261792</c:v>
                </c:pt>
                <c:pt idx="8">
                  <c:v>3.1144811414228259</c:v>
                </c:pt>
                <c:pt idx="9">
                  <c:v>3.3272695382028052</c:v>
                </c:pt>
                <c:pt idx="10">
                  <c:v>2.9507787406976211</c:v>
                </c:pt>
                <c:pt idx="11">
                  <c:v>1.0551512393290858</c:v>
                </c:pt>
                <c:pt idx="12">
                  <c:v>-1.2353890112146582</c:v>
                </c:pt>
                <c:pt idx="13">
                  <c:v>0.56405279896019023</c:v>
                </c:pt>
                <c:pt idx="14">
                  <c:v>-2.0462860298297629</c:v>
                </c:pt>
                <c:pt idx="15">
                  <c:v>0.67292305791385054</c:v>
                </c:pt>
                <c:pt idx="16">
                  <c:v>0.23142665889082004</c:v>
                </c:pt>
                <c:pt idx="17">
                  <c:v>6.6920178567113915</c:v>
                </c:pt>
                <c:pt idx="18">
                  <c:v>2.2647917149545433</c:v>
                </c:pt>
                <c:pt idx="19">
                  <c:v>-2.5491769474602357</c:v>
                </c:pt>
                <c:pt idx="20">
                  <c:v>-0.15706947729389142</c:v>
                </c:pt>
                <c:pt idx="21">
                  <c:v>0.40986745186816176</c:v>
                </c:pt>
                <c:pt idx="22">
                  <c:v>-1.4640198725269773</c:v>
                </c:pt>
                <c:pt idx="23">
                  <c:v>-1.1058328219309308</c:v>
                </c:pt>
                <c:pt idx="24">
                  <c:v>1.034078326673312</c:v>
                </c:pt>
                <c:pt idx="25">
                  <c:v>2.675503799871759E-2</c:v>
                </c:pt>
                <c:pt idx="26">
                  <c:v>3.065202904963825</c:v>
                </c:pt>
                <c:pt idx="27">
                  <c:v>0.85033652124017767</c:v>
                </c:pt>
                <c:pt idx="28">
                  <c:v>-2.5394771242789771</c:v>
                </c:pt>
                <c:pt idx="29">
                  <c:v>4.1924826089444363</c:v>
                </c:pt>
                <c:pt idx="30">
                  <c:v>-1.8411683004603157</c:v>
                </c:pt>
                <c:pt idx="31">
                  <c:v>2.4378635083096087</c:v>
                </c:pt>
                <c:pt idx="32">
                  <c:v>3.2780064024748468</c:v>
                </c:pt>
                <c:pt idx="33">
                  <c:v>1.7017373019855571</c:v>
                </c:pt>
                <c:pt idx="34">
                  <c:v>-0.77798566076978037</c:v>
                </c:pt>
                <c:pt idx="35">
                  <c:v>2.0137497377811284</c:v>
                </c:pt>
                <c:pt idx="36">
                  <c:v>0.19896620768513884</c:v>
                </c:pt>
                <c:pt idx="37">
                  <c:v>4.2680156682006238</c:v>
                </c:pt>
                <c:pt idx="38">
                  <c:v>-1.3849120503524288</c:v>
                </c:pt>
                <c:pt idx="39">
                  <c:v>0.56156389041814947</c:v>
                </c:pt>
                <c:pt idx="40">
                  <c:v>5.2020444707263209</c:v>
                </c:pt>
                <c:pt idx="41">
                  <c:v>0.49746315313276757</c:v>
                </c:pt>
                <c:pt idx="42">
                  <c:v>4.4904607741375271</c:v>
                </c:pt>
                <c:pt idx="43">
                  <c:v>6.2172575003243988</c:v>
                </c:pt>
                <c:pt idx="44">
                  <c:v>-1.0327343738933985</c:v>
                </c:pt>
                <c:pt idx="45">
                  <c:v>0.35040813143754468</c:v>
                </c:pt>
                <c:pt idx="46">
                  <c:v>2.2894464771291094</c:v>
                </c:pt>
                <c:pt idx="47">
                  <c:v>1.2880657923838505</c:v>
                </c:pt>
                <c:pt idx="48">
                  <c:v>0.67208807398336035</c:v>
                </c:pt>
                <c:pt idx="49">
                  <c:v>-1.5008645797925073</c:v>
                </c:pt>
                <c:pt idx="50">
                  <c:v>-1.2416297899642263</c:v>
                </c:pt>
                <c:pt idx="51">
                  <c:v>0.88165979682049933</c:v>
                </c:pt>
                <c:pt idx="52">
                  <c:v>0.58991819501325615</c:v>
                </c:pt>
                <c:pt idx="53">
                  <c:v>1.5499573088252481</c:v>
                </c:pt>
                <c:pt idx="54">
                  <c:v>-1.9072552452426903</c:v>
                </c:pt>
                <c:pt idx="55">
                  <c:v>4.8565530492107687</c:v>
                </c:pt>
                <c:pt idx="56">
                  <c:v>-1.0152068146467284</c:v>
                </c:pt>
                <c:pt idx="57">
                  <c:v>2.1275434983391479</c:v>
                </c:pt>
                <c:pt idx="58">
                  <c:v>1.2424298627618411</c:v>
                </c:pt>
                <c:pt idx="59">
                  <c:v>-1.0550808673378329</c:v>
                </c:pt>
                <c:pt idx="60">
                  <c:v>-0.48884459068659147</c:v>
                </c:pt>
                <c:pt idx="61">
                  <c:v>-0.53496986215863718</c:v>
                </c:pt>
                <c:pt idx="62">
                  <c:v>-2.2961527388623821</c:v>
                </c:pt>
                <c:pt idx="63">
                  <c:v>6.2419925776132974</c:v>
                </c:pt>
                <c:pt idx="64">
                  <c:v>-3.1139473461421496</c:v>
                </c:pt>
                <c:pt idx="65">
                  <c:v>-1.0112571062091447</c:v>
                </c:pt>
                <c:pt idx="66">
                  <c:v>-0.74763288052775057</c:v>
                </c:pt>
                <c:pt idx="67">
                  <c:v>-7.2632096451483719E-2</c:v>
                </c:pt>
                <c:pt idx="68">
                  <c:v>-1.4366325498358847</c:v>
                </c:pt>
                <c:pt idx="69">
                  <c:v>2.1268414473107189</c:v>
                </c:pt>
                <c:pt idx="70">
                  <c:v>6.5800081236250003</c:v>
                </c:pt>
                <c:pt idx="71">
                  <c:v>0.869020122196277</c:v>
                </c:pt>
                <c:pt idx="72">
                  <c:v>2.6055246580954883</c:v>
                </c:pt>
                <c:pt idx="73">
                  <c:v>-0.64114279766632087</c:v>
                </c:pt>
                <c:pt idx="74">
                  <c:v>-2.1653135979686273</c:v>
                </c:pt>
                <c:pt idx="75">
                  <c:v>-0.87334855559243518</c:v>
                </c:pt>
                <c:pt idx="76">
                  <c:v>2.2489798870626423</c:v>
                </c:pt>
                <c:pt idx="77">
                  <c:v>0.31563516943793513</c:v>
                </c:pt>
                <c:pt idx="78">
                  <c:v>-2.3616183504433006</c:v>
                </c:pt>
                <c:pt idx="79">
                  <c:v>2.6184120588540276</c:v>
                </c:pt>
                <c:pt idx="80">
                  <c:v>2.9745531460892147</c:v>
                </c:pt>
                <c:pt idx="81">
                  <c:v>-4.1990147246097695</c:v>
                </c:pt>
                <c:pt idx="82">
                  <c:v>-0.65120629167580457</c:v>
                </c:pt>
                <c:pt idx="83">
                  <c:v>-0.82397675616464117</c:v>
                </c:pt>
                <c:pt idx="84">
                  <c:v>0.49519885209931847</c:v>
                </c:pt>
                <c:pt idx="85">
                  <c:v>-2.6879319128595096</c:v>
                </c:pt>
                <c:pt idx="86">
                  <c:v>5.2728568486070699</c:v>
                </c:pt>
                <c:pt idx="87">
                  <c:v>3.3829407675860512E-2</c:v>
                </c:pt>
                <c:pt idx="88">
                  <c:v>3.0922839281663643</c:v>
                </c:pt>
                <c:pt idx="89">
                  <c:v>1.9021533523122374</c:v>
                </c:pt>
                <c:pt idx="90">
                  <c:v>2.3516852225583316</c:v>
                </c:pt>
                <c:pt idx="91">
                  <c:v>0.23884051316027222</c:v>
                </c:pt>
                <c:pt idx="92">
                  <c:v>-1.9455871075318782</c:v>
                </c:pt>
                <c:pt idx="93">
                  <c:v>2.8246789037361797</c:v>
                </c:pt>
                <c:pt idx="94">
                  <c:v>3.6669743245121946</c:v>
                </c:pt>
                <c:pt idx="95">
                  <c:v>-1.0502721111797233</c:v>
                </c:pt>
                <c:pt idx="96">
                  <c:v>-0.6418533378983291</c:v>
                </c:pt>
                <c:pt idx="97">
                  <c:v>4.8365080888614704</c:v>
                </c:pt>
                <c:pt idx="98">
                  <c:v>3.7163296650924496</c:v>
                </c:pt>
                <c:pt idx="99">
                  <c:v>-2.288588366278848</c:v>
                </c:pt>
                <c:pt idx="100">
                  <c:v>-1.3906193629532329</c:v>
                </c:pt>
                <c:pt idx="101">
                  <c:v>1.4647371783965997</c:v>
                </c:pt>
                <c:pt idx="102">
                  <c:v>-1.9352576119033653</c:v>
                </c:pt>
                <c:pt idx="103">
                  <c:v>-9.5199985898647199E-2</c:v>
                </c:pt>
                <c:pt idx="104">
                  <c:v>0.33806770029495237</c:v>
                </c:pt>
                <c:pt idx="105">
                  <c:v>-0.6540408353252527</c:v>
                </c:pt>
                <c:pt idx="106">
                  <c:v>-0.31024433281533437</c:v>
                </c:pt>
                <c:pt idx="107">
                  <c:v>3.9595929970944406</c:v>
                </c:pt>
                <c:pt idx="108">
                  <c:v>-2.6815296111543114</c:v>
                </c:pt>
                <c:pt idx="109">
                  <c:v>-0.90647820671285562</c:v>
                </c:pt>
                <c:pt idx="110">
                  <c:v>2.7615631121560105</c:v>
                </c:pt>
                <c:pt idx="111">
                  <c:v>0.18196946666753977</c:v>
                </c:pt>
                <c:pt idx="112">
                  <c:v>-0.61759331670920137</c:v>
                </c:pt>
                <c:pt idx="113">
                  <c:v>0.93650446135609844</c:v>
                </c:pt>
                <c:pt idx="114">
                  <c:v>-3.0101958865312568</c:v>
                </c:pt>
                <c:pt idx="115">
                  <c:v>2.6247718485411218</c:v>
                </c:pt>
                <c:pt idx="116">
                  <c:v>-0.2379013959422478</c:v>
                </c:pt>
                <c:pt idx="117">
                  <c:v>-1.8883026831091234</c:v>
                </c:pt>
                <c:pt idx="118">
                  <c:v>-5.0334980697882541</c:v>
                </c:pt>
                <c:pt idx="119">
                  <c:v>-2.2235249200562497</c:v>
                </c:pt>
                <c:pt idx="120">
                  <c:v>-0.61466087101958067</c:v>
                </c:pt>
                <c:pt idx="121">
                  <c:v>-1.0174196874984895</c:v>
                </c:pt>
                <c:pt idx="122">
                  <c:v>-2.2303388887243241</c:v>
                </c:pt>
                <c:pt idx="123">
                  <c:v>-1.3527720851436973</c:v>
                </c:pt>
                <c:pt idx="124">
                  <c:v>-0.43746145731899944</c:v>
                </c:pt>
                <c:pt idx="125">
                  <c:v>-1.7588712763781436</c:v>
                </c:pt>
                <c:pt idx="126">
                  <c:v>-2.2868442426004925</c:v>
                </c:pt>
                <c:pt idx="127">
                  <c:v>-2.0185441475571935</c:v>
                </c:pt>
                <c:pt idx="128">
                  <c:v>-1.1668406937200104</c:v>
                </c:pt>
                <c:pt idx="129">
                  <c:v>-3.9265257685051971</c:v>
                </c:pt>
                <c:pt idx="130">
                  <c:v>0.94804463276326434</c:v>
                </c:pt>
                <c:pt idx="131">
                  <c:v>-1.7328967200399079</c:v>
                </c:pt>
                <c:pt idx="132">
                  <c:v>0.10655407699165487</c:v>
                </c:pt>
                <c:pt idx="133">
                  <c:v>-0.7545413763355806</c:v>
                </c:pt>
                <c:pt idx="134">
                  <c:v>-2.1441776136755584</c:v>
                </c:pt>
                <c:pt idx="135">
                  <c:v>-2.5180292365826995</c:v>
                </c:pt>
                <c:pt idx="136">
                  <c:v>-3.2200469000102587</c:v>
                </c:pt>
                <c:pt idx="137">
                  <c:v>-3.181746172882888</c:v>
                </c:pt>
                <c:pt idx="138">
                  <c:v>-0.7498580789684457</c:v>
                </c:pt>
                <c:pt idx="139">
                  <c:v>4.0408938311139355</c:v>
                </c:pt>
                <c:pt idx="140">
                  <c:v>-0.41351136276705791</c:v>
                </c:pt>
                <c:pt idx="141">
                  <c:v>-1.6425221056635566</c:v>
                </c:pt>
                <c:pt idx="142">
                  <c:v>-4.9041707178086469</c:v>
                </c:pt>
                <c:pt idx="143">
                  <c:v>1.378291929576597</c:v>
                </c:pt>
                <c:pt idx="144">
                  <c:v>-4.8078916607185604</c:v>
                </c:pt>
                <c:pt idx="145">
                  <c:v>5.2058953603833071</c:v>
                </c:pt>
                <c:pt idx="146">
                  <c:v>-1.4148533850144966</c:v>
                </c:pt>
                <c:pt idx="147">
                  <c:v>-1.5585038005741185</c:v>
                </c:pt>
                <c:pt idx="148">
                  <c:v>-2.0156044886066682</c:v>
                </c:pt>
                <c:pt idx="149">
                  <c:v>-3.4157168642384832</c:v>
                </c:pt>
                <c:pt idx="150">
                  <c:v>-4.5945801616418649</c:v>
                </c:pt>
                <c:pt idx="151">
                  <c:v>-3.1316148073310242</c:v>
                </c:pt>
                <c:pt idx="152">
                  <c:v>3.8065500943455044</c:v>
                </c:pt>
                <c:pt idx="153">
                  <c:v>-1.5332928957721723</c:v>
                </c:pt>
                <c:pt idx="154">
                  <c:v>-4.2378018846992713</c:v>
                </c:pt>
                <c:pt idx="155">
                  <c:v>-4.3695868839016221</c:v>
                </c:pt>
                <c:pt idx="156">
                  <c:v>-0.12853320544633229</c:v>
                </c:pt>
                <c:pt idx="157">
                  <c:v>-1.8282328653283919</c:v>
                </c:pt>
                <c:pt idx="158">
                  <c:v>-2.7239578488988392</c:v>
                </c:pt>
                <c:pt idx="159">
                  <c:v>-4.8294172795953507</c:v>
                </c:pt>
                <c:pt idx="160">
                  <c:v>-3.344058135125572</c:v>
                </c:pt>
                <c:pt idx="161">
                  <c:v>-2.2194664708597762</c:v>
                </c:pt>
                <c:pt idx="162">
                  <c:v>-3.62099173598512</c:v>
                </c:pt>
                <c:pt idx="163">
                  <c:v>-2.8313363869206314</c:v>
                </c:pt>
                <c:pt idx="164">
                  <c:v>-3.2634618933980373</c:v>
                </c:pt>
                <c:pt idx="165">
                  <c:v>-3.4908419949060274</c:v>
                </c:pt>
                <c:pt idx="166">
                  <c:v>-1.3826489095552605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C59-4358-9119-02352C69E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153376"/>
        <c:axId val="809153768"/>
      </c:scatterChart>
      <c:valAx>
        <c:axId val="809153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Profit Margin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809153768"/>
        <c:crosses val="autoZero"/>
        <c:crossBetween val="midCat"/>
      </c:valAx>
      <c:valAx>
        <c:axId val="8091537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153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Rev Growth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EV/Rev</c:v>
          </c:tx>
          <c:spPr>
            <a:ln w="19050">
              <a:noFill/>
            </a:ln>
          </c:spP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58A-478F-B11C-E12E40729C1B}"/>
            </c:ext>
          </c:extLst>
        </c:ser>
        <c:ser>
          <c:idx val="1"/>
          <c:order val="1"/>
          <c:tx>
            <c:v>Predicted EV/Rev</c:v>
          </c:tx>
          <c:spPr>
            <a:ln w="19050">
              <a:noFill/>
            </a:ln>
          </c:spPr>
          <c:xVal>
            <c:numRef>
              <c:f>#REF!</c:f>
            </c:numRef>
          </c:xVal>
          <c:yVal>
            <c:numRef>
              <c:f>'Full Sample Output'!$B$32:$B$198</c:f>
              <c:numCache>
                <c:formatCode>General</c:formatCode>
                <c:ptCount val="167"/>
                <c:pt idx="0">
                  <c:v>4.4097982972586358</c:v>
                </c:pt>
                <c:pt idx="1">
                  <c:v>5.4746191468033576</c:v>
                </c:pt>
                <c:pt idx="2">
                  <c:v>6.4890269023863878</c:v>
                </c:pt>
                <c:pt idx="3">
                  <c:v>6.0575964519159671</c:v>
                </c:pt>
                <c:pt idx="4">
                  <c:v>3.2563449096110659</c:v>
                </c:pt>
                <c:pt idx="5">
                  <c:v>6.2675512760222905</c:v>
                </c:pt>
                <c:pt idx="6">
                  <c:v>6.0365559845177623</c:v>
                </c:pt>
                <c:pt idx="7">
                  <c:v>6.3075821640522429</c:v>
                </c:pt>
                <c:pt idx="8">
                  <c:v>5.9168420863291553</c:v>
                </c:pt>
                <c:pt idx="9">
                  <c:v>6.8195983016376038</c:v>
                </c:pt>
                <c:pt idx="10">
                  <c:v>5.2088798770674858</c:v>
                </c:pt>
                <c:pt idx="11">
                  <c:v>5.2562000026732747</c:v>
                </c:pt>
                <c:pt idx="12">
                  <c:v>6.5623867568135186</c:v>
                </c:pt>
                <c:pt idx="13">
                  <c:v>3.7317828451554651</c:v>
                </c:pt>
                <c:pt idx="14">
                  <c:v>6.1908183364450933</c:v>
                </c:pt>
                <c:pt idx="15">
                  <c:v>4.6107408405119967</c:v>
                </c:pt>
                <c:pt idx="16">
                  <c:v>6.39553205451067</c:v>
                </c:pt>
                <c:pt idx="17">
                  <c:v>5.5747689497978392</c:v>
                </c:pt>
                <c:pt idx="18">
                  <c:v>2.5415292528825768</c:v>
                </c:pt>
                <c:pt idx="19">
                  <c:v>6.8784398478861108</c:v>
                </c:pt>
                <c:pt idx="20">
                  <c:v>7.0018227850837294</c:v>
                </c:pt>
                <c:pt idx="21">
                  <c:v>6.0637932334303235</c:v>
                </c:pt>
                <c:pt idx="22">
                  <c:v>6.2893129561349559</c:v>
                </c:pt>
                <c:pt idx="23">
                  <c:v>5.1979130911415137</c:v>
                </c:pt>
                <c:pt idx="24">
                  <c:v>2.1592870681963228</c:v>
                </c:pt>
                <c:pt idx="25">
                  <c:v>5.7754770764686905</c:v>
                </c:pt>
                <c:pt idx="26">
                  <c:v>6.0694552153273689</c:v>
                </c:pt>
                <c:pt idx="27">
                  <c:v>3.3461847800522664</c:v>
                </c:pt>
                <c:pt idx="28">
                  <c:v>5.6061427357479001</c:v>
                </c:pt>
                <c:pt idx="29">
                  <c:v>2.9073805665769519</c:v>
                </c:pt>
                <c:pt idx="30">
                  <c:v>3.4602069011283558</c:v>
                </c:pt>
                <c:pt idx="31">
                  <c:v>5.5636700851741425</c:v>
                </c:pt>
                <c:pt idx="32">
                  <c:v>4.038964891916911</c:v>
                </c:pt>
                <c:pt idx="33">
                  <c:v>4.7506153519555925</c:v>
                </c:pt>
                <c:pt idx="34">
                  <c:v>4.6297982380735627</c:v>
                </c:pt>
                <c:pt idx="35">
                  <c:v>4.9985857454680014</c:v>
                </c:pt>
                <c:pt idx="36">
                  <c:v>6.8704485628664926</c:v>
                </c:pt>
                <c:pt idx="37">
                  <c:v>3.6392769047882481</c:v>
                </c:pt>
                <c:pt idx="38">
                  <c:v>3.1907923827752929</c:v>
                </c:pt>
                <c:pt idx="39">
                  <c:v>5.8259764836135828</c:v>
                </c:pt>
                <c:pt idx="40">
                  <c:v>6.7113401149659069</c:v>
                </c:pt>
                <c:pt idx="41">
                  <c:v>3.5675370666474526</c:v>
                </c:pt>
                <c:pt idx="42">
                  <c:v>4.0334239797640334</c:v>
                </c:pt>
                <c:pt idx="43">
                  <c:v>6.3512445678063365</c:v>
                </c:pt>
                <c:pt idx="44">
                  <c:v>5.5975032491480343</c:v>
                </c:pt>
                <c:pt idx="45">
                  <c:v>2.1167519605759151</c:v>
                </c:pt>
                <c:pt idx="46">
                  <c:v>6.1182932533074812</c:v>
                </c:pt>
                <c:pt idx="47">
                  <c:v>6.5627217183975883</c:v>
                </c:pt>
                <c:pt idx="48">
                  <c:v>5.3459432031525136</c:v>
                </c:pt>
                <c:pt idx="49">
                  <c:v>3.4540713891434667</c:v>
                </c:pt>
                <c:pt idx="50">
                  <c:v>3.2366545934315551</c:v>
                </c:pt>
                <c:pt idx="51">
                  <c:v>4.716691700209048</c:v>
                </c:pt>
                <c:pt idx="52">
                  <c:v>5.9453899492039435</c:v>
                </c:pt>
                <c:pt idx="53">
                  <c:v>6.9403624914854669</c:v>
                </c:pt>
                <c:pt idx="54">
                  <c:v>5.6114063898208038</c:v>
                </c:pt>
                <c:pt idx="55">
                  <c:v>3.3634641131107297</c:v>
                </c:pt>
                <c:pt idx="56">
                  <c:v>4.2138613199713175</c:v>
                </c:pt>
                <c:pt idx="57">
                  <c:v>6.9276515626333497</c:v>
                </c:pt>
                <c:pt idx="58">
                  <c:v>4.85764601431186</c:v>
                </c:pt>
                <c:pt idx="59">
                  <c:v>5.2452730423755565</c:v>
                </c:pt>
                <c:pt idx="60">
                  <c:v>1.4917965497292258</c:v>
                </c:pt>
                <c:pt idx="61">
                  <c:v>2.1070548618753207</c:v>
                </c:pt>
                <c:pt idx="62">
                  <c:v>5.6223933384585809</c:v>
                </c:pt>
                <c:pt idx="63">
                  <c:v>6.0083778234130651</c:v>
                </c:pt>
                <c:pt idx="64">
                  <c:v>6.5253556536769661</c:v>
                </c:pt>
                <c:pt idx="65">
                  <c:v>3.8842226298612714</c:v>
                </c:pt>
                <c:pt idx="66">
                  <c:v>7.4225841819356297</c:v>
                </c:pt>
                <c:pt idx="67">
                  <c:v>4.1824644242875886</c:v>
                </c:pt>
                <c:pt idx="68">
                  <c:v>5.184005240353188</c:v>
                </c:pt>
                <c:pt idx="69">
                  <c:v>4.9481487209120925</c:v>
                </c:pt>
                <c:pt idx="70">
                  <c:v>7.7502732112605264</c:v>
                </c:pt>
                <c:pt idx="71">
                  <c:v>4.1774656277146605</c:v>
                </c:pt>
                <c:pt idx="72">
                  <c:v>5.7289047384718383</c:v>
                </c:pt>
                <c:pt idx="73">
                  <c:v>3.9812834580436793</c:v>
                </c:pt>
                <c:pt idx="74">
                  <c:v>4.794684114016456</c:v>
                </c:pt>
                <c:pt idx="75">
                  <c:v>5.9634483537429297</c:v>
                </c:pt>
                <c:pt idx="76">
                  <c:v>4.2559180587563752</c:v>
                </c:pt>
                <c:pt idx="77">
                  <c:v>4.4323466912446268</c:v>
                </c:pt>
                <c:pt idx="78">
                  <c:v>6.2271118653075934</c:v>
                </c:pt>
                <c:pt idx="79">
                  <c:v>7.4499563044102652</c:v>
                </c:pt>
                <c:pt idx="80">
                  <c:v>7.5615326008076318</c:v>
                </c:pt>
                <c:pt idx="81">
                  <c:v>7.1541965111427865</c:v>
                </c:pt>
                <c:pt idx="82">
                  <c:v>5.8189179597159422</c:v>
                </c:pt>
                <c:pt idx="83">
                  <c:v>6.8995228502568899</c:v>
                </c:pt>
                <c:pt idx="84">
                  <c:v>5.3130113549708504</c:v>
                </c:pt>
                <c:pt idx="85">
                  <c:v>5.9036762685385646</c:v>
                </c:pt>
                <c:pt idx="86">
                  <c:v>7.4911492177862353</c:v>
                </c:pt>
                <c:pt idx="87">
                  <c:v>2.9230364903823918</c:v>
                </c:pt>
                <c:pt idx="88">
                  <c:v>5.1805407946228454</c:v>
                </c:pt>
                <c:pt idx="89">
                  <c:v>6.8710418597726273</c:v>
                </c:pt>
                <c:pt idx="90">
                  <c:v>6.5847583261139215</c:v>
                </c:pt>
                <c:pt idx="91">
                  <c:v>4.8405846253459055</c:v>
                </c:pt>
                <c:pt idx="92">
                  <c:v>5.3170524907810623</c:v>
                </c:pt>
                <c:pt idx="93">
                  <c:v>4.9398103262005382</c:v>
                </c:pt>
                <c:pt idx="94">
                  <c:v>4.0818501434127885</c:v>
                </c:pt>
                <c:pt idx="95">
                  <c:v>3.0721058489339859</c:v>
                </c:pt>
                <c:pt idx="96">
                  <c:v>6.0987008934780684</c:v>
                </c:pt>
                <c:pt idx="97">
                  <c:v>4.948863298070763</c:v>
                </c:pt>
                <c:pt idx="98">
                  <c:v>4.8915851453803922</c:v>
                </c:pt>
                <c:pt idx="99">
                  <c:v>6.4666403392673892</c:v>
                </c:pt>
                <c:pt idx="100">
                  <c:v>2.905128526918161</c:v>
                </c:pt>
                <c:pt idx="101">
                  <c:v>3.6536851900244529</c:v>
                </c:pt>
                <c:pt idx="102">
                  <c:v>7.6741966855821149</c:v>
                </c:pt>
                <c:pt idx="103">
                  <c:v>7.3070645695245986</c:v>
                </c:pt>
                <c:pt idx="104">
                  <c:v>7.0197697068332916</c:v>
                </c:pt>
                <c:pt idx="105">
                  <c:v>4.8144203483456627</c:v>
                </c:pt>
                <c:pt idx="106">
                  <c:v>3.2945830295439524</c:v>
                </c:pt>
                <c:pt idx="107">
                  <c:v>5.2505054960546298</c:v>
                </c:pt>
                <c:pt idx="108">
                  <c:v>6.7178186547816328</c:v>
                </c:pt>
                <c:pt idx="109">
                  <c:v>6.1167289792986814</c:v>
                </c:pt>
                <c:pt idx="110">
                  <c:v>5.8619317586865547</c:v>
                </c:pt>
                <c:pt idx="111">
                  <c:v>4.9184169262135526</c:v>
                </c:pt>
                <c:pt idx="112">
                  <c:v>6.1562791035755131</c:v>
                </c:pt>
                <c:pt idx="113">
                  <c:v>5.4663059771559048</c:v>
                </c:pt>
                <c:pt idx="114">
                  <c:v>6.6686219833385625</c:v>
                </c:pt>
                <c:pt idx="115">
                  <c:v>6.2989478296615227</c:v>
                </c:pt>
                <c:pt idx="116">
                  <c:v>5.4687966382167721</c:v>
                </c:pt>
                <c:pt idx="117">
                  <c:v>4.8527572418253886</c:v>
                </c:pt>
                <c:pt idx="118">
                  <c:v>6.4332050736793045</c:v>
                </c:pt>
                <c:pt idx="119">
                  <c:v>5.7655428380373221</c:v>
                </c:pt>
                <c:pt idx="120">
                  <c:v>5.9302485546707215</c:v>
                </c:pt>
                <c:pt idx="121">
                  <c:v>2.5854203800725566</c:v>
                </c:pt>
                <c:pt idx="122">
                  <c:v>2.9766076481568624</c:v>
                </c:pt>
                <c:pt idx="123">
                  <c:v>6.0442251822563557</c:v>
                </c:pt>
                <c:pt idx="124">
                  <c:v>6.8114724002656519</c:v>
                </c:pt>
                <c:pt idx="125">
                  <c:v>5.8386900370933033</c:v>
                </c:pt>
                <c:pt idx="126">
                  <c:v>4.3556167453604608</c:v>
                </c:pt>
                <c:pt idx="127">
                  <c:v>3.5676143129878835</c:v>
                </c:pt>
                <c:pt idx="128">
                  <c:v>2.076903016822345</c:v>
                </c:pt>
                <c:pt idx="129">
                  <c:v>7.0626441771657635</c:v>
                </c:pt>
                <c:pt idx="130">
                  <c:v>4.9250998093064116</c:v>
                </c:pt>
                <c:pt idx="131">
                  <c:v>6.1050627115051306</c:v>
                </c:pt>
                <c:pt idx="132">
                  <c:v>3.9930478267535641</c:v>
                </c:pt>
                <c:pt idx="133">
                  <c:v>3.1253651453100346</c:v>
                </c:pt>
                <c:pt idx="134">
                  <c:v>4.1592544534291296</c:v>
                </c:pt>
                <c:pt idx="135">
                  <c:v>4.0282467239947204</c:v>
                </c:pt>
                <c:pt idx="136">
                  <c:v>6.2914922294172166</c:v>
                </c:pt>
                <c:pt idx="137">
                  <c:v>5.8707858243342015</c:v>
                </c:pt>
                <c:pt idx="138">
                  <c:v>1.9667597203058318</c:v>
                </c:pt>
                <c:pt idx="139">
                  <c:v>3.2201465281524002</c:v>
                </c:pt>
                <c:pt idx="140">
                  <c:v>5.2472887217425157</c:v>
                </c:pt>
                <c:pt idx="141">
                  <c:v>4.7765553392959923</c:v>
                </c:pt>
                <c:pt idx="142">
                  <c:v>6.5840033169275891</c:v>
                </c:pt>
                <c:pt idx="143">
                  <c:v>6.4346586964569497</c:v>
                </c:pt>
                <c:pt idx="144">
                  <c:v>6.0538410820644675</c:v>
                </c:pt>
                <c:pt idx="145">
                  <c:v>4.58327985835645</c:v>
                </c:pt>
                <c:pt idx="146">
                  <c:v>2.6603876042835997</c:v>
                </c:pt>
                <c:pt idx="147">
                  <c:v>3.8241750712923506</c:v>
                </c:pt>
                <c:pt idx="148">
                  <c:v>4.222204821662455</c:v>
                </c:pt>
                <c:pt idx="149">
                  <c:v>6.9224533911845905</c:v>
                </c:pt>
                <c:pt idx="150">
                  <c:v>6.5927222243314505</c:v>
                </c:pt>
                <c:pt idx="151">
                  <c:v>7.0732761995317031</c:v>
                </c:pt>
                <c:pt idx="152">
                  <c:v>6.3059851001661356</c:v>
                </c:pt>
                <c:pt idx="153">
                  <c:v>4.4453040971163338</c:v>
                </c:pt>
                <c:pt idx="154">
                  <c:v>6.3397105856796632</c:v>
                </c:pt>
                <c:pt idx="155">
                  <c:v>5.550287116842016</c:v>
                </c:pt>
                <c:pt idx="156">
                  <c:v>1.0465575400470928</c:v>
                </c:pt>
                <c:pt idx="157">
                  <c:v>4.8265801979050096</c:v>
                </c:pt>
                <c:pt idx="158">
                  <c:v>3.3004390730086204</c:v>
                </c:pt>
                <c:pt idx="159">
                  <c:v>6.912991760440991</c:v>
                </c:pt>
                <c:pt idx="160">
                  <c:v>4.7511450609206252</c:v>
                </c:pt>
                <c:pt idx="161">
                  <c:v>3.3254675752220071</c:v>
                </c:pt>
                <c:pt idx="162">
                  <c:v>6.0189753872112783</c:v>
                </c:pt>
                <c:pt idx="163">
                  <c:v>3.7685113762868587</c:v>
                </c:pt>
                <c:pt idx="164">
                  <c:v>4.2749277470565739</c:v>
                </c:pt>
                <c:pt idx="165">
                  <c:v>4.0511295451068303</c:v>
                </c:pt>
                <c:pt idx="166">
                  <c:v>5.3049255218318727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58A-478F-B11C-E12E40729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7003600"/>
        <c:axId val="727003992"/>
      </c:scatterChart>
      <c:valAx>
        <c:axId val="727003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Rev Growth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727003992"/>
        <c:crosses val="autoZero"/>
        <c:crossBetween val="midCat"/>
      </c:valAx>
      <c:valAx>
        <c:axId val="7270039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EV/Rev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70036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GP Margin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EV/Rev</c:v>
          </c:tx>
          <c:spPr>
            <a:ln w="19050">
              <a:noFill/>
            </a:ln>
          </c:spP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708-4BBB-9BB9-CD3394C51236}"/>
            </c:ext>
          </c:extLst>
        </c:ser>
        <c:ser>
          <c:idx val="1"/>
          <c:order val="1"/>
          <c:tx>
            <c:v>Predicted EV/Rev</c:v>
          </c:tx>
          <c:spPr>
            <a:ln w="19050">
              <a:noFill/>
            </a:ln>
          </c:spPr>
          <c:xVal>
            <c:numRef>
              <c:f>#REF!</c:f>
            </c:numRef>
          </c:xVal>
          <c:yVal>
            <c:numRef>
              <c:f>'Full Sample Output'!$B$32:$B$198</c:f>
              <c:numCache>
                <c:formatCode>General</c:formatCode>
                <c:ptCount val="167"/>
                <c:pt idx="0">
                  <c:v>4.4097982972586358</c:v>
                </c:pt>
                <c:pt idx="1">
                  <c:v>5.4746191468033576</c:v>
                </c:pt>
                <c:pt idx="2">
                  <c:v>6.4890269023863878</c:v>
                </c:pt>
                <c:pt idx="3">
                  <c:v>6.0575964519159671</c:v>
                </c:pt>
                <c:pt idx="4">
                  <c:v>3.2563449096110659</c:v>
                </c:pt>
                <c:pt idx="5">
                  <c:v>6.2675512760222905</c:v>
                </c:pt>
                <c:pt idx="6">
                  <c:v>6.0365559845177623</c:v>
                </c:pt>
                <c:pt idx="7">
                  <c:v>6.3075821640522429</c:v>
                </c:pt>
                <c:pt idx="8">
                  <c:v>5.9168420863291553</c:v>
                </c:pt>
                <c:pt idx="9">
                  <c:v>6.8195983016376038</c:v>
                </c:pt>
                <c:pt idx="10">
                  <c:v>5.2088798770674858</c:v>
                </c:pt>
                <c:pt idx="11">
                  <c:v>5.2562000026732747</c:v>
                </c:pt>
                <c:pt idx="12">
                  <c:v>6.5623867568135186</c:v>
                </c:pt>
                <c:pt idx="13">
                  <c:v>3.7317828451554651</c:v>
                </c:pt>
                <c:pt idx="14">
                  <c:v>6.1908183364450933</c:v>
                </c:pt>
                <c:pt idx="15">
                  <c:v>4.6107408405119967</c:v>
                </c:pt>
                <c:pt idx="16">
                  <c:v>6.39553205451067</c:v>
                </c:pt>
                <c:pt idx="17">
                  <c:v>5.5747689497978392</c:v>
                </c:pt>
                <c:pt idx="18">
                  <c:v>2.5415292528825768</c:v>
                </c:pt>
                <c:pt idx="19">
                  <c:v>6.8784398478861108</c:v>
                </c:pt>
                <c:pt idx="20">
                  <c:v>7.0018227850837294</c:v>
                </c:pt>
                <c:pt idx="21">
                  <c:v>6.0637932334303235</c:v>
                </c:pt>
                <c:pt idx="22">
                  <c:v>6.2893129561349559</c:v>
                </c:pt>
                <c:pt idx="23">
                  <c:v>5.1979130911415137</c:v>
                </c:pt>
                <c:pt idx="24">
                  <c:v>2.1592870681963228</c:v>
                </c:pt>
                <c:pt idx="25">
                  <c:v>5.7754770764686905</c:v>
                </c:pt>
                <c:pt idx="26">
                  <c:v>6.0694552153273689</c:v>
                </c:pt>
                <c:pt idx="27">
                  <c:v>3.3461847800522664</c:v>
                </c:pt>
                <c:pt idx="28">
                  <c:v>5.6061427357479001</c:v>
                </c:pt>
                <c:pt idx="29">
                  <c:v>2.9073805665769519</c:v>
                </c:pt>
                <c:pt idx="30">
                  <c:v>3.4602069011283558</c:v>
                </c:pt>
                <c:pt idx="31">
                  <c:v>5.5636700851741425</c:v>
                </c:pt>
                <c:pt idx="32">
                  <c:v>4.038964891916911</c:v>
                </c:pt>
                <c:pt idx="33">
                  <c:v>4.7506153519555925</c:v>
                </c:pt>
                <c:pt idx="34">
                  <c:v>4.6297982380735627</c:v>
                </c:pt>
                <c:pt idx="35">
                  <c:v>4.9985857454680014</c:v>
                </c:pt>
                <c:pt idx="36">
                  <c:v>6.8704485628664926</c:v>
                </c:pt>
                <c:pt idx="37">
                  <c:v>3.6392769047882481</c:v>
                </c:pt>
                <c:pt idx="38">
                  <c:v>3.1907923827752929</c:v>
                </c:pt>
                <c:pt idx="39">
                  <c:v>5.8259764836135828</c:v>
                </c:pt>
                <c:pt idx="40">
                  <c:v>6.7113401149659069</c:v>
                </c:pt>
                <c:pt idx="41">
                  <c:v>3.5675370666474526</c:v>
                </c:pt>
                <c:pt idx="42">
                  <c:v>4.0334239797640334</c:v>
                </c:pt>
                <c:pt idx="43">
                  <c:v>6.3512445678063365</c:v>
                </c:pt>
                <c:pt idx="44">
                  <c:v>5.5975032491480343</c:v>
                </c:pt>
                <c:pt idx="45">
                  <c:v>2.1167519605759151</c:v>
                </c:pt>
                <c:pt idx="46">
                  <c:v>6.1182932533074812</c:v>
                </c:pt>
                <c:pt idx="47">
                  <c:v>6.5627217183975883</c:v>
                </c:pt>
                <c:pt idx="48">
                  <c:v>5.3459432031525136</c:v>
                </c:pt>
                <c:pt idx="49">
                  <c:v>3.4540713891434667</c:v>
                </c:pt>
                <c:pt idx="50">
                  <c:v>3.2366545934315551</c:v>
                </c:pt>
                <c:pt idx="51">
                  <c:v>4.716691700209048</c:v>
                </c:pt>
                <c:pt idx="52">
                  <c:v>5.9453899492039435</c:v>
                </c:pt>
                <c:pt idx="53">
                  <c:v>6.9403624914854669</c:v>
                </c:pt>
                <c:pt idx="54">
                  <c:v>5.6114063898208038</c:v>
                </c:pt>
                <c:pt idx="55">
                  <c:v>3.3634641131107297</c:v>
                </c:pt>
                <c:pt idx="56">
                  <c:v>4.2138613199713175</c:v>
                </c:pt>
                <c:pt idx="57">
                  <c:v>6.9276515626333497</c:v>
                </c:pt>
                <c:pt idx="58">
                  <c:v>4.85764601431186</c:v>
                </c:pt>
                <c:pt idx="59">
                  <c:v>5.2452730423755565</c:v>
                </c:pt>
                <c:pt idx="60">
                  <c:v>1.4917965497292258</c:v>
                </c:pt>
                <c:pt idx="61">
                  <c:v>2.1070548618753207</c:v>
                </c:pt>
                <c:pt idx="62">
                  <c:v>5.6223933384585809</c:v>
                </c:pt>
                <c:pt idx="63">
                  <c:v>6.0083778234130651</c:v>
                </c:pt>
                <c:pt idx="64">
                  <c:v>6.5253556536769661</c:v>
                </c:pt>
                <c:pt idx="65">
                  <c:v>3.8842226298612714</c:v>
                </c:pt>
                <c:pt idx="66">
                  <c:v>7.4225841819356297</c:v>
                </c:pt>
                <c:pt idx="67">
                  <c:v>4.1824644242875886</c:v>
                </c:pt>
                <c:pt idx="68">
                  <c:v>5.184005240353188</c:v>
                </c:pt>
                <c:pt idx="69">
                  <c:v>4.9481487209120925</c:v>
                </c:pt>
                <c:pt idx="70">
                  <c:v>7.7502732112605264</c:v>
                </c:pt>
                <c:pt idx="71">
                  <c:v>4.1774656277146605</c:v>
                </c:pt>
                <c:pt idx="72">
                  <c:v>5.7289047384718383</c:v>
                </c:pt>
                <c:pt idx="73">
                  <c:v>3.9812834580436793</c:v>
                </c:pt>
                <c:pt idx="74">
                  <c:v>4.794684114016456</c:v>
                </c:pt>
                <c:pt idx="75">
                  <c:v>5.9634483537429297</c:v>
                </c:pt>
                <c:pt idx="76">
                  <c:v>4.2559180587563752</c:v>
                </c:pt>
                <c:pt idx="77">
                  <c:v>4.4323466912446268</c:v>
                </c:pt>
                <c:pt idx="78">
                  <c:v>6.2271118653075934</c:v>
                </c:pt>
                <c:pt idx="79">
                  <c:v>7.4499563044102652</c:v>
                </c:pt>
                <c:pt idx="80">
                  <c:v>7.5615326008076318</c:v>
                </c:pt>
                <c:pt idx="81">
                  <c:v>7.1541965111427865</c:v>
                </c:pt>
                <c:pt idx="82">
                  <c:v>5.8189179597159422</c:v>
                </c:pt>
                <c:pt idx="83">
                  <c:v>6.8995228502568899</c:v>
                </c:pt>
                <c:pt idx="84">
                  <c:v>5.3130113549708504</c:v>
                </c:pt>
                <c:pt idx="85">
                  <c:v>5.9036762685385646</c:v>
                </c:pt>
                <c:pt idx="86">
                  <c:v>7.4911492177862353</c:v>
                </c:pt>
                <c:pt idx="87">
                  <c:v>2.9230364903823918</c:v>
                </c:pt>
                <c:pt idx="88">
                  <c:v>5.1805407946228454</c:v>
                </c:pt>
                <c:pt idx="89">
                  <c:v>6.8710418597726273</c:v>
                </c:pt>
                <c:pt idx="90">
                  <c:v>6.5847583261139215</c:v>
                </c:pt>
                <c:pt idx="91">
                  <c:v>4.8405846253459055</c:v>
                </c:pt>
                <c:pt idx="92">
                  <c:v>5.3170524907810623</c:v>
                </c:pt>
                <c:pt idx="93">
                  <c:v>4.9398103262005382</c:v>
                </c:pt>
                <c:pt idx="94">
                  <c:v>4.0818501434127885</c:v>
                </c:pt>
                <c:pt idx="95">
                  <c:v>3.0721058489339859</c:v>
                </c:pt>
                <c:pt idx="96">
                  <c:v>6.0987008934780684</c:v>
                </c:pt>
                <c:pt idx="97">
                  <c:v>4.948863298070763</c:v>
                </c:pt>
                <c:pt idx="98">
                  <c:v>4.8915851453803922</c:v>
                </c:pt>
                <c:pt idx="99">
                  <c:v>6.4666403392673892</c:v>
                </c:pt>
                <c:pt idx="100">
                  <c:v>2.905128526918161</c:v>
                </c:pt>
                <c:pt idx="101">
                  <c:v>3.6536851900244529</c:v>
                </c:pt>
                <c:pt idx="102">
                  <c:v>7.6741966855821149</c:v>
                </c:pt>
                <c:pt idx="103">
                  <c:v>7.3070645695245986</c:v>
                </c:pt>
                <c:pt idx="104">
                  <c:v>7.0197697068332916</c:v>
                </c:pt>
                <c:pt idx="105">
                  <c:v>4.8144203483456627</c:v>
                </c:pt>
                <c:pt idx="106">
                  <c:v>3.2945830295439524</c:v>
                </c:pt>
                <c:pt idx="107">
                  <c:v>5.2505054960546298</c:v>
                </c:pt>
                <c:pt idx="108">
                  <c:v>6.7178186547816328</c:v>
                </c:pt>
                <c:pt idx="109">
                  <c:v>6.1167289792986814</c:v>
                </c:pt>
                <c:pt idx="110">
                  <c:v>5.8619317586865547</c:v>
                </c:pt>
                <c:pt idx="111">
                  <c:v>4.9184169262135526</c:v>
                </c:pt>
                <c:pt idx="112">
                  <c:v>6.1562791035755131</c:v>
                </c:pt>
                <c:pt idx="113">
                  <c:v>5.4663059771559048</c:v>
                </c:pt>
                <c:pt idx="114">
                  <c:v>6.6686219833385625</c:v>
                </c:pt>
                <c:pt idx="115">
                  <c:v>6.2989478296615227</c:v>
                </c:pt>
                <c:pt idx="116">
                  <c:v>5.4687966382167721</c:v>
                </c:pt>
                <c:pt idx="117">
                  <c:v>4.8527572418253886</c:v>
                </c:pt>
                <c:pt idx="118">
                  <c:v>6.4332050736793045</c:v>
                </c:pt>
                <c:pt idx="119">
                  <c:v>5.7655428380373221</c:v>
                </c:pt>
                <c:pt idx="120">
                  <c:v>5.9302485546707215</c:v>
                </c:pt>
                <c:pt idx="121">
                  <c:v>2.5854203800725566</c:v>
                </c:pt>
                <c:pt idx="122">
                  <c:v>2.9766076481568624</c:v>
                </c:pt>
                <c:pt idx="123">
                  <c:v>6.0442251822563557</c:v>
                </c:pt>
                <c:pt idx="124">
                  <c:v>6.8114724002656519</c:v>
                </c:pt>
                <c:pt idx="125">
                  <c:v>5.8386900370933033</c:v>
                </c:pt>
                <c:pt idx="126">
                  <c:v>4.3556167453604608</c:v>
                </c:pt>
                <c:pt idx="127">
                  <c:v>3.5676143129878835</c:v>
                </c:pt>
                <c:pt idx="128">
                  <c:v>2.076903016822345</c:v>
                </c:pt>
                <c:pt idx="129">
                  <c:v>7.0626441771657635</c:v>
                </c:pt>
                <c:pt idx="130">
                  <c:v>4.9250998093064116</c:v>
                </c:pt>
                <c:pt idx="131">
                  <c:v>6.1050627115051306</c:v>
                </c:pt>
                <c:pt idx="132">
                  <c:v>3.9930478267535641</c:v>
                </c:pt>
                <c:pt idx="133">
                  <c:v>3.1253651453100346</c:v>
                </c:pt>
                <c:pt idx="134">
                  <c:v>4.1592544534291296</c:v>
                </c:pt>
                <c:pt idx="135">
                  <c:v>4.0282467239947204</c:v>
                </c:pt>
                <c:pt idx="136">
                  <c:v>6.2914922294172166</c:v>
                </c:pt>
                <c:pt idx="137">
                  <c:v>5.8707858243342015</c:v>
                </c:pt>
                <c:pt idx="138">
                  <c:v>1.9667597203058318</c:v>
                </c:pt>
                <c:pt idx="139">
                  <c:v>3.2201465281524002</c:v>
                </c:pt>
                <c:pt idx="140">
                  <c:v>5.2472887217425157</c:v>
                </c:pt>
                <c:pt idx="141">
                  <c:v>4.7765553392959923</c:v>
                </c:pt>
                <c:pt idx="142">
                  <c:v>6.5840033169275891</c:v>
                </c:pt>
                <c:pt idx="143">
                  <c:v>6.4346586964569497</c:v>
                </c:pt>
                <c:pt idx="144">
                  <c:v>6.0538410820644675</c:v>
                </c:pt>
                <c:pt idx="145">
                  <c:v>4.58327985835645</c:v>
                </c:pt>
                <c:pt idx="146">
                  <c:v>2.6603876042835997</c:v>
                </c:pt>
                <c:pt idx="147">
                  <c:v>3.8241750712923506</c:v>
                </c:pt>
                <c:pt idx="148">
                  <c:v>4.222204821662455</c:v>
                </c:pt>
                <c:pt idx="149">
                  <c:v>6.9224533911845905</c:v>
                </c:pt>
                <c:pt idx="150">
                  <c:v>6.5927222243314505</c:v>
                </c:pt>
                <c:pt idx="151">
                  <c:v>7.0732761995317031</c:v>
                </c:pt>
                <c:pt idx="152">
                  <c:v>6.3059851001661356</c:v>
                </c:pt>
                <c:pt idx="153">
                  <c:v>4.4453040971163338</c:v>
                </c:pt>
                <c:pt idx="154">
                  <c:v>6.3397105856796632</c:v>
                </c:pt>
                <c:pt idx="155">
                  <c:v>5.550287116842016</c:v>
                </c:pt>
                <c:pt idx="156">
                  <c:v>1.0465575400470928</c:v>
                </c:pt>
                <c:pt idx="157">
                  <c:v>4.8265801979050096</c:v>
                </c:pt>
                <c:pt idx="158">
                  <c:v>3.3004390730086204</c:v>
                </c:pt>
                <c:pt idx="159">
                  <c:v>6.912991760440991</c:v>
                </c:pt>
                <c:pt idx="160">
                  <c:v>4.7511450609206252</c:v>
                </c:pt>
                <c:pt idx="161">
                  <c:v>3.3254675752220071</c:v>
                </c:pt>
                <c:pt idx="162">
                  <c:v>6.0189753872112783</c:v>
                </c:pt>
                <c:pt idx="163">
                  <c:v>3.7685113762868587</c:v>
                </c:pt>
                <c:pt idx="164">
                  <c:v>4.2749277470565739</c:v>
                </c:pt>
                <c:pt idx="165">
                  <c:v>4.0511295451068303</c:v>
                </c:pt>
                <c:pt idx="166">
                  <c:v>5.3049255218318727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708-4BBB-9BB9-CD3394C51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7004776"/>
        <c:axId val="727005168"/>
      </c:scatterChart>
      <c:valAx>
        <c:axId val="727004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GP Margin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727005168"/>
        <c:crosses val="autoZero"/>
        <c:crossBetween val="midCat"/>
      </c:valAx>
      <c:valAx>
        <c:axId val="7270051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EV/Rev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70047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R&amp;D Margin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EV/Rev</c:v>
          </c:tx>
          <c:spPr>
            <a:ln w="19050">
              <a:noFill/>
            </a:ln>
          </c:spP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E6D-41D4-A5D2-F84069620BAE}"/>
            </c:ext>
          </c:extLst>
        </c:ser>
        <c:ser>
          <c:idx val="1"/>
          <c:order val="1"/>
          <c:tx>
            <c:v>Predicted EV/Rev</c:v>
          </c:tx>
          <c:spPr>
            <a:ln w="19050">
              <a:noFill/>
            </a:ln>
          </c:spPr>
          <c:xVal>
            <c:numRef>
              <c:f>#REF!</c:f>
            </c:numRef>
          </c:xVal>
          <c:yVal>
            <c:numRef>
              <c:f>'Full Sample Output'!$B$32:$B$198</c:f>
              <c:numCache>
                <c:formatCode>General</c:formatCode>
                <c:ptCount val="167"/>
                <c:pt idx="0">
                  <c:v>4.4097982972586358</c:v>
                </c:pt>
                <c:pt idx="1">
                  <c:v>5.4746191468033576</c:v>
                </c:pt>
                <c:pt idx="2">
                  <c:v>6.4890269023863878</c:v>
                </c:pt>
                <c:pt idx="3">
                  <c:v>6.0575964519159671</c:v>
                </c:pt>
                <c:pt idx="4">
                  <c:v>3.2563449096110659</c:v>
                </c:pt>
                <c:pt idx="5">
                  <c:v>6.2675512760222905</c:v>
                </c:pt>
                <c:pt idx="6">
                  <c:v>6.0365559845177623</c:v>
                </c:pt>
                <c:pt idx="7">
                  <c:v>6.3075821640522429</c:v>
                </c:pt>
                <c:pt idx="8">
                  <c:v>5.9168420863291553</c:v>
                </c:pt>
                <c:pt idx="9">
                  <c:v>6.8195983016376038</c:v>
                </c:pt>
                <c:pt idx="10">
                  <c:v>5.2088798770674858</c:v>
                </c:pt>
                <c:pt idx="11">
                  <c:v>5.2562000026732747</c:v>
                </c:pt>
                <c:pt idx="12">
                  <c:v>6.5623867568135186</c:v>
                </c:pt>
                <c:pt idx="13">
                  <c:v>3.7317828451554651</c:v>
                </c:pt>
                <c:pt idx="14">
                  <c:v>6.1908183364450933</c:v>
                </c:pt>
                <c:pt idx="15">
                  <c:v>4.6107408405119967</c:v>
                </c:pt>
                <c:pt idx="16">
                  <c:v>6.39553205451067</c:v>
                </c:pt>
                <c:pt idx="17">
                  <c:v>5.5747689497978392</c:v>
                </c:pt>
                <c:pt idx="18">
                  <c:v>2.5415292528825768</c:v>
                </c:pt>
                <c:pt idx="19">
                  <c:v>6.8784398478861108</c:v>
                </c:pt>
                <c:pt idx="20">
                  <c:v>7.0018227850837294</c:v>
                </c:pt>
                <c:pt idx="21">
                  <c:v>6.0637932334303235</c:v>
                </c:pt>
                <c:pt idx="22">
                  <c:v>6.2893129561349559</c:v>
                </c:pt>
                <c:pt idx="23">
                  <c:v>5.1979130911415137</c:v>
                </c:pt>
                <c:pt idx="24">
                  <c:v>2.1592870681963228</c:v>
                </c:pt>
                <c:pt idx="25">
                  <c:v>5.7754770764686905</c:v>
                </c:pt>
                <c:pt idx="26">
                  <c:v>6.0694552153273689</c:v>
                </c:pt>
                <c:pt idx="27">
                  <c:v>3.3461847800522664</c:v>
                </c:pt>
                <c:pt idx="28">
                  <c:v>5.6061427357479001</c:v>
                </c:pt>
                <c:pt idx="29">
                  <c:v>2.9073805665769519</c:v>
                </c:pt>
                <c:pt idx="30">
                  <c:v>3.4602069011283558</c:v>
                </c:pt>
                <c:pt idx="31">
                  <c:v>5.5636700851741425</c:v>
                </c:pt>
                <c:pt idx="32">
                  <c:v>4.038964891916911</c:v>
                </c:pt>
                <c:pt idx="33">
                  <c:v>4.7506153519555925</c:v>
                </c:pt>
                <c:pt idx="34">
                  <c:v>4.6297982380735627</c:v>
                </c:pt>
                <c:pt idx="35">
                  <c:v>4.9985857454680014</c:v>
                </c:pt>
                <c:pt idx="36">
                  <c:v>6.8704485628664926</c:v>
                </c:pt>
                <c:pt idx="37">
                  <c:v>3.6392769047882481</c:v>
                </c:pt>
                <c:pt idx="38">
                  <c:v>3.1907923827752929</c:v>
                </c:pt>
                <c:pt idx="39">
                  <c:v>5.8259764836135828</c:v>
                </c:pt>
                <c:pt idx="40">
                  <c:v>6.7113401149659069</c:v>
                </c:pt>
                <c:pt idx="41">
                  <c:v>3.5675370666474526</c:v>
                </c:pt>
                <c:pt idx="42">
                  <c:v>4.0334239797640334</c:v>
                </c:pt>
                <c:pt idx="43">
                  <c:v>6.3512445678063365</c:v>
                </c:pt>
                <c:pt idx="44">
                  <c:v>5.5975032491480343</c:v>
                </c:pt>
                <c:pt idx="45">
                  <c:v>2.1167519605759151</c:v>
                </c:pt>
                <c:pt idx="46">
                  <c:v>6.1182932533074812</c:v>
                </c:pt>
                <c:pt idx="47">
                  <c:v>6.5627217183975883</c:v>
                </c:pt>
                <c:pt idx="48">
                  <c:v>5.3459432031525136</c:v>
                </c:pt>
                <c:pt idx="49">
                  <c:v>3.4540713891434667</c:v>
                </c:pt>
                <c:pt idx="50">
                  <c:v>3.2366545934315551</c:v>
                </c:pt>
                <c:pt idx="51">
                  <c:v>4.716691700209048</c:v>
                </c:pt>
                <c:pt idx="52">
                  <c:v>5.9453899492039435</c:v>
                </c:pt>
                <c:pt idx="53">
                  <c:v>6.9403624914854669</c:v>
                </c:pt>
                <c:pt idx="54">
                  <c:v>5.6114063898208038</c:v>
                </c:pt>
                <c:pt idx="55">
                  <c:v>3.3634641131107297</c:v>
                </c:pt>
                <c:pt idx="56">
                  <c:v>4.2138613199713175</c:v>
                </c:pt>
                <c:pt idx="57">
                  <c:v>6.9276515626333497</c:v>
                </c:pt>
                <c:pt idx="58">
                  <c:v>4.85764601431186</c:v>
                </c:pt>
                <c:pt idx="59">
                  <c:v>5.2452730423755565</c:v>
                </c:pt>
                <c:pt idx="60">
                  <c:v>1.4917965497292258</c:v>
                </c:pt>
                <c:pt idx="61">
                  <c:v>2.1070548618753207</c:v>
                </c:pt>
                <c:pt idx="62">
                  <c:v>5.6223933384585809</c:v>
                </c:pt>
                <c:pt idx="63">
                  <c:v>6.0083778234130651</c:v>
                </c:pt>
                <c:pt idx="64">
                  <c:v>6.5253556536769661</c:v>
                </c:pt>
                <c:pt idx="65">
                  <c:v>3.8842226298612714</c:v>
                </c:pt>
                <c:pt idx="66">
                  <c:v>7.4225841819356297</c:v>
                </c:pt>
                <c:pt idx="67">
                  <c:v>4.1824644242875886</c:v>
                </c:pt>
                <c:pt idx="68">
                  <c:v>5.184005240353188</c:v>
                </c:pt>
                <c:pt idx="69">
                  <c:v>4.9481487209120925</c:v>
                </c:pt>
                <c:pt idx="70">
                  <c:v>7.7502732112605264</c:v>
                </c:pt>
                <c:pt idx="71">
                  <c:v>4.1774656277146605</c:v>
                </c:pt>
                <c:pt idx="72">
                  <c:v>5.7289047384718383</c:v>
                </c:pt>
                <c:pt idx="73">
                  <c:v>3.9812834580436793</c:v>
                </c:pt>
                <c:pt idx="74">
                  <c:v>4.794684114016456</c:v>
                </c:pt>
                <c:pt idx="75">
                  <c:v>5.9634483537429297</c:v>
                </c:pt>
                <c:pt idx="76">
                  <c:v>4.2559180587563752</c:v>
                </c:pt>
                <c:pt idx="77">
                  <c:v>4.4323466912446268</c:v>
                </c:pt>
                <c:pt idx="78">
                  <c:v>6.2271118653075934</c:v>
                </c:pt>
                <c:pt idx="79">
                  <c:v>7.4499563044102652</c:v>
                </c:pt>
                <c:pt idx="80">
                  <c:v>7.5615326008076318</c:v>
                </c:pt>
                <c:pt idx="81">
                  <c:v>7.1541965111427865</c:v>
                </c:pt>
                <c:pt idx="82">
                  <c:v>5.8189179597159422</c:v>
                </c:pt>
                <c:pt idx="83">
                  <c:v>6.8995228502568899</c:v>
                </c:pt>
                <c:pt idx="84">
                  <c:v>5.3130113549708504</c:v>
                </c:pt>
                <c:pt idx="85">
                  <c:v>5.9036762685385646</c:v>
                </c:pt>
                <c:pt idx="86">
                  <c:v>7.4911492177862353</c:v>
                </c:pt>
                <c:pt idx="87">
                  <c:v>2.9230364903823918</c:v>
                </c:pt>
                <c:pt idx="88">
                  <c:v>5.1805407946228454</c:v>
                </c:pt>
                <c:pt idx="89">
                  <c:v>6.8710418597726273</c:v>
                </c:pt>
                <c:pt idx="90">
                  <c:v>6.5847583261139215</c:v>
                </c:pt>
                <c:pt idx="91">
                  <c:v>4.8405846253459055</c:v>
                </c:pt>
                <c:pt idx="92">
                  <c:v>5.3170524907810623</c:v>
                </c:pt>
                <c:pt idx="93">
                  <c:v>4.9398103262005382</c:v>
                </c:pt>
                <c:pt idx="94">
                  <c:v>4.0818501434127885</c:v>
                </c:pt>
                <c:pt idx="95">
                  <c:v>3.0721058489339859</c:v>
                </c:pt>
                <c:pt idx="96">
                  <c:v>6.0987008934780684</c:v>
                </c:pt>
                <c:pt idx="97">
                  <c:v>4.948863298070763</c:v>
                </c:pt>
                <c:pt idx="98">
                  <c:v>4.8915851453803922</c:v>
                </c:pt>
                <c:pt idx="99">
                  <c:v>6.4666403392673892</c:v>
                </c:pt>
                <c:pt idx="100">
                  <c:v>2.905128526918161</c:v>
                </c:pt>
                <c:pt idx="101">
                  <c:v>3.6536851900244529</c:v>
                </c:pt>
                <c:pt idx="102">
                  <c:v>7.6741966855821149</c:v>
                </c:pt>
                <c:pt idx="103">
                  <c:v>7.3070645695245986</c:v>
                </c:pt>
                <c:pt idx="104">
                  <c:v>7.0197697068332916</c:v>
                </c:pt>
                <c:pt idx="105">
                  <c:v>4.8144203483456627</c:v>
                </c:pt>
                <c:pt idx="106">
                  <c:v>3.2945830295439524</c:v>
                </c:pt>
                <c:pt idx="107">
                  <c:v>5.2505054960546298</c:v>
                </c:pt>
                <c:pt idx="108">
                  <c:v>6.7178186547816328</c:v>
                </c:pt>
                <c:pt idx="109">
                  <c:v>6.1167289792986814</c:v>
                </c:pt>
                <c:pt idx="110">
                  <c:v>5.8619317586865547</c:v>
                </c:pt>
                <c:pt idx="111">
                  <c:v>4.9184169262135526</c:v>
                </c:pt>
                <c:pt idx="112">
                  <c:v>6.1562791035755131</c:v>
                </c:pt>
                <c:pt idx="113">
                  <c:v>5.4663059771559048</c:v>
                </c:pt>
                <c:pt idx="114">
                  <c:v>6.6686219833385625</c:v>
                </c:pt>
                <c:pt idx="115">
                  <c:v>6.2989478296615227</c:v>
                </c:pt>
                <c:pt idx="116">
                  <c:v>5.4687966382167721</c:v>
                </c:pt>
                <c:pt idx="117">
                  <c:v>4.8527572418253886</c:v>
                </c:pt>
                <c:pt idx="118">
                  <c:v>6.4332050736793045</c:v>
                </c:pt>
                <c:pt idx="119">
                  <c:v>5.7655428380373221</c:v>
                </c:pt>
                <c:pt idx="120">
                  <c:v>5.9302485546707215</c:v>
                </c:pt>
                <c:pt idx="121">
                  <c:v>2.5854203800725566</c:v>
                </c:pt>
                <c:pt idx="122">
                  <c:v>2.9766076481568624</c:v>
                </c:pt>
                <c:pt idx="123">
                  <c:v>6.0442251822563557</c:v>
                </c:pt>
                <c:pt idx="124">
                  <c:v>6.8114724002656519</c:v>
                </c:pt>
                <c:pt idx="125">
                  <c:v>5.8386900370933033</c:v>
                </c:pt>
                <c:pt idx="126">
                  <c:v>4.3556167453604608</c:v>
                </c:pt>
                <c:pt idx="127">
                  <c:v>3.5676143129878835</c:v>
                </c:pt>
                <c:pt idx="128">
                  <c:v>2.076903016822345</c:v>
                </c:pt>
                <c:pt idx="129">
                  <c:v>7.0626441771657635</c:v>
                </c:pt>
                <c:pt idx="130">
                  <c:v>4.9250998093064116</c:v>
                </c:pt>
                <c:pt idx="131">
                  <c:v>6.1050627115051306</c:v>
                </c:pt>
                <c:pt idx="132">
                  <c:v>3.9930478267535641</c:v>
                </c:pt>
                <c:pt idx="133">
                  <c:v>3.1253651453100346</c:v>
                </c:pt>
                <c:pt idx="134">
                  <c:v>4.1592544534291296</c:v>
                </c:pt>
                <c:pt idx="135">
                  <c:v>4.0282467239947204</c:v>
                </c:pt>
                <c:pt idx="136">
                  <c:v>6.2914922294172166</c:v>
                </c:pt>
                <c:pt idx="137">
                  <c:v>5.8707858243342015</c:v>
                </c:pt>
                <c:pt idx="138">
                  <c:v>1.9667597203058318</c:v>
                </c:pt>
                <c:pt idx="139">
                  <c:v>3.2201465281524002</c:v>
                </c:pt>
                <c:pt idx="140">
                  <c:v>5.2472887217425157</c:v>
                </c:pt>
                <c:pt idx="141">
                  <c:v>4.7765553392959923</c:v>
                </c:pt>
                <c:pt idx="142">
                  <c:v>6.5840033169275891</c:v>
                </c:pt>
                <c:pt idx="143">
                  <c:v>6.4346586964569497</c:v>
                </c:pt>
                <c:pt idx="144">
                  <c:v>6.0538410820644675</c:v>
                </c:pt>
                <c:pt idx="145">
                  <c:v>4.58327985835645</c:v>
                </c:pt>
                <c:pt idx="146">
                  <c:v>2.6603876042835997</c:v>
                </c:pt>
                <c:pt idx="147">
                  <c:v>3.8241750712923506</c:v>
                </c:pt>
                <c:pt idx="148">
                  <c:v>4.222204821662455</c:v>
                </c:pt>
                <c:pt idx="149">
                  <c:v>6.9224533911845905</c:v>
                </c:pt>
                <c:pt idx="150">
                  <c:v>6.5927222243314505</c:v>
                </c:pt>
                <c:pt idx="151">
                  <c:v>7.0732761995317031</c:v>
                </c:pt>
                <c:pt idx="152">
                  <c:v>6.3059851001661356</c:v>
                </c:pt>
                <c:pt idx="153">
                  <c:v>4.4453040971163338</c:v>
                </c:pt>
                <c:pt idx="154">
                  <c:v>6.3397105856796632</c:v>
                </c:pt>
                <c:pt idx="155">
                  <c:v>5.550287116842016</c:v>
                </c:pt>
                <c:pt idx="156">
                  <c:v>1.0465575400470928</c:v>
                </c:pt>
                <c:pt idx="157">
                  <c:v>4.8265801979050096</c:v>
                </c:pt>
                <c:pt idx="158">
                  <c:v>3.3004390730086204</c:v>
                </c:pt>
                <c:pt idx="159">
                  <c:v>6.912991760440991</c:v>
                </c:pt>
                <c:pt idx="160">
                  <c:v>4.7511450609206252</c:v>
                </c:pt>
                <c:pt idx="161">
                  <c:v>3.3254675752220071</c:v>
                </c:pt>
                <c:pt idx="162">
                  <c:v>6.0189753872112783</c:v>
                </c:pt>
                <c:pt idx="163">
                  <c:v>3.7685113762868587</c:v>
                </c:pt>
                <c:pt idx="164">
                  <c:v>4.2749277470565739</c:v>
                </c:pt>
                <c:pt idx="165">
                  <c:v>4.0511295451068303</c:v>
                </c:pt>
                <c:pt idx="166">
                  <c:v>5.3049255218318727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E6D-41D4-A5D2-F84069620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7005952"/>
        <c:axId val="727006344"/>
      </c:scatterChart>
      <c:valAx>
        <c:axId val="727005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R&amp;D Margin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727006344"/>
        <c:crosses val="autoZero"/>
        <c:crossBetween val="midCat"/>
      </c:valAx>
      <c:valAx>
        <c:axId val="7270063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EV/Rev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70059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EBITDA Margin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EV/Rev</c:v>
          </c:tx>
          <c:spPr>
            <a:ln w="19050">
              <a:noFill/>
            </a:ln>
          </c:spP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B4A-4BC6-B83C-1C71ACA9023C}"/>
            </c:ext>
          </c:extLst>
        </c:ser>
        <c:ser>
          <c:idx val="1"/>
          <c:order val="1"/>
          <c:tx>
            <c:v>Predicted EV/Rev</c:v>
          </c:tx>
          <c:spPr>
            <a:ln w="19050">
              <a:noFill/>
            </a:ln>
          </c:spPr>
          <c:xVal>
            <c:numRef>
              <c:f>#REF!</c:f>
            </c:numRef>
          </c:xVal>
          <c:yVal>
            <c:numRef>
              <c:f>'Full Sample Output'!$B$32:$B$198</c:f>
              <c:numCache>
                <c:formatCode>General</c:formatCode>
                <c:ptCount val="167"/>
                <c:pt idx="0">
                  <c:v>4.4097982972586358</c:v>
                </c:pt>
                <c:pt idx="1">
                  <c:v>5.4746191468033576</c:v>
                </c:pt>
                <c:pt idx="2">
                  <c:v>6.4890269023863878</c:v>
                </c:pt>
                <c:pt idx="3">
                  <c:v>6.0575964519159671</c:v>
                </c:pt>
                <c:pt idx="4">
                  <c:v>3.2563449096110659</c:v>
                </c:pt>
                <c:pt idx="5">
                  <c:v>6.2675512760222905</c:v>
                </c:pt>
                <c:pt idx="6">
                  <c:v>6.0365559845177623</c:v>
                </c:pt>
                <c:pt idx="7">
                  <c:v>6.3075821640522429</c:v>
                </c:pt>
                <c:pt idx="8">
                  <c:v>5.9168420863291553</c:v>
                </c:pt>
                <c:pt idx="9">
                  <c:v>6.8195983016376038</c:v>
                </c:pt>
                <c:pt idx="10">
                  <c:v>5.2088798770674858</c:v>
                </c:pt>
                <c:pt idx="11">
                  <c:v>5.2562000026732747</c:v>
                </c:pt>
                <c:pt idx="12">
                  <c:v>6.5623867568135186</c:v>
                </c:pt>
                <c:pt idx="13">
                  <c:v>3.7317828451554651</c:v>
                </c:pt>
                <c:pt idx="14">
                  <c:v>6.1908183364450933</c:v>
                </c:pt>
                <c:pt idx="15">
                  <c:v>4.6107408405119967</c:v>
                </c:pt>
                <c:pt idx="16">
                  <c:v>6.39553205451067</c:v>
                </c:pt>
                <c:pt idx="17">
                  <c:v>5.5747689497978392</c:v>
                </c:pt>
                <c:pt idx="18">
                  <c:v>2.5415292528825768</c:v>
                </c:pt>
                <c:pt idx="19">
                  <c:v>6.8784398478861108</c:v>
                </c:pt>
                <c:pt idx="20">
                  <c:v>7.0018227850837294</c:v>
                </c:pt>
                <c:pt idx="21">
                  <c:v>6.0637932334303235</c:v>
                </c:pt>
                <c:pt idx="22">
                  <c:v>6.2893129561349559</c:v>
                </c:pt>
                <c:pt idx="23">
                  <c:v>5.1979130911415137</c:v>
                </c:pt>
                <c:pt idx="24">
                  <c:v>2.1592870681963228</c:v>
                </c:pt>
                <c:pt idx="25">
                  <c:v>5.7754770764686905</c:v>
                </c:pt>
                <c:pt idx="26">
                  <c:v>6.0694552153273689</c:v>
                </c:pt>
                <c:pt idx="27">
                  <c:v>3.3461847800522664</c:v>
                </c:pt>
                <c:pt idx="28">
                  <c:v>5.6061427357479001</c:v>
                </c:pt>
                <c:pt idx="29">
                  <c:v>2.9073805665769519</c:v>
                </c:pt>
                <c:pt idx="30">
                  <c:v>3.4602069011283558</c:v>
                </c:pt>
                <c:pt idx="31">
                  <c:v>5.5636700851741425</c:v>
                </c:pt>
                <c:pt idx="32">
                  <c:v>4.038964891916911</c:v>
                </c:pt>
                <c:pt idx="33">
                  <c:v>4.7506153519555925</c:v>
                </c:pt>
                <c:pt idx="34">
                  <c:v>4.6297982380735627</c:v>
                </c:pt>
                <c:pt idx="35">
                  <c:v>4.9985857454680014</c:v>
                </c:pt>
                <c:pt idx="36">
                  <c:v>6.8704485628664926</c:v>
                </c:pt>
                <c:pt idx="37">
                  <c:v>3.6392769047882481</c:v>
                </c:pt>
                <c:pt idx="38">
                  <c:v>3.1907923827752929</c:v>
                </c:pt>
                <c:pt idx="39">
                  <c:v>5.8259764836135828</c:v>
                </c:pt>
                <c:pt idx="40">
                  <c:v>6.7113401149659069</c:v>
                </c:pt>
                <c:pt idx="41">
                  <c:v>3.5675370666474526</c:v>
                </c:pt>
                <c:pt idx="42">
                  <c:v>4.0334239797640334</c:v>
                </c:pt>
                <c:pt idx="43">
                  <c:v>6.3512445678063365</c:v>
                </c:pt>
                <c:pt idx="44">
                  <c:v>5.5975032491480343</c:v>
                </c:pt>
                <c:pt idx="45">
                  <c:v>2.1167519605759151</c:v>
                </c:pt>
                <c:pt idx="46">
                  <c:v>6.1182932533074812</c:v>
                </c:pt>
                <c:pt idx="47">
                  <c:v>6.5627217183975883</c:v>
                </c:pt>
                <c:pt idx="48">
                  <c:v>5.3459432031525136</c:v>
                </c:pt>
                <c:pt idx="49">
                  <c:v>3.4540713891434667</c:v>
                </c:pt>
                <c:pt idx="50">
                  <c:v>3.2366545934315551</c:v>
                </c:pt>
                <c:pt idx="51">
                  <c:v>4.716691700209048</c:v>
                </c:pt>
                <c:pt idx="52">
                  <c:v>5.9453899492039435</c:v>
                </c:pt>
                <c:pt idx="53">
                  <c:v>6.9403624914854669</c:v>
                </c:pt>
                <c:pt idx="54">
                  <c:v>5.6114063898208038</c:v>
                </c:pt>
                <c:pt idx="55">
                  <c:v>3.3634641131107297</c:v>
                </c:pt>
                <c:pt idx="56">
                  <c:v>4.2138613199713175</c:v>
                </c:pt>
                <c:pt idx="57">
                  <c:v>6.9276515626333497</c:v>
                </c:pt>
                <c:pt idx="58">
                  <c:v>4.85764601431186</c:v>
                </c:pt>
                <c:pt idx="59">
                  <c:v>5.2452730423755565</c:v>
                </c:pt>
                <c:pt idx="60">
                  <c:v>1.4917965497292258</c:v>
                </c:pt>
                <c:pt idx="61">
                  <c:v>2.1070548618753207</c:v>
                </c:pt>
                <c:pt idx="62">
                  <c:v>5.6223933384585809</c:v>
                </c:pt>
                <c:pt idx="63">
                  <c:v>6.0083778234130651</c:v>
                </c:pt>
                <c:pt idx="64">
                  <c:v>6.5253556536769661</c:v>
                </c:pt>
                <c:pt idx="65">
                  <c:v>3.8842226298612714</c:v>
                </c:pt>
                <c:pt idx="66">
                  <c:v>7.4225841819356297</c:v>
                </c:pt>
                <c:pt idx="67">
                  <c:v>4.1824644242875886</c:v>
                </c:pt>
                <c:pt idx="68">
                  <c:v>5.184005240353188</c:v>
                </c:pt>
                <c:pt idx="69">
                  <c:v>4.9481487209120925</c:v>
                </c:pt>
                <c:pt idx="70">
                  <c:v>7.7502732112605264</c:v>
                </c:pt>
                <c:pt idx="71">
                  <c:v>4.1774656277146605</c:v>
                </c:pt>
                <c:pt idx="72">
                  <c:v>5.7289047384718383</c:v>
                </c:pt>
                <c:pt idx="73">
                  <c:v>3.9812834580436793</c:v>
                </c:pt>
                <c:pt idx="74">
                  <c:v>4.794684114016456</c:v>
                </c:pt>
                <c:pt idx="75">
                  <c:v>5.9634483537429297</c:v>
                </c:pt>
                <c:pt idx="76">
                  <c:v>4.2559180587563752</c:v>
                </c:pt>
                <c:pt idx="77">
                  <c:v>4.4323466912446268</c:v>
                </c:pt>
                <c:pt idx="78">
                  <c:v>6.2271118653075934</c:v>
                </c:pt>
                <c:pt idx="79">
                  <c:v>7.4499563044102652</c:v>
                </c:pt>
                <c:pt idx="80">
                  <c:v>7.5615326008076318</c:v>
                </c:pt>
                <c:pt idx="81">
                  <c:v>7.1541965111427865</c:v>
                </c:pt>
                <c:pt idx="82">
                  <c:v>5.8189179597159422</c:v>
                </c:pt>
                <c:pt idx="83">
                  <c:v>6.8995228502568899</c:v>
                </c:pt>
                <c:pt idx="84">
                  <c:v>5.3130113549708504</c:v>
                </c:pt>
                <c:pt idx="85">
                  <c:v>5.9036762685385646</c:v>
                </c:pt>
                <c:pt idx="86">
                  <c:v>7.4911492177862353</c:v>
                </c:pt>
                <c:pt idx="87">
                  <c:v>2.9230364903823918</c:v>
                </c:pt>
                <c:pt idx="88">
                  <c:v>5.1805407946228454</c:v>
                </c:pt>
                <c:pt idx="89">
                  <c:v>6.8710418597726273</c:v>
                </c:pt>
                <c:pt idx="90">
                  <c:v>6.5847583261139215</c:v>
                </c:pt>
                <c:pt idx="91">
                  <c:v>4.8405846253459055</c:v>
                </c:pt>
                <c:pt idx="92">
                  <c:v>5.3170524907810623</c:v>
                </c:pt>
                <c:pt idx="93">
                  <c:v>4.9398103262005382</c:v>
                </c:pt>
                <c:pt idx="94">
                  <c:v>4.0818501434127885</c:v>
                </c:pt>
                <c:pt idx="95">
                  <c:v>3.0721058489339859</c:v>
                </c:pt>
                <c:pt idx="96">
                  <c:v>6.0987008934780684</c:v>
                </c:pt>
                <c:pt idx="97">
                  <c:v>4.948863298070763</c:v>
                </c:pt>
                <c:pt idx="98">
                  <c:v>4.8915851453803922</c:v>
                </c:pt>
                <c:pt idx="99">
                  <c:v>6.4666403392673892</c:v>
                </c:pt>
                <c:pt idx="100">
                  <c:v>2.905128526918161</c:v>
                </c:pt>
                <c:pt idx="101">
                  <c:v>3.6536851900244529</c:v>
                </c:pt>
                <c:pt idx="102">
                  <c:v>7.6741966855821149</c:v>
                </c:pt>
                <c:pt idx="103">
                  <c:v>7.3070645695245986</c:v>
                </c:pt>
                <c:pt idx="104">
                  <c:v>7.0197697068332916</c:v>
                </c:pt>
                <c:pt idx="105">
                  <c:v>4.8144203483456627</c:v>
                </c:pt>
                <c:pt idx="106">
                  <c:v>3.2945830295439524</c:v>
                </c:pt>
                <c:pt idx="107">
                  <c:v>5.2505054960546298</c:v>
                </c:pt>
                <c:pt idx="108">
                  <c:v>6.7178186547816328</c:v>
                </c:pt>
                <c:pt idx="109">
                  <c:v>6.1167289792986814</c:v>
                </c:pt>
                <c:pt idx="110">
                  <c:v>5.8619317586865547</c:v>
                </c:pt>
                <c:pt idx="111">
                  <c:v>4.9184169262135526</c:v>
                </c:pt>
                <c:pt idx="112">
                  <c:v>6.1562791035755131</c:v>
                </c:pt>
                <c:pt idx="113">
                  <c:v>5.4663059771559048</c:v>
                </c:pt>
                <c:pt idx="114">
                  <c:v>6.6686219833385625</c:v>
                </c:pt>
                <c:pt idx="115">
                  <c:v>6.2989478296615227</c:v>
                </c:pt>
                <c:pt idx="116">
                  <c:v>5.4687966382167721</c:v>
                </c:pt>
                <c:pt idx="117">
                  <c:v>4.8527572418253886</c:v>
                </c:pt>
                <c:pt idx="118">
                  <c:v>6.4332050736793045</c:v>
                </c:pt>
                <c:pt idx="119">
                  <c:v>5.7655428380373221</c:v>
                </c:pt>
                <c:pt idx="120">
                  <c:v>5.9302485546707215</c:v>
                </c:pt>
                <c:pt idx="121">
                  <c:v>2.5854203800725566</c:v>
                </c:pt>
                <c:pt idx="122">
                  <c:v>2.9766076481568624</c:v>
                </c:pt>
                <c:pt idx="123">
                  <c:v>6.0442251822563557</c:v>
                </c:pt>
                <c:pt idx="124">
                  <c:v>6.8114724002656519</c:v>
                </c:pt>
                <c:pt idx="125">
                  <c:v>5.8386900370933033</c:v>
                </c:pt>
                <c:pt idx="126">
                  <c:v>4.3556167453604608</c:v>
                </c:pt>
                <c:pt idx="127">
                  <c:v>3.5676143129878835</c:v>
                </c:pt>
                <c:pt idx="128">
                  <c:v>2.076903016822345</c:v>
                </c:pt>
                <c:pt idx="129">
                  <c:v>7.0626441771657635</c:v>
                </c:pt>
                <c:pt idx="130">
                  <c:v>4.9250998093064116</c:v>
                </c:pt>
                <c:pt idx="131">
                  <c:v>6.1050627115051306</c:v>
                </c:pt>
                <c:pt idx="132">
                  <c:v>3.9930478267535641</c:v>
                </c:pt>
                <c:pt idx="133">
                  <c:v>3.1253651453100346</c:v>
                </c:pt>
                <c:pt idx="134">
                  <c:v>4.1592544534291296</c:v>
                </c:pt>
                <c:pt idx="135">
                  <c:v>4.0282467239947204</c:v>
                </c:pt>
                <c:pt idx="136">
                  <c:v>6.2914922294172166</c:v>
                </c:pt>
                <c:pt idx="137">
                  <c:v>5.8707858243342015</c:v>
                </c:pt>
                <c:pt idx="138">
                  <c:v>1.9667597203058318</c:v>
                </c:pt>
                <c:pt idx="139">
                  <c:v>3.2201465281524002</c:v>
                </c:pt>
                <c:pt idx="140">
                  <c:v>5.2472887217425157</c:v>
                </c:pt>
                <c:pt idx="141">
                  <c:v>4.7765553392959923</c:v>
                </c:pt>
                <c:pt idx="142">
                  <c:v>6.5840033169275891</c:v>
                </c:pt>
                <c:pt idx="143">
                  <c:v>6.4346586964569497</c:v>
                </c:pt>
                <c:pt idx="144">
                  <c:v>6.0538410820644675</c:v>
                </c:pt>
                <c:pt idx="145">
                  <c:v>4.58327985835645</c:v>
                </c:pt>
                <c:pt idx="146">
                  <c:v>2.6603876042835997</c:v>
                </c:pt>
                <c:pt idx="147">
                  <c:v>3.8241750712923506</c:v>
                </c:pt>
                <c:pt idx="148">
                  <c:v>4.222204821662455</c:v>
                </c:pt>
                <c:pt idx="149">
                  <c:v>6.9224533911845905</c:v>
                </c:pt>
                <c:pt idx="150">
                  <c:v>6.5927222243314505</c:v>
                </c:pt>
                <c:pt idx="151">
                  <c:v>7.0732761995317031</c:v>
                </c:pt>
                <c:pt idx="152">
                  <c:v>6.3059851001661356</c:v>
                </c:pt>
                <c:pt idx="153">
                  <c:v>4.4453040971163338</c:v>
                </c:pt>
                <c:pt idx="154">
                  <c:v>6.3397105856796632</c:v>
                </c:pt>
                <c:pt idx="155">
                  <c:v>5.550287116842016</c:v>
                </c:pt>
                <c:pt idx="156">
                  <c:v>1.0465575400470928</c:v>
                </c:pt>
                <c:pt idx="157">
                  <c:v>4.8265801979050096</c:v>
                </c:pt>
                <c:pt idx="158">
                  <c:v>3.3004390730086204</c:v>
                </c:pt>
                <c:pt idx="159">
                  <c:v>6.912991760440991</c:v>
                </c:pt>
                <c:pt idx="160">
                  <c:v>4.7511450609206252</c:v>
                </c:pt>
                <c:pt idx="161">
                  <c:v>3.3254675752220071</c:v>
                </c:pt>
                <c:pt idx="162">
                  <c:v>6.0189753872112783</c:v>
                </c:pt>
                <c:pt idx="163">
                  <c:v>3.7685113762868587</c:v>
                </c:pt>
                <c:pt idx="164">
                  <c:v>4.2749277470565739</c:v>
                </c:pt>
                <c:pt idx="165">
                  <c:v>4.0511295451068303</c:v>
                </c:pt>
                <c:pt idx="166">
                  <c:v>5.3049255218318727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B4A-4BC6-B83C-1C71ACA90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7007128"/>
        <c:axId val="727007520"/>
      </c:scatterChart>
      <c:valAx>
        <c:axId val="727007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EBITDA Margin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727007520"/>
        <c:crosses val="autoZero"/>
        <c:crossBetween val="midCat"/>
      </c:valAx>
      <c:valAx>
        <c:axId val="7270075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EV/Rev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7007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Profit Margin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EV/Rev</c:v>
          </c:tx>
          <c:spPr>
            <a:ln w="19050">
              <a:noFill/>
            </a:ln>
          </c:spP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39B-4BE5-B5CF-1FDC396CEA9A}"/>
            </c:ext>
          </c:extLst>
        </c:ser>
        <c:ser>
          <c:idx val="1"/>
          <c:order val="1"/>
          <c:tx>
            <c:v>Predicted EV/Rev</c:v>
          </c:tx>
          <c:spPr>
            <a:ln w="19050">
              <a:noFill/>
            </a:ln>
          </c:spPr>
          <c:xVal>
            <c:numRef>
              <c:f>#REF!</c:f>
            </c:numRef>
          </c:xVal>
          <c:yVal>
            <c:numRef>
              <c:f>'Full Sample Output'!$B$32:$B$198</c:f>
              <c:numCache>
                <c:formatCode>General</c:formatCode>
                <c:ptCount val="167"/>
                <c:pt idx="0">
                  <c:v>4.4097982972586358</c:v>
                </c:pt>
                <c:pt idx="1">
                  <c:v>5.4746191468033576</c:v>
                </c:pt>
                <c:pt idx="2">
                  <c:v>6.4890269023863878</c:v>
                </c:pt>
                <c:pt idx="3">
                  <c:v>6.0575964519159671</c:v>
                </c:pt>
                <c:pt idx="4">
                  <c:v>3.2563449096110659</c:v>
                </c:pt>
                <c:pt idx="5">
                  <c:v>6.2675512760222905</c:v>
                </c:pt>
                <c:pt idx="6">
                  <c:v>6.0365559845177623</c:v>
                </c:pt>
                <c:pt idx="7">
                  <c:v>6.3075821640522429</c:v>
                </c:pt>
                <c:pt idx="8">
                  <c:v>5.9168420863291553</c:v>
                </c:pt>
                <c:pt idx="9">
                  <c:v>6.8195983016376038</c:v>
                </c:pt>
                <c:pt idx="10">
                  <c:v>5.2088798770674858</c:v>
                </c:pt>
                <c:pt idx="11">
                  <c:v>5.2562000026732747</c:v>
                </c:pt>
                <c:pt idx="12">
                  <c:v>6.5623867568135186</c:v>
                </c:pt>
                <c:pt idx="13">
                  <c:v>3.7317828451554651</c:v>
                </c:pt>
                <c:pt idx="14">
                  <c:v>6.1908183364450933</c:v>
                </c:pt>
                <c:pt idx="15">
                  <c:v>4.6107408405119967</c:v>
                </c:pt>
                <c:pt idx="16">
                  <c:v>6.39553205451067</c:v>
                </c:pt>
                <c:pt idx="17">
                  <c:v>5.5747689497978392</c:v>
                </c:pt>
                <c:pt idx="18">
                  <c:v>2.5415292528825768</c:v>
                </c:pt>
                <c:pt idx="19">
                  <c:v>6.8784398478861108</c:v>
                </c:pt>
                <c:pt idx="20">
                  <c:v>7.0018227850837294</c:v>
                </c:pt>
                <c:pt idx="21">
                  <c:v>6.0637932334303235</c:v>
                </c:pt>
                <c:pt idx="22">
                  <c:v>6.2893129561349559</c:v>
                </c:pt>
                <c:pt idx="23">
                  <c:v>5.1979130911415137</c:v>
                </c:pt>
                <c:pt idx="24">
                  <c:v>2.1592870681963228</c:v>
                </c:pt>
                <c:pt idx="25">
                  <c:v>5.7754770764686905</c:v>
                </c:pt>
                <c:pt idx="26">
                  <c:v>6.0694552153273689</c:v>
                </c:pt>
                <c:pt idx="27">
                  <c:v>3.3461847800522664</c:v>
                </c:pt>
                <c:pt idx="28">
                  <c:v>5.6061427357479001</c:v>
                </c:pt>
                <c:pt idx="29">
                  <c:v>2.9073805665769519</c:v>
                </c:pt>
                <c:pt idx="30">
                  <c:v>3.4602069011283558</c:v>
                </c:pt>
                <c:pt idx="31">
                  <c:v>5.5636700851741425</c:v>
                </c:pt>
                <c:pt idx="32">
                  <c:v>4.038964891916911</c:v>
                </c:pt>
                <c:pt idx="33">
                  <c:v>4.7506153519555925</c:v>
                </c:pt>
                <c:pt idx="34">
                  <c:v>4.6297982380735627</c:v>
                </c:pt>
                <c:pt idx="35">
                  <c:v>4.9985857454680014</c:v>
                </c:pt>
                <c:pt idx="36">
                  <c:v>6.8704485628664926</c:v>
                </c:pt>
                <c:pt idx="37">
                  <c:v>3.6392769047882481</c:v>
                </c:pt>
                <c:pt idx="38">
                  <c:v>3.1907923827752929</c:v>
                </c:pt>
                <c:pt idx="39">
                  <c:v>5.8259764836135828</c:v>
                </c:pt>
                <c:pt idx="40">
                  <c:v>6.7113401149659069</c:v>
                </c:pt>
                <c:pt idx="41">
                  <c:v>3.5675370666474526</c:v>
                </c:pt>
                <c:pt idx="42">
                  <c:v>4.0334239797640334</c:v>
                </c:pt>
                <c:pt idx="43">
                  <c:v>6.3512445678063365</c:v>
                </c:pt>
                <c:pt idx="44">
                  <c:v>5.5975032491480343</c:v>
                </c:pt>
                <c:pt idx="45">
                  <c:v>2.1167519605759151</c:v>
                </c:pt>
                <c:pt idx="46">
                  <c:v>6.1182932533074812</c:v>
                </c:pt>
                <c:pt idx="47">
                  <c:v>6.5627217183975883</c:v>
                </c:pt>
                <c:pt idx="48">
                  <c:v>5.3459432031525136</c:v>
                </c:pt>
                <c:pt idx="49">
                  <c:v>3.4540713891434667</c:v>
                </c:pt>
                <c:pt idx="50">
                  <c:v>3.2366545934315551</c:v>
                </c:pt>
                <c:pt idx="51">
                  <c:v>4.716691700209048</c:v>
                </c:pt>
                <c:pt idx="52">
                  <c:v>5.9453899492039435</c:v>
                </c:pt>
                <c:pt idx="53">
                  <c:v>6.9403624914854669</c:v>
                </c:pt>
                <c:pt idx="54">
                  <c:v>5.6114063898208038</c:v>
                </c:pt>
                <c:pt idx="55">
                  <c:v>3.3634641131107297</c:v>
                </c:pt>
                <c:pt idx="56">
                  <c:v>4.2138613199713175</c:v>
                </c:pt>
                <c:pt idx="57">
                  <c:v>6.9276515626333497</c:v>
                </c:pt>
                <c:pt idx="58">
                  <c:v>4.85764601431186</c:v>
                </c:pt>
                <c:pt idx="59">
                  <c:v>5.2452730423755565</c:v>
                </c:pt>
                <c:pt idx="60">
                  <c:v>1.4917965497292258</c:v>
                </c:pt>
                <c:pt idx="61">
                  <c:v>2.1070548618753207</c:v>
                </c:pt>
                <c:pt idx="62">
                  <c:v>5.6223933384585809</c:v>
                </c:pt>
                <c:pt idx="63">
                  <c:v>6.0083778234130651</c:v>
                </c:pt>
                <c:pt idx="64">
                  <c:v>6.5253556536769661</c:v>
                </c:pt>
                <c:pt idx="65">
                  <c:v>3.8842226298612714</c:v>
                </c:pt>
                <c:pt idx="66">
                  <c:v>7.4225841819356297</c:v>
                </c:pt>
                <c:pt idx="67">
                  <c:v>4.1824644242875886</c:v>
                </c:pt>
                <c:pt idx="68">
                  <c:v>5.184005240353188</c:v>
                </c:pt>
                <c:pt idx="69">
                  <c:v>4.9481487209120925</c:v>
                </c:pt>
                <c:pt idx="70">
                  <c:v>7.7502732112605264</c:v>
                </c:pt>
                <c:pt idx="71">
                  <c:v>4.1774656277146605</c:v>
                </c:pt>
                <c:pt idx="72">
                  <c:v>5.7289047384718383</c:v>
                </c:pt>
                <c:pt idx="73">
                  <c:v>3.9812834580436793</c:v>
                </c:pt>
                <c:pt idx="74">
                  <c:v>4.794684114016456</c:v>
                </c:pt>
                <c:pt idx="75">
                  <c:v>5.9634483537429297</c:v>
                </c:pt>
                <c:pt idx="76">
                  <c:v>4.2559180587563752</c:v>
                </c:pt>
                <c:pt idx="77">
                  <c:v>4.4323466912446268</c:v>
                </c:pt>
                <c:pt idx="78">
                  <c:v>6.2271118653075934</c:v>
                </c:pt>
                <c:pt idx="79">
                  <c:v>7.4499563044102652</c:v>
                </c:pt>
                <c:pt idx="80">
                  <c:v>7.5615326008076318</c:v>
                </c:pt>
                <c:pt idx="81">
                  <c:v>7.1541965111427865</c:v>
                </c:pt>
                <c:pt idx="82">
                  <c:v>5.8189179597159422</c:v>
                </c:pt>
                <c:pt idx="83">
                  <c:v>6.8995228502568899</c:v>
                </c:pt>
                <c:pt idx="84">
                  <c:v>5.3130113549708504</c:v>
                </c:pt>
                <c:pt idx="85">
                  <c:v>5.9036762685385646</c:v>
                </c:pt>
                <c:pt idx="86">
                  <c:v>7.4911492177862353</c:v>
                </c:pt>
                <c:pt idx="87">
                  <c:v>2.9230364903823918</c:v>
                </c:pt>
                <c:pt idx="88">
                  <c:v>5.1805407946228454</c:v>
                </c:pt>
                <c:pt idx="89">
                  <c:v>6.8710418597726273</c:v>
                </c:pt>
                <c:pt idx="90">
                  <c:v>6.5847583261139215</c:v>
                </c:pt>
                <c:pt idx="91">
                  <c:v>4.8405846253459055</c:v>
                </c:pt>
                <c:pt idx="92">
                  <c:v>5.3170524907810623</c:v>
                </c:pt>
                <c:pt idx="93">
                  <c:v>4.9398103262005382</c:v>
                </c:pt>
                <c:pt idx="94">
                  <c:v>4.0818501434127885</c:v>
                </c:pt>
                <c:pt idx="95">
                  <c:v>3.0721058489339859</c:v>
                </c:pt>
                <c:pt idx="96">
                  <c:v>6.0987008934780684</c:v>
                </c:pt>
                <c:pt idx="97">
                  <c:v>4.948863298070763</c:v>
                </c:pt>
                <c:pt idx="98">
                  <c:v>4.8915851453803922</c:v>
                </c:pt>
                <c:pt idx="99">
                  <c:v>6.4666403392673892</c:v>
                </c:pt>
                <c:pt idx="100">
                  <c:v>2.905128526918161</c:v>
                </c:pt>
                <c:pt idx="101">
                  <c:v>3.6536851900244529</c:v>
                </c:pt>
                <c:pt idx="102">
                  <c:v>7.6741966855821149</c:v>
                </c:pt>
                <c:pt idx="103">
                  <c:v>7.3070645695245986</c:v>
                </c:pt>
                <c:pt idx="104">
                  <c:v>7.0197697068332916</c:v>
                </c:pt>
                <c:pt idx="105">
                  <c:v>4.8144203483456627</c:v>
                </c:pt>
                <c:pt idx="106">
                  <c:v>3.2945830295439524</c:v>
                </c:pt>
                <c:pt idx="107">
                  <c:v>5.2505054960546298</c:v>
                </c:pt>
                <c:pt idx="108">
                  <c:v>6.7178186547816328</c:v>
                </c:pt>
                <c:pt idx="109">
                  <c:v>6.1167289792986814</c:v>
                </c:pt>
                <c:pt idx="110">
                  <c:v>5.8619317586865547</c:v>
                </c:pt>
                <c:pt idx="111">
                  <c:v>4.9184169262135526</c:v>
                </c:pt>
                <c:pt idx="112">
                  <c:v>6.1562791035755131</c:v>
                </c:pt>
                <c:pt idx="113">
                  <c:v>5.4663059771559048</c:v>
                </c:pt>
                <c:pt idx="114">
                  <c:v>6.6686219833385625</c:v>
                </c:pt>
                <c:pt idx="115">
                  <c:v>6.2989478296615227</c:v>
                </c:pt>
                <c:pt idx="116">
                  <c:v>5.4687966382167721</c:v>
                </c:pt>
                <c:pt idx="117">
                  <c:v>4.8527572418253886</c:v>
                </c:pt>
                <c:pt idx="118">
                  <c:v>6.4332050736793045</c:v>
                </c:pt>
                <c:pt idx="119">
                  <c:v>5.7655428380373221</c:v>
                </c:pt>
                <c:pt idx="120">
                  <c:v>5.9302485546707215</c:v>
                </c:pt>
                <c:pt idx="121">
                  <c:v>2.5854203800725566</c:v>
                </c:pt>
                <c:pt idx="122">
                  <c:v>2.9766076481568624</c:v>
                </c:pt>
                <c:pt idx="123">
                  <c:v>6.0442251822563557</c:v>
                </c:pt>
                <c:pt idx="124">
                  <c:v>6.8114724002656519</c:v>
                </c:pt>
                <c:pt idx="125">
                  <c:v>5.8386900370933033</c:v>
                </c:pt>
                <c:pt idx="126">
                  <c:v>4.3556167453604608</c:v>
                </c:pt>
                <c:pt idx="127">
                  <c:v>3.5676143129878835</c:v>
                </c:pt>
                <c:pt idx="128">
                  <c:v>2.076903016822345</c:v>
                </c:pt>
                <c:pt idx="129">
                  <c:v>7.0626441771657635</c:v>
                </c:pt>
                <c:pt idx="130">
                  <c:v>4.9250998093064116</c:v>
                </c:pt>
                <c:pt idx="131">
                  <c:v>6.1050627115051306</c:v>
                </c:pt>
                <c:pt idx="132">
                  <c:v>3.9930478267535641</c:v>
                </c:pt>
                <c:pt idx="133">
                  <c:v>3.1253651453100346</c:v>
                </c:pt>
                <c:pt idx="134">
                  <c:v>4.1592544534291296</c:v>
                </c:pt>
                <c:pt idx="135">
                  <c:v>4.0282467239947204</c:v>
                </c:pt>
                <c:pt idx="136">
                  <c:v>6.2914922294172166</c:v>
                </c:pt>
                <c:pt idx="137">
                  <c:v>5.8707858243342015</c:v>
                </c:pt>
                <c:pt idx="138">
                  <c:v>1.9667597203058318</c:v>
                </c:pt>
                <c:pt idx="139">
                  <c:v>3.2201465281524002</c:v>
                </c:pt>
                <c:pt idx="140">
                  <c:v>5.2472887217425157</c:v>
                </c:pt>
                <c:pt idx="141">
                  <c:v>4.7765553392959923</c:v>
                </c:pt>
                <c:pt idx="142">
                  <c:v>6.5840033169275891</c:v>
                </c:pt>
                <c:pt idx="143">
                  <c:v>6.4346586964569497</c:v>
                </c:pt>
                <c:pt idx="144">
                  <c:v>6.0538410820644675</c:v>
                </c:pt>
                <c:pt idx="145">
                  <c:v>4.58327985835645</c:v>
                </c:pt>
                <c:pt idx="146">
                  <c:v>2.6603876042835997</c:v>
                </c:pt>
                <c:pt idx="147">
                  <c:v>3.8241750712923506</c:v>
                </c:pt>
                <c:pt idx="148">
                  <c:v>4.222204821662455</c:v>
                </c:pt>
                <c:pt idx="149">
                  <c:v>6.9224533911845905</c:v>
                </c:pt>
                <c:pt idx="150">
                  <c:v>6.5927222243314505</c:v>
                </c:pt>
                <c:pt idx="151">
                  <c:v>7.0732761995317031</c:v>
                </c:pt>
                <c:pt idx="152">
                  <c:v>6.3059851001661356</c:v>
                </c:pt>
                <c:pt idx="153">
                  <c:v>4.4453040971163338</c:v>
                </c:pt>
                <c:pt idx="154">
                  <c:v>6.3397105856796632</c:v>
                </c:pt>
                <c:pt idx="155">
                  <c:v>5.550287116842016</c:v>
                </c:pt>
                <c:pt idx="156">
                  <c:v>1.0465575400470928</c:v>
                </c:pt>
                <c:pt idx="157">
                  <c:v>4.8265801979050096</c:v>
                </c:pt>
                <c:pt idx="158">
                  <c:v>3.3004390730086204</c:v>
                </c:pt>
                <c:pt idx="159">
                  <c:v>6.912991760440991</c:v>
                </c:pt>
                <c:pt idx="160">
                  <c:v>4.7511450609206252</c:v>
                </c:pt>
                <c:pt idx="161">
                  <c:v>3.3254675752220071</c:v>
                </c:pt>
                <c:pt idx="162">
                  <c:v>6.0189753872112783</c:v>
                </c:pt>
                <c:pt idx="163">
                  <c:v>3.7685113762868587</c:v>
                </c:pt>
                <c:pt idx="164">
                  <c:v>4.2749277470565739</c:v>
                </c:pt>
                <c:pt idx="165">
                  <c:v>4.0511295451068303</c:v>
                </c:pt>
                <c:pt idx="166">
                  <c:v>5.3049255218318727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39B-4BE5-B5CF-1FDC396CE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7008304"/>
        <c:axId val="727008696"/>
      </c:scatterChart>
      <c:valAx>
        <c:axId val="727008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Profit Margin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727008696"/>
        <c:crosses val="autoZero"/>
        <c:crossBetween val="midCat"/>
      </c:valAx>
      <c:valAx>
        <c:axId val="7270086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EV/Rev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70083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12" Type="http://schemas.openxmlformats.org/officeDocument/2006/relationships/chart" Target="../charts/chart20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chart" Target="../charts/chart19.xml"/><Relationship Id="rId5" Type="http://schemas.openxmlformats.org/officeDocument/2006/relationships/chart" Target="../charts/chart13.xml"/><Relationship Id="rId10" Type="http://schemas.openxmlformats.org/officeDocument/2006/relationships/chart" Target="../charts/chart18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6.xml"/><Relationship Id="rId3" Type="http://schemas.openxmlformats.org/officeDocument/2006/relationships/chart" Target="../charts/chart31.xml"/><Relationship Id="rId7" Type="http://schemas.openxmlformats.org/officeDocument/2006/relationships/chart" Target="../charts/chart35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5" Type="http://schemas.openxmlformats.org/officeDocument/2006/relationships/chart" Target="../charts/chart33.xml"/><Relationship Id="rId4" Type="http://schemas.openxmlformats.org/officeDocument/2006/relationships/chart" Target="../charts/chart32.xml"/><Relationship Id="rId9" Type="http://schemas.openxmlformats.org/officeDocument/2006/relationships/chart" Target="../charts/chart37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gif"/><Relationship Id="rId3" Type="http://schemas.openxmlformats.org/officeDocument/2006/relationships/image" Target="../media/image3.gif"/><Relationship Id="rId7" Type="http://schemas.openxmlformats.org/officeDocument/2006/relationships/image" Target="../media/image7.gif"/><Relationship Id="rId2" Type="http://schemas.openxmlformats.org/officeDocument/2006/relationships/image" Target="../media/image2.gif"/><Relationship Id="rId1" Type="http://schemas.openxmlformats.org/officeDocument/2006/relationships/image" Target="../media/image1.gif"/><Relationship Id="rId6" Type="http://schemas.openxmlformats.org/officeDocument/2006/relationships/image" Target="../media/image6.gif"/><Relationship Id="rId11" Type="http://schemas.openxmlformats.org/officeDocument/2006/relationships/image" Target="../media/image11.gif"/><Relationship Id="rId5" Type="http://schemas.openxmlformats.org/officeDocument/2006/relationships/image" Target="../media/image5.gif"/><Relationship Id="rId10" Type="http://schemas.openxmlformats.org/officeDocument/2006/relationships/image" Target="../media/image10.gif"/><Relationship Id="rId4" Type="http://schemas.openxmlformats.org/officeDocument/2006/relationships/image" Target="../media/image4.gif"/><Relationship Id="rId9" Type="http://schemas.openxmlformats.org/officeDocument/2006/relationships/image" Target="../media/image9.gi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chart" Target="../charts/chart39.xml"/><Relationship Id="rId1" Type="http://schemas.openxmlformats.org/officeDocument/2006/relationships/chart" Target="../charts/chart38.xml"/><Relationship Id="rId6" Type="http://schemas.openxmlformats.org/officeDocument/2006/relationships/chart" Target="../charts/chart43.xml"/><Relationship Id="rId5" Type="http://schemas.openxmlformats.org/officeDocument/2006/relationships/chart" Target="../charts/chart42.xml"/><Relationship Id="rId4" Type="http://schemas.openxmlformats.org/officeDocument/2006/relationships/chart" Target="../charts/chart41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1.xml"/><Relationship Id="rId3" Type="http://schemas.openxmlformats.org/officeDocument/2006/relationships/chart" Target="../charts/chart46.xml"/><Relationship Id="rId7" Type="http://schemas.openxmlformats.org/officeDocument/2006/relationships/chart" Target="../charts/chart50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Relationship Id="rId6" Type="http://schemas.openxmlformats.org/officeDocument/2006/relationships/chart" Target="../charts/chart49.xml"/><Relationship Id="rId5" Type="http://schemas.openxmlformats.org/officeDocument/2006/relationships/chart" Target="../charts/chart48.xml"/><Relationship Id="rId10" Type="http://schemas.openxmlformats.org/officeDocument/2006/relationships/chart" Target="../charts/chart53.xml"/><Relationship Id="rId4" Type="http://schemas.openxmlformats.org/officeDocument/2006/relationships/chart" Target="../charts/chart47.xml"/><Relationship Id="rId9" Type="http://schemas.openxmlformats.org/officeDocument/2006/relationships/chart" Target="../charts/chart52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emf"/><Relationship Id="rId2" Type="http://schemas.openxmlformats.org/officeDocument/2006/relationships/image" Target="../media/image13.emf"/><Relationship Id="rId1" Type="http://schemas.openxmlformats.org/officeDocument/2006/relationships/image" Target="../media/image12.emf"/><Relationship Id="rId4" Type="http://schemas.openxmlformats.org/officeDocument/2006/relationships/image" Target="../media/image15.emf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emf"/><Relationship Id="rId2" Type="http://schemas.openxmlformats.org/officeDocument/2006/relationships/image" Target="../media/image21.emf"/><Relationship Id="rId1" Type="http://schemas.openxmlformats.org/officeDocument/2006/relationships/image" Target="../media/image20.emf"/><Relationship Id="rId4" Type="http://schemas.openxmlformats.org/officeDocument/2006/relationships/image" Target="../media/image23.emf"/></Relationships>
</file>

<file path=xl/drawings/_rels/vmlDrawing9.vml.rels><?xml version="1.0" encoding="UTF-8" standalone="yes"?>
<Relationships xmlns="http://schemas.openxmlformats.org/package/2006/relationships"><Relationship Id="rId3" Type="http://schemas.openxmlformats.org/officeDocument/2006/relationships/image" Target="../media/image18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4" Type="http://schemas.openxmlformats.org/officeDocument/2006/relationships/image" Target="../media/image19.emf"/></Relationships>
</file>

<file path=xl/drawings/_rels/vmlDrawing10.vml.rels><?xml version="1.0" encoding="UTF-8" standalone="yes"?>
<Relationships xmlns="http://schemas.openxmlformats.org/package/2006/relationships"><Relationship Id="rId3" Type="http://schemas.openxmlformats.org/officeDocument/2006/relationships/image" Target="../media/image26.emf"/><Relationship Id="rId2" Type="http://schemas.openxmlformats.org/officeDocument/2006/relationships/image" Target="../media/image25.emf"/><Relationship Id="rId1" Type="http://schemas.openxmlformats.org/officeDocument/2006/relationships/image" Target="../media/image24.emf"/><Relationship Id="rId4" Type="http://schemas.openxmlformats.org/officeDocument/2006/relationships/image" Target="../media/image2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45</xdr:row>
      <xdr:rowOff>127000</xdr:rowOff>
    </xdr:from>
    <xdr:to>
      <xdr:col>6</xdr:col>
      <xdr:colOff>688975</xdr:colOff>
      <xdr:row>63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C70E5D-C52C-4E17-81F0-A966B2DE42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127000</xdr:colOff>
      <xdr:row>69</xdr:row>
      <xdr:rowOff>127000</xdr:rowOff>
    </xdr:from>
    <xdr:to>
      <xdr:col>6</xdr:col>
      <xdr:colOff>688975</xdr:colOff>
      <xdr:row>87</xdr:row>
      <xdr:rowOff>127000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189D77AC-993C-4A01-81D3-C5A8CED4CD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91</xdr:row>
      <xdr:rowOff>127000</xdr:rowOff>
    </xdr:from>
    <xdr:to>
      <xdr:col>6</xdr:col>
      <xdr:colOff>688975</xdr:colOff>
      <xdr:row>109</xdr:row>
      <xdr:rowOff>127000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B6F73024-B4D2-48CA-A71B-8550FB9F51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127000</xdr:colOff>
      <xdr:row>113</xdr:row>
      <xdr:rowOff>127000</xdr:rowOff>
    </xdr:from>
    <xdr:to>
      <xdr:col>6</xdr:col>
      <xdr:colOff>688975</xdr:colOff>
      <xdr:row>131</xdr:row>
      <xdr:rowOff>127000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id="{C5B567EE-8985-4553-8364-A5F48DEC23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127000</xdr:colOff>
      <xdr:row>135</xdr:row>
      <xdr:rowOff>127000</xdr:rowOff>
    </xdr:from>
    <xdr:to>
      <xdr:col>6</xdr:col>
      <xdr:colOff>688975</xdr:colOff>
      <xdr:row>153</xdr:row>
      <xdr:rowOff>127000</xdr:rowOff>
    </xdr:to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D0BBB174-9D89-4227-9137-9DF1669009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127000</xdr:colOff>
      <xdr:row>157</xdr:row>
      <xdr:rowOff>127000</xdr:rowOff>
    </xdr:from>
    <xdr:to>
      <xdr:col>6</xdr:col>
      <xdr:colOff>688975</xdr:colOff>
      <xdr:row>175</xdr:row>
      <xdr:rowOff>127000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5276124B-6FCF-4C34-A151-6FD5A4399F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127000</xdr:colOff>
      <xdr:row>181</xdr:row>
      <xdr:rowOff>127000</xdr:rowOff>
    </xdr:from>
    <xdr:to>
      <xdr:col>6</xdr:col>
      <xdr:colOff>688975</xdr:colOff>
      <xdr:row>199</xdr:row>
      <xdr:rowOff>127000</xdr:rowOff>
    </xdr:to>
    <xdr:graphicFrame macro="">
      <xdr:nvGraphicFramePr>
        <xdr:cNvPr id="8" name="Chart 1">
          <a:extLst>
            <a:ext uri="{FF2B5EF4-FFF2-40B4-BE49-F238E27FC236}">
              <a16:creationId xmlns:a16="http://schemas.microsoft.com/office/drawing/2014/main" id="{6707CEDF-E53F-4679-B47A-246DCFCEDC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127000</xdr:colOff>
      <xdr:row>203</xdr:row>
      <xdr:rowOff>127000</xdr:rowOff>
    </xdr:from>
    <xdr:to>
      <xdr:col>6</xdr:col>
      <xdr:colOff>688975</xdr:colOff>
      <xdr:row>221</xdr:row>
      <xdr:rowOff>127000</xdr:rowOff>
    </xdr:to>
    <xdr:graphicFrame macro="">
      <xdr:nvGraphicFramePr>
        <xdr:cNvPr id="9" name="Chart 1">
          <a:extLst>
            <a:ext uri="{FF2B5EF4-FFF2-40B4-BE49-F238E27FC236}">
              <a16:creationId xmlns:a16="http://schemas.microsoft.com/office/drawing/2014/main" id="{62A2E079-1A78-4C87-821A-E97046B3FD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53</xdr:row>
      <xdr:rowOff>127000</xdr:rowOff>
    </xdr:from>
    <xdr:to>
      <xdr:col>6</xdr:col>
      <xdr:colOff>688975</xdr:colOff>
      <xdr:row>71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286E36-3256-4F8D-BA54-38ED00C67D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127000</xdr:colOff>
      <xdr:row>77</xdr:row>
      <xdr:rowOff>127000</xdr:rowOff>
    </xdr:from>
    <xdr:to>
      <xdr:col>6</xdr:col>
      <xdr:colOff>688975</xdr:colOff>
      <xdr:row>95</xdr:row>
      <xdr:rowOff>127000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2287AF4A-66E4-48A4-B3A1-6A5665548E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99</xdr:row>
      <xdr:rowOff>127000</xdr:rowOff>
    </xdr:from>
    <xdr:to>
      <xdr:col>6</xdr:col>
      <xdr:colOff>688975</xdr:colOff>
      <xdr:row>117</xdr:row>
      <xdr:rowOff>127000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6AA6E420-ADC5-4A67-934C-37C8953C22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127000</xdr:colOff>
      <xdr:row>121</xdr:row>
      <xdr:rowOff>127000</xdr:rowOff>
    </xdr:from>
    <xdr:to>
      <xdr:col>6</xdr:col>
      <xdr:colOff>688975</xdr:colOff>
      <xdr:row>139</xdr:row>
      <xdr:rowOff>127000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id="{98BBB2C9-942A-44A2-8FA6-9ADCC51EE4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127000</xdr:colOff>
      <xdr:row>143</xdr:row>
      <xdr:rowOff>127000</xdr:rowOff>
    </xdr:from>
    <xdr:to>
      <xdr:col>6</xdr:col>
      <xdr:colOff>688975</xdr:colOff>
      <xdr:row>161</xdr:row>
      <xdr:rowOff>127000</xdr:rowOff>
    </xdr:to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8D6A1935-9542-465E-9A6B-BD0CA4376F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127000</xdr:colOff>
      <xdr:row>165</xdr:row>
      <xdr:rowOff>127000</xdr:rowOff>
    </xdr:from>
    <xdr:to>
      <xdr:col>6</xdr:col>
      <xdr:colOff>688975</xdr:colOff>
      <xdr:row>183</xdr:row>
      <xdr:rowOff>127000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8BA33B24-BC3E-4F03-A740-60A9101ADE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127000</xdr:colOff>
      <xdr:row>189</xdr:row>
      <xdr:rowOff>127000</xdr:rowOff>
    </xdr:from>
    <xdr:to>
      <xdr:col>6</xdr:col>
      <xdr:colOff>688975</xdr:colOff>
      <xdr:row>207</xdr:row>
      <xdr:rowOff>127000</xdr:rowOff>
    </xdr:to>
    <xdr:graphicFrame macro="">
      <xdr:nvGraphicFramePr>
        <xdr:cNvPr id="8" name="Chart 1">
          <a:extLst>
            <a:ext uri="{FF2B5EF4-FFF2-40B4-BE49-F238E27FC236}">
              <a16:creationId xmlns:a16="http://schemas.microsoft.com/office/drawing/2014/main" id="{8B3E1288-DFE9-4DDC-8A55-96915A5F2F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127000</xdr:colOff>
      <xdr:row>211</xdr:row>
      <xdr:rowOff>127000</xdr:rowOff>
    </xdr:from>
    <xdr:to>
      <xdr:col>6</xdr:col>
      <xdr:colOff>688975</xdr:colOff>
      <xdr:row>229</xdr:row>
      <xdr:rowOff>127000</xdr:rowOff>
    </xdr:to>
    <xdr:graphicFrame macro="">
      <xdr:nvGraphicFramePr>
        <xdr:cNvPr id="9" name="Chart 1">
          <a:extLst>
            <a:ext uri="{FF2B5EF4-FFF2-40B4-BE49-F238E27FC236}">
              <a16:creationId xmlns:a16="http://schemas.microsoft.com/office/drawing/2014/main" id="{51C70EC2-FC51-4542-A74C-10781CCD57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127000</xdr:colOff>
      <xdr:row>233</xdr:row>
      <xdr:rowOff>127000</xdr:rowOff>
    </xdr:from>
    <xdr:to>
      <xdr:col>6</xdr:col>
      <xdr:colOff>688975</xdr:colOff>
      <xdr:row>251</xdr:row>
      <xdr:rowOff>127000</xdr:rowOff>
    </xdr:to>
    <xdr:graphicFrame macro="">
      <xdr:nvGraphicFramePr>
        <xdr:cNvPr id="10" name="Chart 1">
          <a:extLst>
            <a:ext uri="{FF2B5EF4-FFF2-40B4-BE49-F238E27FC236}">
              <a16:creationId xmlns:a16="http://schemas.microsoft.com/office/drawing/2014/main" id="{96CE8EBA-0D97-4433-92CE-618EC1F83A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127000</xdr:colOff>
      <xdr:row>255</xdr:row>
      <xdr:rowOff>127000</xdr:rowOff>
    </xdr:from>
    <xdr:to>
      <xdr:col>6</xdr:col>
      <xdr:colOff>688975</xdr:colOff>
      <xdr:row>273</xdr:row>
      <xdr:rowOff>127000</xdr:rowOff>
    </xdr:to>
    <xdr:graphicFrame macro="">
      <xdr:nvGraphicFramePr>
        <xdr:cNvPr id="11" name="Chart 1">
          <a:extLst>
            <a:ext uri="{FF2B5EF4-FFF2-40B4-BE49-F238E27FC236}">
              <a16:creationId xmlns:a16="http://schemas.microsoft.com/office/drawing/2014/main" id="{E3911FF4-9724-4B88-B2CA-728F668A8F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127000</xdr:colOff>
      <xdr:row>277</xdr:row>
      <xdr:rowOff>127000</xdr:rowOff>
    </xdr:from>
    <xdr:to>
      <xdr:col>6</xdr:col>
      <xdr:colOff>688975</xdr:colOff>
      <xdr:row>295</xdr:row>
      <xdr:rowOff>127000</xdr:rowOff>
    </xdr:to>
    <xdr:graphicFrame macro="">
      <xdr:nvGraphicFramePr>
        <xdr:cNvPr id="12" name="Chart 1">
          <a:extLst>
            <a:ext uri="{FF2B5EF4-FFF2-40B4-BE49-F238E27FC236}">
              <a16:creationId xmlns:a16="http://schemas.microsoft.com/office/drawing/2014/main" id="{B957A320-EAA8-416F-88DD-A9121E3DB7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127000</xdr:colOff>
      <xdr:row>299</xdr:row>
      <xdr:rowOff>127000</xdr:rowOff>
    </xdr:from>
    <xdr:to>
      <xdr:col>6</xdr:col>
      <xdr:colOff>688975</xdr:colOff>
      <xdr:row>317</xdr:row>
      <xdr:rowOff>127000</xdr:rowOff>
    </xdr:to>
    <xdr:graphicFrame macro="">
      <xdr:nvGraphicFramePr>
        <xdr:cNvPr id="13" name="Chart 1">
          <a:extLst>
            <a:ext uri="{FF2B5EF4-FFF2-40B4-BE49-F238E27FC236}">
              <a16:creationId xmlns:a16="http://schemas.microsoft.com/office/drawing/2014/main" id="{7682EA2E-1B20-4379-AE0D-481ABA0F33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30</xdr:row>
      <xdr:rowOff>127000</xdr:rowOff>
    </xdr:from>
    <xdr:to>
      <xdr:col>6</xdr:col>
      <xdr:colOff>688975</xdr:colOff>
      <xdr:row>48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5443C1-F66A-4658-B8A5-186B4364A1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127000</xdr:colOff>
      <xdr:row>52</xdr:row>
      <xdr:rowOff>127000</xdr:rowOff>
    </xdr:from>
    <xdr:to>
      <xdr:col>6</xdr:col>
      <xdr:colOff>688975</xdr:colOff>
      <xdr:row>70</xdr:row>
      <xdr:rowOff>127000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B326C49C-263F-4884-B697-01F855E11A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74</xdr:row>
      <xdr:rowOff>127000</xdr:rowOff>
    </xdr:from>
    <xdr:to>
      <xdr:col>6</xdr:col>
      <xdr:colOff>688975</xdr:colOff>
      <xdr:row>92</xdr:row>
      <xdr:rowOff>127000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D1FCFFC0-0AFD-438E-9147-84AE450F05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127000</xdr:colOff>
      <xdr:row>96</xdr:row>
      <xdr:rowOff>127000</xdr:rowOff>
    </xdr:from>
    <xdr:to>
      <xdr:col>6</xdr:col>
      <xdr:colOff>688975</xdr:colOff>
      <xdr:row>114</xdr:row>
      <xdr:rowOff>127000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id="{9FD01782-EA28-447D-A405-E21DAE4B7A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127000</xdr:colOff>
      <xdr:row>118</xdr:row>
      <xdr:rowOff>127000</xdr:rowOff>
    </xdr:from>
    <xdr:to>
      <xdr:col>6</xdr:col>
      <xdr:colOff>688975</xdr:colOff>
      <xdr:row>136</xdr:row>
      <xdr:rowOff>127000</xdr:rowOff>
    </xdr:to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443B64B5-5F0B-4A08-A61F-B62CEB71C5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127000</xdr:colOff>
      <xdr:row>142</xdr:row>
      <xdr:rowOff>127000</xdr:rowOff>
    </xdr:from>
    <xdr:to>
      <xdr:col>6</xdr:col>
      <xdr:colOff>688975</xdr:colOff>
      <xdr:row>160</xdr:row>
      <xdr:rowOff>127000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A728E25F-2EF9-4934-AA45-A36B1C21D3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127000</xdr:colOff>
      <xdr:row>164</xdr:row>
      <xdr:rowOff>127000</xdr:rowOff>
    </xdr:from>
    <xdr:to>
      <xdr:col>6</xdr:col>
      <xdr:colOff>688975</xdr:colOff>
      <xdr:row>182</xdr:row>
      <xdr:rowOff>127000</xdr:rowOff>
    </xdr:to>
    <xdr:graphicFrame macro="">
      <xdr:nvGraphicFramePr>
        <xdr:cNvPr id="8" name="Chart 1">
          <a:extLst>
            <a:ext uri="{FF2B5EF4-FFF2-40B4-BE49-F238E27FC236}">
              <a16:creationId xmlns:a16="http://schemas.microsoft.com/office/drawing/2014/main" id="{C6385D2B-3881-4204-8AAE-35D1C7F17D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127000</xdr:colOff>
      <xdr:row>186</xdr:row>
      <xdr:rowOff>127000</xdr:rowOff>
    </xdr:from>
    <xdr:to>
      <xdr:col>6</xdr:col>
      <xdr:colOff>688975</xdr:colOff>
      <xdr:row>204</xdr:row>
      <xdr:rowOff>127000</xdr:rowOff>
    </xdr:to>
    <xdr:graphicFrame macro="">
      <xdr:nvGraphicFramePr>
        <xdr:cNvPr id="9" name="Chart 1">
          <a:extLst>
            <a:ext uri="{FF2B5EF4-FFF2-40B4-BE49-F238E27FC236}">
              <a16:creationId xmlns:a16="http://schemas.microsoft.com/office/drawing/2014/main" id="{36FB3C58-E225-44EC-9AA8-AF7AB45AF5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47</xdr:row>
      <xdr:rowOff>127000</xdr:rowOff>
    </xdr:from>
    <xdr:to>
      <xdr:col>6</xdr:col>
      <xdr:colOff>688975</xdr:colOff>
      <xdr:row>65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8D0547-C4AF-4E2E-A6FC-3EF492AB34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127000</xdr:colOff>
      <xdr:row>71</xdr:row>
      <xdr:rowOff>127000</xdr:rowOff>
    </xdr:from>
    <xdr:to>
      <xdr:col>6</xdr:col>
      <xdr:colOff>688975</xdr:colOff>
      <xdr:row>89</xdr:row>
      <xdr:rowOff>127000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D1A137A7-2F43-4BF5-93B3-378F724622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93</xdr:row>
      <xdr:rowOff>127000</xdr:rowOff>
    </xdr:from>
    <xdr:to>
      <xdr:col>6</xdr:col>
      <xdr:colOff>688975</xdr:colOff>
      <xdr:row>111</xdr:row>
      <xdr:rowOff>127000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030EDDD1-C401-4957-8E23-BF195DAAD4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127000</xdr:colOff>
      <xdr:row>115</xdr:row>
      <xdr:rowOff>127000</xdr:rowOff>
    </xdr:from>
    <xdr:to>
      <xdr:col>6</xdr:col>
      <xdr:colOff>688975</xdr:colOff>
      <xdr:row>133</xdr:row>
      <xdr:rowOff>127000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id="{3E16AA20-1A6C-4878-83D0-167086A20A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127000</xdr:colOff>
      <xdr:row>137</xdr:row>
      <xdr:rowOff>127000</xdr:rowOff>
    </xdr:from>
    <xdr:to>
      <xdr:col>6</xdr:col>
      <xdr:colOff>688975</xdr:colOff>
      <xdr:row>155</xdr:row>
      <xdr:rowOff>127000</xdr:rowOff>
    </xdr:to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2F987AD1-04E3-4D0D-A08B-2E3FCD4846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127000</xdr:colOff>
      <xdr:row>159</xdr:row>
      <xdr:rowOff>127000</xdr:rowOff>
    </xdr:from>
    <xdr:to>
      <xdr:col>6</xdr:col>
      <xdr:colOff>688975</xdr:colOff>
      <xdr:row>177</xdr:row>
      <xdr:rowOff>127000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ABBEA8A2-9D35-4EC0-AA23-9D0BC97679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127000</xdr:colOff>
      <xdr:row>183</xdr:row>
      <xdr:rowOff>127000</xdr:rowOff>
    </xdr:from>
    <xdr:to>
      <xdr:col>6</xdr:col>
      <xdr:colOff>688975</xdr:colOff>
      <xdr:row>201</xdr:row>
      <xdr:rowOff>127000</xdr:rowOff>
    </xdr:to>
    <xdr:graphicFrame macro="">
      <xdr:nvGraphicFramePr>
        <xdr:cNvPr id="8" name="Chart 1">
          <a:extLst>
            <a:ext uri="{FF2B5EF4-FFF2-40B4-BE49-F238E27FC236}">
              <a16:creationId xmlns:a16="http://schemas.microsoft.com/office/drawing/2014/main" id="{3A4DBBF5-EB64-4852-84EE-A33F018D56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127000</xdr:colOff>
      <xdr:row>205</xdr:row>
      <xdr:rowOff>127000</xdr:rowOff>
    </xdr:from>
    <xdr:to>
      <xdr:col>6</xdr:col>
      <xdr:colOff>688975</xdr:colOff>
      <xdr:row>223</xdr:row>
      <xdr:rowOff>127000</xdr:rowOff>
    </xdr:to>
    <xdr:graphicFrame macro="">
      <xdr:nvGraphicFramePr>
        <xdr:cNvPr id="9" name="Chart 1">
          <a:extLst>
            <a:ext uri="{FF2B5EF4-FFF2-40B4-BE49-F238E27FC236}">
              <a16:creationId xmlns:a16="http://schemas.microsoft.com/office/drawing/2014/main" id="{DBBA3F9C-4770-4C5F-A773-59B7113BA1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127000</xdr:colOff>
      <xdr:row>227</xdr:row>
      <xdr:rowOff>127000</xdr:rowOff>
    </xdr:from>
    <xdr:to>
      <xdr:col>6</xdr:col>
      <xdr:colOff>688975</xdr:colOff>
      <xdr:row>245</xdr:row>
      <xdr:rowOff>127000</xdr:rowOff>
    </xdr:to>
    <xdr:graphicFrame macro="">
      <xdr:nvGraphicFramePr>
        <xdr:cNvPr id="10" name="Chart 1">
          <a:extLst>
            <a:ext uri="{FF2B5EF4-FFF2-40B4-BE49-F238E27FC236}">
              <a16:creationId xmlns:a16="http://schemas.microsoft.com/office/drawing/2014/main" id="{399F3ED6-97AC-48E5-9EAE-C36F3ADA09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33</xdr:row>
      <xdr:rowOff>127000</xdr:rowOff>
    </xdr:from>
    <xdr:to>
      <xdr:col>6</xdr:col>
      <xdr:colOff>698500</xdr:colOff>
      <xdr:row>51</xdr:row>
      <xdr:rowOff>136525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1A07C1B-0D0E-48C4-9A19-7B1633AB7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" y="4879975"/>
          <a:ext cx="5191125" cy="2581275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55</xdr:row>
      <xdr:rowOff>127000</xdr:rowOff>
    </xdr:from>
    <xdr:to>
      <xdr:col>6</xdr:col>
      <xdr:colOff>698500</xdr:colOff>
      <xdr:row>73</xdr:row>
      <xdr:rowOff>136525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7F759A5-3B86-4950-9C61-1D30553A2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000" y="8023225"/>
          <a:ext cx="5191125" cy="2581275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77</xdr:row>
      <xdr:rowOff>127000</xdr:rowOff>
    </xdr:from>
    <xdr:to>
      <xdr:col>6</xdr:col>
      <xdr:colOff>698500</xdr:colOff>
      <xdr:row>95</xdr:row>
      <xdr:rowOff>136525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A67AB0B-D428-4991-B21F-79ECB0DF0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000" y="11166475"/>
          <a:ext cx="5191125" cy="2581275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99</xdr:row>
      <xdr:rowOff>127000</xdr:rowOff>
    </xdr:from>
    <xdr:to>
      <xdr:col>6</xdr:col>
      <xdr:colOff>698500</xdr:colOff>
      <xdr:row>117</xdr:row>
      <xdr:rowOff>136525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293028F-FE03-4EEB-A5B3-AAF5ABCE9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000" y="14309725"/>
          <a:ext cx="5191125" cy="2581275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121</xdr:row>
      <xdr:rowOff>127002</xdr:rowOff>
    </xdr:from>
    <xdr:to>
      <xdr:col>6</xdr:col>
      <xdr:colOff>698500</xdr:colOff>
      <xdr:row>139</xdr:row>
      <xdr:rowOff>136527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5837C7C-E052-4448-BCAF-372AC640C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000" y="17452977"/>
          <a:ext cx="5191125" cy="2581275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145</xdr:row>
      <xdr:rowOff>127002</xdr:rowOff>
    </xdr:from>
    <xdr:to>
      <xdr:col>6</xdr:col>
      <xdr:colOff>698500</xdr:colOff>
      <xdr:row>163</xdr:row>
      <xdr:rowOff>136527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A0646B0-C2E4-4AD6-928E-4F95095A9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000" y="20881977"/>
          <a:ext cx="5191125" cy="2581275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167</xdr:row>
      <xdr:rowOff>126998</xdr:rowOff>
    </xdr:from>
    <xdr:to>
      <xdr:col>6</xdr:col>
      <xdr:colOff>698500</xdr:colOff>
      <xdr:row>185</xdr:row>
      <xdr:rowOff>136523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AE4F6F3-F5DF-4BAC-9BEE-2E9B96170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7000" y="24025223"/>
          <a:ext cx="5191125" cy="2581275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189</xdr:row>
      <xdr:rowOff>127000</xdr:rowOff>
    </xdr:from>
    <xdr:to>
      <xdr:col>6</xdr:col>
      <xdr:colOff>698500</xdr:colOff>
      <xdr:row>207</xdr:row>
      <xdr:rowOff>136525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CF5CAA2-E392-4D01-8792-A3580E0F7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7000" y="27168475"/>
          <a:ext cx="5191125" cy="2581275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211</xdr:row>
      <xdr:rowOff>127000</xdr:rowOff>
    </xdr:from>
    <xdr:to>
      <xdr:col>6</xdr:col>
      <xdr:colOff>698500</xdr:colOff>
      <xdr:row>229</xdr:row>
      <xdr:rowOff>136525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389D171-F9F0-456D-9CF5-6E70275D1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7000" y="30311725"/>
          <a:ext cx="5191125" cy="2581275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233</xdr:row>
      <xdr:rowOff>127000</xdr:rowOff>
    </xdr:from>
    <xdr:to>
      <xdr:col>6</xdr:col>
      <xdr:colOff>698500</xdr:colOff>
      <xdr:row>251</xdr:row>
      <xdr:rowOff>136525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BCF6D4E-2B2A-489C-AE39-914DB5500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7000" y="33454975"/>
          <a:ext cx="5191125" cy="2581275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255</xdr:row>
      <xdr:rowOff>127000</xdr:rowOff>
    </xdr:from>
    <xdr:to>
      <xdr:col>6</xdr:col>
      <xdr:colOff>698500</xdr:colOff>
      <xdr:row>273</xdr:row>
      <xdr:rowOff>136525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FE552EF-3362-4208-87CD-C346303AD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000" y="36598225"/>
          <a:ext cx="5191125" cy="25812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152400</xdr:rowOff>
    </xdr:from>
    <xdr:to>
      <xdr:col>15</xdr:col>
      <xdr:colOff>238125</xdr:colOff>
      <xdr:row>10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24433C-0A98-486C-BF1B-CCB7BB09DF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238125</xdr:colOff>
      <xdr:row>2</xdr:row>
      <xdr:rowOff>152400</xdr:rowOff>
    </xdr:from>
    <xdr:to>
      <xdr:col>16</xdr:col>
      <xdr:colOff>238125</xdr:colOff>
      <xdr:row>12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1F1654-0FCE-48D5-91CC-592278C40F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238125</xdr:colOff>
      <xdr:row>4</xdr:row>
      <xdr:rowOff>152400</xdr:rowOff>
    </xdr:from>
    <xdr:to>
      <xdr:col>17</xdr:col>
      <xdr:colOff>238125</xdr:colOff>
      <xdr:row>14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0E9723-C7BA-4191-9A00-07B0A6C4D4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238125</xdr:colOff>
      <xdr:row>6</xdr:row>
      <xdr:rowOff>152400</xdr:rowOff>
    </xdr:from>
    <xdr:to>
      <xdr:col>18</xdr:col>
      <xdr:colOff>238125</xdr:colOff>
      <xdr:row>16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01C3D23-DB56-4B32-A835-D818F09096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238125</xdr:colOff>
      <xdr:row>8</xdr:row>
      <xdr:rowOff>152400</xdr:rowOff>
    </xdr:from>
    <xdr:to>
      <xdr:col>19</xdr:col>
      <xdr:colOff>238125</xdr:colOff>
      <xdr:row>18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28EBBC3-C186-4C43-ACA6-A65B68972D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238125</xdr:colOff>
      <xdr:row>10</xdr:row>
      <xdr:rowOff>152400</xdr:rowOff>
    </xdr:from>
    <xdr:to>
      <xdr:col>20</xdr:col>
      <xdr:colOff>238125</xdr:colOff>
      <xdr:row>20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5E8018B-9D76-455E-A924-6B0A23A54D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152400</xdr:rowOff>
    </xdr:from>
    <xdr:to>
      <xdr:col>15</xdr:col>
      <xdr:colOff>238125</xdr:colOff>
      <xdr:row>10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238125</xdr:colOff>
      <xdr:row>2</xdr:row>
      <xdr:rowOff>152400</xdr:rowOff>
    </xdr:from>
    <xdr:to>
      <xdr:col>16</xdr:col>
      <xdr:colOff>238125</xdr:colOff>
      <xdr:row>12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238125</xdr:colOff>
      <xdr:row>4</xdr:row>
      <xdr:rowOff>152400</xdr:rowOff>
    </xdr:from>
    <xdr:to>
      <xdr:col>17</xdr:col>
      <xdr:colOff>238125</xdr:colOff>
      <xdr:row>14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238125</xdr:colOff>
      <xdr:row>6</xdr:row>
      <xdr:rowOff>152400</xdr:rowOff>
    </xdr:from>
    <xdr:to>
      <xdr:col>18</xdr:col>
      <xdr:colOff>238125</xdr:colOff>
      <xdr:row>16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238125</xdr:colOff>
      <xdr:row>8</xdr:row>
      <xdr:rowOff>152400</xdr:rowOff>
    </xdr:from>
    <xdr:to>
      <xdr:col>19</xdr:col>
      <xdr:colOff>238125</xdr:colOff>
      <xdr:row>18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238125</xdr:colOff>
      <xdr:row>10</xdr:row>
      <xdr:rowOff>152400</xdr:rowOff>
    </xdr:from>
    <xdr:to>
      <xdr:col>20</xdr:col>
      <xdr:colOff>238125</xdr:colOff>
      <xdr:row>20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238125</xdr:colOff>
      <xdr:row>12</xdr:row>
      <xdr:rowOff>152400</xdr:rowOff>
    </xdr:from>
    <xdr:to>
      <xdr:col>21</xdr:col>
      <xdr:colOff>238125</xdr:colOff>
      <xdr:row>22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238125</xdr:colOff>
      <xdr:row>14</xdr:row>
      <xdr:rowOff>152400</xdr:rowOff>
    </xdr:from>
    <xdr:to>
      <xdr:col>22</xdr:col>
      <xdr:colOff>238125</xdr:colOff>
      <xdr:row>24</xdr:row>
      <xdr:rowOff>152400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238125</xdr:colOff>
      <xdr:row>16</xdr:row>
      <xdr:rowOff>152400</xdr:rowOff>
    </xdr:from>
    <xdr:to>
      <xdr:col>23</xdr:col>
      <xdr:colOff>238125</xdr:colOff>
      <xdr:row>29</xdr:row>
      <xdr:rowOff>152400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238125</xdr:colOff>
      <xdr:row>18</xdr:row>
      <xdr:rowOff>152400</xdr:rowOff>
    </xdr:from>
    <xdr:to>
      <xdr:col>24</xdr:col>
      <xdr:colOff>238125</xdr:colOff>
      <xdr:row>31</xdr:row>
      <xdr:rowOff>152400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</xdr:row>
          <xdr:rowOff>0</xdr:rowOff>
        </xdr:from>
        <xdr:to>
          <xdr:col>12</xdr:col>
          <xdr:colOff>517071</xdr:colOff>
          <xdr:row>48</xdr:row>
          <xdr:rowOff>217714</xdr:rowOff>
        </xdr:to>
        <xdr:pic>
          <xdr:nvPicPr>
            <xdr:cNvPr id="2" name="Picture 1">
              <a:extLst>
                <a:ext uri="{FF2B5EF4-FFF2-40B4-BE49-F238E27FC236}">
                  <a16:creationId xmlns:a16="http://schemas.microsoft.com/office/drawing/2014/main" id="{00000000-0008-0000-0600-000002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38:$M$51" spid="_x0000_s8825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0" y="6613071"/>
              <a:ext cx="11919857" cy="5197929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</xdr:row>
          <xdr:rowOff>0</xdr:rowOff>
        </xdr:from>
        <xdr:to>
          <xdr:col>12</xdr:col>
          <xdr:colOff>517071</xdr:colOff>
          <xdr:row>68</xdr:row>
          <xdr:rowOff>380999</xdr:rowOff>
        </xdr:to>
        <xdr:pic>
          <xdr:nvPicPr>
            <xdr:cNvPr id="3" name="Picture 2">
              <a:extLst>
                <a:ext uri="{FF2B5EF4-FFF2-40B4-BE49-F238E27FC236}">
                  <a16:creationId xmlns:a16="http://schemas.microsoft.com/office/drawing/2014/main" id="{00000000-0008-0000-0600-000003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53:$M$69" spid="_x0000_s8826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0" y="12899571"/>
              <a:ext cx="11919857" cy="651782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</xdr:row>
          <xdr:rowOff>0</xdr:rowOff>
        </xdr:from>
        <xdr:to>
          <xdr:col>12</xdr:col>
          <xdr:colOff>517071</xdr:colOff>
          <xdr:row>83</xdr:row>
          <xdr:rowOff>0</xdr:rowOff>
        </xdr:to>
        <xdr:pic>
          <xdr:nvPicPr>
            <xdr:cNvPr id="4" name="Picture 3">
              <a:extLst>
                <a:ext uri="{FF2B5EF4-FFF2-40B4-BE49-F238E27FC236}">
                  <a16:creationId xmlns:a16="http://schemas.microsoft.com/office/drawing/2014/main" id="{00000000-0008-0000-0600-000004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71:$M$83" spid="_x0000_s8827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0" y="19580679"/>
              <a:ext cx="11919857" cy="499382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</xdr:row>
          <xdr:rowOff>0</xdr:rowOff>
        </xdr:from>
        <xdr:to>
          <xdr:col>7</xdr:col>
          <xdr:colOff>312965</xdr:colOff>
          <xdr:row>92</xdr:row>
          <xdr:rowOff>0</xdr:rowOff>
        </xdr:to>
        <xdr:pic>
          <xdr:nvPicPr>
            <xdr:cNvPr id="5" name="Picture 4">
              <a:extLst>
                <a:ext uri="{FF2B5EF4-FFF2-40B4-BE49-F238E27FC236}">
                  <a16:creationId xmlns:a16="http://schemas.microsoft.com/office/drawing/2014/main" id="{00000000-0008-0000-0600-000005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C$85:$J$92" spid="_x0000_s882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24737786"/>
              <a:ext cx="8245929" cy="3061607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</xdr:row>
          <xdr:rowOff>0</xdr:rowOff>
        </xdr:from>
        <xdr:to>
          <xdr:col>0</xdr:col>
          <xdr:colOff>0</xdr:colOff>
          <xdr:row>48</xdr:row>
          <xdr:rowOff>217714</xdr:rowOff>
        </xdr:to>
        <xdr:pic>
          <xdr:nvPicPr>
            <xdr:cNvPr id="2" name="Picture 1">
              <a:extLst>
                <a:ext uri="{FF2B5EF4-FFF2-40B4-BE49-F238E27FC236}">
                  <a16:creationId xmlns:a16="http://schemas.microsoft.com/office/drawing/2014/main" id="{00000000-0008-0000-0500-000002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38:$M$51" spid="_x0000_s4811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0" y="9089571"/>
              <a:ext cx="0" cy="5197929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</xdr:row>
          <xdr:rowOff>0</xdr:rowOff>
        </xdr:from>
        <xdr:to>
          <xdr:col>0</xdr:col>
          <xdr:colOff>0</xdr:colOff>
          <xdr:row>68</xdr:row>
          <xdr:rowOff>380999</xdr:rowOff>
        </xdr:to>
        <xdr:pic>
          <xdr:nvPicPr>
            <xdr:cNvPr id="3" name="Picture 2">
              <a:extLst>
                <a:ext uri="{FF2B5EF4-FFF2-40B4-BE49-F238E27FC236}">
                  <a16:creationId xmlns:a16="http://schemas.microsoft.com/office/drawing/2014/main" id="{00000000-0008-0000-0500-000003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53:$M$69" spid="_x0000_s4812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0" y="15376071"/>
              <a:ext cx="0" cy="651782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</xdr:row>
          <xdr:rowOff>0</xdr:rowOff>
        </xdr:from>
        <xdr:to>
          <xdr:col>0</xdr:col>
          <xdr:colOff>0</xdr:colOff>
          <xdr:row>83</xdr:row>
          <xdr:rowOff>0</xdr:rowOff>
        </xdr:to>
        <xdr:pic>
          <xdr:nvPicPr>
            <xdr:cNvPr id="4" name="Picture 3">
              <a:extLst>
                <a:ext uri="{FF2B5EF4-FFF2-40B4-BE49-F238E27FC236}">
                  <a16:creationId xmlns:a16="http://schemas.microsoft.com/office/drawing/2014/main" id="{00000000-0008-0000-0500-000004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71:$M$83" spid="_x0000_s4813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0" y="22057179"/>
              <a:ext cx="0" cy="499382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</xdr:row>
          <xdr:rowOff>0</xdr:rowOff>
        </xdr:from>
        <xdr:to>
          <xdr:col>0</xdr:col>
          <xdr:colOff>0</xdr:colOff>
          <xdr:row>92</xdr:row>
          <xdr:rowOff>0</xdr:rowOff>
        </xdr:to>
        <xdr:pic>
          <xdr:nvPicPr>
            <xdr:cNvPr id="5" name="Picture 4">
              <a:extLst>
                <a:ext uri="{FF2B5EF4-FFF2-40B4-BE49-F238E27FC236}">
                  <a16:creationId xmlns:a16="http://schemas.microsoft.com/office/drawing/2014/main" id="{00000000-0008-0000-0500-000005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C$85:$J$92" spid="_x0000_s481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27214286"/>
              <a:ext cx="0" cy="2871107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Z228"/>
  <sheetViews>
    <sheetView showGridLines="0" showRowColHeaders="0" workbookViewId="0">
      <selection activeCell="H46" sqref="H46"/>
    </sheetView>
  </sheetViews>
  <sheetFormatPr defaultRowHeight="11.25" outlineLevelRow="1" x14ac:dyDescent="0.2"/>
  <cols>
    <col min="1" max="1" width="15.7109375" style="115" customWidth="1"/>
    <col min="2" max="10" width="10.7109375" style="115" customWidth="1"/>
    <col min="11" max="77" width="9.140625" style="115"/>
    <col min="78" max="78" width="75.28515625" style="115" bestFit="1" customWidth="1"/>
    <col min="79" max="16384" width="9.140625" style="115"/>
  </cols>
  <sheetData>
    <row r="1" spans="1:78" x14ac:dyDescent="0.2">
      <c r="A1" s="116" t="s">
        <v>618</v>
      </c>
      <c r="B1" s="115" t="s">
        <v>706</v>
      </c>
      <c r="O1" s="117" t="s">
        <v>665</v>
      </c>
      <c r="Q1" s="117" t="s">
        <v>635</v>
      </c>
      <c r="R1" s="117" t="s">
        <v>705</v>
      </c>
      <c r="T1" s="135">
        <v>1</v>
      </c>
      <c r="Z1" s="140" t="s">
        <v>707</v>
      </c>
      <c r="AN1" s="138"/>
      <c r="BZ1" s="118" t="s">
        <v>707</v>
      </c>
    </row>
    <row r="2" spans="1:78" x14ac:dyDescent="0.2">
      <c r="A2" s="116" t="s">
        <v>619</v>
      </c>
      <c r="C2" s="115" t="s">
        <v>620</v>
      </c>
      <c r="Q2" s="117" t="s">
        <v>715</v>
      </c>
      <c r="R2" s="117" t="s">
        <v>716</v>
      </c>
      <c r="S2" s="117" t="s">
        <v>662</v>
      </c>
      <c r="AA2" s="140" t="str">
        <f>"Forecasts and " &amp; TEXT($I$10, "0.0%") &amp; " confidence limits for means and forecasts
Model 8 for EV_Rev    (2 variables, n=136)"</f>
        <v>Forecasts and 95.0% confidence limits for means and forecasts
Model 8 for EV_Rev    (2 variables, n=136)</v>
      </c>
    </row>
    <row r="3" spans="1:78" ht="11.25" hidden="1" customHeight="1" outlineLevel="1" x14ac:dyDescent="0.2">
      <c r="A3" s="116" t="s">
        <v>621</v>
      </c>
      <c r="AA3" s="140" t="str">
        <f>IF($A$43 &lt;&gt; "","Actual and Predicted -vs- Observation # with " &amp; TEXT($I$10, "0.0%") &amp; " confidence limits
Model 8 for EV_Rev    (2 variables, n=136)","Actual and Predicted -vs- Observation #
Model 8 for EV_Rev    (2 variables, n=136)")</f>
        <v>Actual and Predicted -vs- Observation #
Model 8 for EV_Rev    (2 variables, n=136)</v>
      </c>
    </row>
    <row r="4" spans="1:78" hidden="1" outlineLevel="1" x14ac:dyDescent="0.2">
      <c r="A4" s="115" t="s">
        <v>667</v>
      </c>
    </row>
    <row r="5" spans="1:78" hidden="1" outlineLevel="1" x14ac:dyDescent="0.2">
      <c r="A5" s="116" t="s">
        <v>623</v>
      </c>
    </row>
    <row r="6" spans="1:78" hidden="1" outlineLevel="1" x14ac:dyDescent="0.2">
      <c r="A6" s="115" t="s">
        <v>668</v>
      </c>
    </row>
    <row r="7" spans="1:78" collapsed="1" x14ac:dyDescent="0.2">
      <c r="A7" s="138"/>
      <c r="J7" s="117" t="s">
        <v>664</v>
      </c>
      <c r="K7" s="117" t="s">
        <v>717</v>
      </c>
    </row>
    <row r="8" spans="1:78" x14ac:dyDescent="0.2">
      <c r="A8" s="119" t="s">
        <v>708</v>
      </c>
    </row>
    <row r="9" spans="1:78" ht="12" outlineLevel="1" thickBot="1" x14ac:dyDescent="0.25">
      <c r="A9" s="120"/>
      <c r="B9" s="125" t="s">
        <v>624</v>
      </c>
      <c r="C9" s="125" t="s">
        <v>625</v>
      </c>
      <c r="D9" s="125" t="s">
        <v>626</v>
      </c>
      <c r="E9" s="125" t="s">
        <v>627</v>
      </c>
      <c r="F9" s="125" t="s">
        <v>628</v>
      </c>
      <c r="G9" s="125" t="s">
        <v>629</v>
      </c>
      <c r="H9" s="125" t="str">
        <f>"t("&amp;TEXT((1-I10)/2,"0.00%") &amp; ",133)"</f>
        <v>t(2.50%,133)</v>
      </c>
      <c r="I9" s="125" t="s">
        <v>630</v>
      </c>
    </row>
    <row r="10" spans="1:78" outlineLevel="1" x14ac:dyDescent="0.2">
      <c r="B10" s="126">
        <f xml:space="preserve"> 1 - C21 / C22</f>
        <v>0.17244112523527066</v>
      </c>
      <c r="C10" s="126">
        <f>1-D10^2/E10^2</f>
        <v>0.15999663087790628</v>
      </c>
      <c r="D10" s="126">
        <f xml:space="preserve"> SQRT(D21)</f>
        <v>2.6554823074082123</v>
      </c>
      <c r="E10" s="126">
        <f xml:space="preserve"> SQRT(C22 / B22)</f>
        <v>2.8973629229559532</v>
      </c>
      <c r="F10" s="127">
        <v>136</v>
      </c>
      <c r="G10" s="127">
        <v>0</v>
      </c>
      <c r="H10" s="128">
        <f>TINV(1 - $I$10, F10 - 2 - 1)</f>
        <v>1.9779612641677238</v>
      </c>
      <c r="I10" s="129">
        <v>0.95</v>
      </c>
    </row>
    <row r="11" spans="1:78" x14ac:dyDescent="0.2">
      <c r="A11" s="138"/>
    </row>
    <row r="12" spans="1:78" x14ac:dyDescent="0.2">
      <c r="A12" s="119" t="s">
        <v>709</v>
      </c>
    </row>
    <row r="13" spans="1:78" ht="12" outlineLevel="1" thickBot="1" x14ac:dyDescent="0.25">
      <c r="A13" s="130" t="s">
        <v>631</v>
      </c>
      <c r="B13" s="122" t="s">
        <v>632</v>
      </c>
      <c r="C13" s="122" t="s">
        <v>633</v>
      </c>
      <c r="D13" s="122" t="s">
        <v>634</v>
      </c>
      <c r="E13" s="122" t="s">
        <v>534</v>
      </c>
      <c r="F13" s="122" t="str">
        <f>IF($I$10&gt;99%,("Lower"&amp;TEXT($I$10,"0.0%")),("Lower"&amp;TEXT($I$10,"0%")))</f>
        <v>Lower95%</v>
      </c>
      <c r="G13" s="122" t="str">
        <f>IF($I$10&gt;99%,("Upper"&amp;TEXT($I$10,"0.0%")),("Upper"&amp;TEXT($I$10,"0%")))</f>
        <v>Upper95%</v>
      </c>
      <c r="H13" s="125" t="s">
        <v>637</v>
      </c>
      <c r="I13" s="125" t="s">
        <v>636</v>
      </c>
    </row>
    <row r="14" spans="1:78" outlineLevel="1" x14ac:dyDescent="0.2">
      <c r="A14" s="131" t="s">
        <v>638</v>
      </c>
      <c r="B14" s="132">
        <v>0.52223030341559429</v>
      </c>
      <c r="C14" s="132">
        <v>1.3789611279060505</v>
      </c>
      <c r="D14" s="132">
        <f>B14 / C14</f>
        <v>0.3787128533554821</v>
      </c>
      <c r="E14" s="132">
        <f>TDIST(ABS(D14),$F$10 - 3,2)</f>
        <v>0.70550497206206819</v>
      </c>
      <c r="F14" s="132">
        <f>B14 - $H$10 * C14</f>
        <v>-2.2053013923756075</v>
      </c>
      <c r="G14" s="132">
        <f>B14 + $H$10 * C14</f>
        <v>3.2497619992067963</v>
      </c>
      <c r="H14" s="126">
        <v>0</v>
      </c>
      <c r="I14" s="126">
        <v>0</v>
      </c>
    </row>
    <row r="15" spans="1:78" outlineLevel="1" x14ac:dyDescent="0.2">
      <c r="A15" s="131" t="s">
        <v>640</v>
      </c>
      <c r="B15" s="132">
        <v>5.9851983015131793</v>
      </c>
      <c r="C15" s="132">
        <v>1.8266817525147718</v>
      </c>
      <c r="D15" s="132">
        <f t="shared" ref="D15:D16" si="0">B15 / C15</f>
        <v>3.2765413533438026</v>
      </c>
      <c r="E15" s="132">
        <f t="shared" ref="E15:E16" si="1">TDIST(ABS(D15),$F$10 - 3,2)</f>
        <v>1.3404827583107706E-3</v>
      </c>
      <c r="F15" s="132">
        <f t="shared" ref="F15:F16" si="2">B15 - $H$10 * C15</f>
        <v>2.3720925530769481</v>
      </c>
      <c r="G15" s="132">
        <f t="shared" ref="G15:G16" si="3">B15 + $H$10 * C15</f>
        <v>9.5983040499494106</v>
      </c>
      <c r="H15" s="126">
        <v>1.0571020455098985</v>
      </c>
      <c r="I15" s="126">
        <f>B15*0.12863883376025/$E$10</f>
        <v>0.26573437632900548</v>
      </c>
    </row>
    <row r="16" spans="1:78" outlineLevel="1" x14ac:dyDescent="0.2">
      <c r="A16" s="131" t="s">
        <v>643</v>
      </c>
      <c r="B16" s="132">
        <v>5.3414552271366249</v>
      </c>
      <c r="C16" s="132">
        <v>1.1200091766323634</v>
      </c>
      <c r="D16" s="132">
        <f t="shared" si="0"/>
        <v>4.7691173774104954</v>
      </c>
      <c r="E16" s="132">
        <f t="shared" si="1"/>
        <v>4.7920805314939354E-6</v>
      </c>
      <c r="F16" s="132">
        <f t="shared" si="2"/>
        <v>3.1261204602454238</v>
      </c>
      <c r="G16" s="132">
        <f t="shared" si="3"/>
        <v>7.5567899940278256</v>
      </c>
      <c r="H16" s="126">
        <v>1.0571020455098401</v>
      </c>
      <c r="I16" s="126">
        <f>B16*0.209803825894689/$E$10</f>
        <v>0.3867854225714773</v>
      </c>
    </row>
    <row r="17" spans="1:702" x14ac:dyDescent="0.2">
      <c r="A17" s="138"/>
    </row>
    <row r="18" spans="1:702" x14ac:dyDescent="0.2">
      <c r="A18" s="119" t="s">
        <v>710</v>
      </c>
    </row>
    <row r="19" spans="1:702" ht="12" hidden="1" outlineLevel="1" thickBot="1" x14ac:dyDescent="0.25">
      <c r="A19" s="130" t="s">
        <v>645</v>
      </c>
      <c r="B19" s="122" t="s">
        <v>646</v>
      </c>
      <c r="C19" s="122" t="s">
        <v>647</v>
      </c>
      <c r="D19" s="122" t="s">
        <v>648</v>
      </c>
      <c r="E19" s="122" t="s">
        <v>649</v>
      </c>
      <c r="F19" s="122" t="s">
        <v>534</v>
      </c>
    </row>
    <row r="20" spans="1:702" hidden="1" outlineLevel="1" x14ac:dyDescent="0.2">
      <c r="A20" s="115" t="s">
        <v>523</v>
      </c>
      <c r="B20" s="124">
        <v>2</v>
      </c>
      <c r="C20" s="123">
        <f>C22 - C21</f>
        <v>195.42513158876193</v>
      </c>
      <c r="D20" s="123">
        <f>C20/B20</f>
        <v>97.712565794380964</v>
      </c>
      <c r="E20" s="123">
        <f>D20/D21</f>
        <v>13.856820557214858</v>
      </c>
      <c r="F20" s="123">
        <f>FDIST(E20,2,133)</f>
        <v>3.416857588986564E-6</v>
      </c>
    </row>
    <row r="21" spans="1:702" hidden="1" outlineLevel="1" x14ac:dyDescent="0.2">
      <c r="A21" s="115" t="s">
        <v>524</v>
      </c>
      <c r="B21" s="124">
        <v>133</v>
      </c>
      <c r="C21" s="123">
        <v>937.86097589941971</v>
      </c>
      <c r="D21" s="123">
        <f>C21/B21</f>
        <v>7.0515862849580433</v>
      </c>
    </row>
    <row r="22" spans="1:702" hidden="1" outlineLevel="1" x14ac:dyDescent="0.2">
      <c r="A22" s="115" t="s">
        <v>525</v>
      </c>
      <c r="B22" s="124">
        <f>B20 + B21</f>
        <v>135</v>
      </c>
      <c r="C22" s="133">
        <v>1133.2861074881816</v>
      </c>
    </row>
    <row r="23" spans="1:702" collapsed="1" x14ac:dyDescent="0.2">
      <c r="A23" s="138"/>
    </row>
    <row r="24" spans="1:702" x14ac:dyDescent="0.2">
      <c r="A24" s="119" t="s">
        <v>711</v>
      </c>
    </row>
    <row r="25" spans="1:702" ht="12" outlineLevel="1" thickBot="1" x14ac:dyDescent="0.25">
      <c r="A25" s="120"/>
      <c r="B25" s="122" t="s">
        <v>652</v>
      </c>
      <c r="C25" s="122" t="s">
        <v>653</v>
      </c>
      <c r="D25" s="122" t="s">
        <v>654</v>
      </c>
      <c r="E25" s="122" t="s">
        <v>655</v>
      </c>
      <c r="F25" s="122" t="s">
        <v>656</v>
      </c>
      <c r="G25" s="125" t="s">
        <v>650</v>
      </c>
      <c r="H25" s="125" t="s">
        <v>657</v>
      </c>
      <c r="I25" s="125" t="s">
        <v>669</v>
      </c>
    </row>
    <row r="26" spans="1:702" outlineLevel="1" x14ac:dyDescent="0.2">
      <c r="A26" s="115" t="s">
        <v>651</v>
      </c>
      <c r="B26" s="132">
        <v>2.6775967064489069E-15</v>
      </c>
      <c r="C26" s="132">
        <v>2.6260305762682457</v>
      </c>
      <c r="D26" s="132">
        <v>2.1362423843405218</v>
      </c>
      <c r="E26" s="132">
        <v>-6.8192911068775004</v>
      </c>
      <c r="F26" s="132">
        <v>6.8847404786010635</v>
      </c>
      <c r="G26" s="129">
        <v>0.50652701055471472</v>
      </c>
      <c r="H26" s="128" t="s">
        <v>670</v>
      </c>
      <c r="I26" s="126">
        <v>0.6518845301686288</v>
      </c>
    </row>
    <row r="27" spans="1:702" outlineLevel="1" x14ac:dyDescent="0.2"/>
    <row r="28" spans="1:702" x14ac:dyDescent="0.2">
      <c r="A28" s="138"/>
    </row>
    <row r="29" spans="1:702" x14ac:dyDescent="0.2">
      <c r="A29" s="119" t="s">
        <v>712</v>
      </c>
    </row>
    <row r="30" spans="1:702" ht="12" outlineLevel="1" thickBot="1" x14ac:dyDescent="0.25">
      <c r="A30" s="121" t="s">
        <v>671</v>
      </c>
      <c r="B30" s="141">
        <v>1</v>
      </c>
    </row>
    <row r="31" spans="1:702" outlineLevel="1" x14ac:dyDescent="0.2">
      <c r="A31" s="115" t="s">
        <v>672</v>
      </c>
      <c r="B31" s="123">
        <v>-1.4781011935619173E-2</v>
      </c>
    </row>
    <row r="32" spans="1:702" outlineLevel="1" x14ac:dyDescent="0.2">
      <c r="A32" s="135" t="s">
        <v>673</v>
      </c>
      <c r="B32" s="135">
        <f>B31/0.086066296582387</f>
        <v>-0.17173983920023841</v>
      </c>
      <c r="C32" s="135"/>
      <c r="D32" s="135"/>
      <c r="E32" s="135"/>
      <c r="F32" s="135"/>
      <c r="G32" s="135"/>
      <c r="H32" s="135"/>
      <c r="I32" s="135"/>
      <c r="J32" s="135"/>
      <c r="K32" s="135"/>
      <c r="L32" s="135"/>
      <c r="M32" s="135"/>
      <c r="N32" s="135"/>
      <c r="O32" s="135"/>
      <c r="P32" s="135"/>
      <c r="Q32" s="135"/>
      <c r="R32" s="135"/>
      <c r="S32" s="135"/>
      <c r="T32" s="135"/>
      <c r="U32" s="135"/>
      <c r="V32" s="135"/>
      <c r="W32" s="135"/>
      <c r="X32" s="135"/>
      <c r="Y32" s="135"/>
      <c r="Z32" s="135"/>
      <c r="AA32" s="135"/>
      <c r="AB32" s="135"/>
      <c r="AC32" s="135"/>
      <c r="AD32" s="135"/>
      <c r="AE32" s="135"/>
      <c r="AF32" s="135"/>
      <c r="AG32" s="135"/>
      <c r="AH32" s="135"/>
      <c r="AI32" s="135"/>
      <c r="AJ32" s="135"/>
      <c r="AK32" s="135"/>
      <c r="AL32" s="135"/>
      <c r="AM32" s="135"/>
      <c r="AN32" s="135"/>
      <c r="AO32" s="135"/>
      <c r="AP32" s="135"/>
      <c r="AQ32" s="135"/>
      <c r="AR32" s="135"/>
      <c r="AS32" s="135"/>
      <c r="AT32" s="135"/>
      <c r="AU32" s="135"/>
      <c r="AV32" s="135"/>
      <c r="AW32" s="135"/>
      <c r="AX32" s="135"/>
      <c r="AY32" s="135"/>
      <c r="AZ32" s="135"/>
      <c r="BA32" s="135"/>
      <c r="BB32" s="135"/>
      <c r="BC32" s="135"/>
      <c r="BD32" s="135"/>
      <c r="BE32" s="135"/>
      <c r="BF32" s="135"/>
      <c r="BG32" s="135"/>
      <c r="BH32" s="135"/>
      <c r="BI32" s="135"/>
      <c r="BJ32" s="135"/>
      <c r="BK32" s="135"/>
      <c r="BL32" s="135"/>
      <c r="BM32" s="135"/>
      <c r="BN32" s="135"/>
      <c r="BO32" s="135"/>
      <c r="BP32" s="135"/>
      <c r="BQ32" s="135"/>
      <c r="BR32" s="135"/>
      <c r="BS32" s="135"/>
      <c r="BT32" s="135"/>
      <c r="BU32" s="135"/>
      <c r="BV32" s="135"/>
      <c r="BW32" s="135"/>
      <c r="BX32" s="135"/>
      <c r="BY32" s="135"/>
      <c r="BZ32" s="135"/>
      <c r="CA32" s="135"/>
      <c r="CB32" s="135"/>
      <c r="CC32" s="135"/>
      <c r="CD32" s="135"/>
      <c r="CE32" s="135"/>
      <c r="CF32" s="135"/>
      <c r="CG32" s="135"/>
      <c r="CH32" s="135"/>
      <c r="CI32" s="135"/>
      <c r="CJ32" s="135"/>
      <c r="CK32" s="135"/>
      <c r="CL32" s="135"/>
      <c r="CM32" s="135"/>
      <c r="CN32" s="135"/>
      <c r="CO32" s="135"/>
      <c r="CP32" s="135"/>
      <c r="CQ32" s="135"/>
      <c r="CR32" s="135"/>
      <c r="CS32" s="135"/>
      <c r="CT32" s="135"/>
      <c r="CU32" s="135"/>
      <c r="CV32" s="135"/>
      <c r="CW32" s="135"/>
      <c r="CX32" s="135"/>
      <c r="CY32" s="135"/>
      <c r="CZ32" s="135"/>
      <c r="DA32" s="135"/>
      <c r="DB32" s="135"/>
      <c r="DC32" s="135"/>
      <c r="DD32" s="135"/>
      <c r="DE32" s="135"/>
      <c r="DF32" s="135"/>
      <c r="DG32" s="135"/>
      <c r="DH32" s="135"/>
      <c r="DI32" s="135"/>
      <c r="DJ32" s="135"/>
      <c r="DK32" s="135"/>
      <c r="DL32" s="135"/>
      <c r="DM32" s="135"/>
      <c r="DN32" s="135"/>
      <c r="DO32" s="135"/>
      <c r="DP32" s="135"/>
      <c r="DQ32" s="135"/>
      <c r="DR32" s="135"/>
      <c r="DS32" s="135"/>
      <c r="DT32" s="135"/>
      <c r="DU32" s="135"/>
      <c r="DV32" s="135"/>
      <c r="DW32" s="135"/>
      <c r="DX32" s="135"/>
      <c r="DY32" s="135"/>
      <c r="DZ32" s="135"/>
      <c r="EA32" s="135"/>
      <c r="EB32" s="135"/>
      <c r="EC32" s="135"/>
      <c r="ED32" s="135"/>
      <c r="EE32" s="135"/>
      <c r="EF32" s="135"/>
      <c r="EG32" s="135"/>
      <c r="EH32" s="135"/>
      <c r="EI32" s="135"/>
      <c r="EJ32" s="135"/>
      <c r="EK32" s="135"/>
      <c r="EL32" s="135"/>
      <c r="EM32" s="135"/>
      <c r="EN32" s="135"/>
      <c r="EO32" s="135"/>
      <c r="EP32" s="135"/>
      <c r="EQ32" s="135"/>
      <c r="ER32" s="135"/>
      <c r="ES32" s="135"/>
      <c r="ET32" s="135"/>
      <c r="EU32" s="135"/>
      <c r="EV32" s="135"/>
      <c r="EW32" s="135"/>
      <c r="EX32" s="135"/>
      <c r="EY32" s="135"/>
      <c r="EZ32" s="135"/>
      <c r="FA32" s="135"/>
      <c r="FB32" s="135"/>
      <c r="FC32" s="135"/>
      <c r="FD32" s="135"/>
      <c r="FE32" s="135"/>
      <c r="FF32" s="135"/>
      <c r="FG32" s="135"/>
      <c r="FH32" s="135"/>
      <c r="FI32" s="135"/>
      <c r="FJ32" s="135"/>
      <c r="FK32" s="135"/>
      <c r="FL32" s="135"/>
      <c r="FM32" s="135"/>
      <c r="FN32" s="135"/>
      <c r="FO32" s="135"/>
      <c r="FP32" s="135"/>
      <c r="FQ32" s="135"/>
      <c r="FR32" s="135"/>
      <c r="FS32" s="135"/>
      <c r="FT32" s="135"/>
      <c r="FU32" s="135"/>
      <c r="FV32" s="135"/>
      <c r="FW32" s="135"/>
      <c r="FX32" s="135"/>
      <c r="FY32" s="135"/>
      <c r="FZ32" s="135"/>
      <c r="GA32" s="135"/>
      <c r="GB32" s="135"/>
      <c r="GC32" s="135"/>
      <c r="GD32" s="135"/>
      <c r="GE32" s="135"/>
      <c r="GF32" s="135"/>
      <c r="GG32" s="135"/>
      <c r="GH32" s="135"/>
      <c r="GI32" s="135"/>
      <c r="GJ32" s="135"/>
      <c r="GK32" s="135"/>
      <c r="GL32" s="135"/>
      <c r="GM32" s="135"/>
      <c r="GN32" s="135"/>
      <c r="GO32" s="135"/>
      <c r="GP32" s="135"/>
      <c r="GQ32" s="135"/>
      <c r="GR32" s="135"/>
      <c r="GS32" s="135"/>
      <c r="GT32" s="135"/>
      <c r="GU32" s="135"/>
      <c r="GV32" s="135"/>
      <c r="GW32" s="135"/>
      <c r="GX32" s="135"/>
      <c r="GY32" s="135"/>
      <c r="GZ32" s="135"/>
      <c r="HA32" s="135"/>
      <c r="HB32" s="135"/>
      <c r="HC32" s="135"/>
      <c r="HD32" s="135"/>
      <c r="HE32" s="135"/>
      <c r="HF32" s="135"/>
      <c r="HG32" s="135"/>
      <c r="HH32" s="135"/>
      <c r="HI32" s="135"/>
      <c r="HJ32" s="135"/>
      <c r="HK32" s="135"/>
      <c r="HL32" s="135"/>
      <c r="HM32" s="135"/>
      <c r="HN32" s="135"/>
      <c r="HO32" s="135"/>
      <c r="HP32" s="135"/>
      <c r="HQ32" s="135"/>
      <c r="HR32" s="135"/>
      <c r="HS32" s="135"/>
      <c r="HT32" s="135"/>
      <c r="HU32" s="135"/>
      <c r="HV32" s="135"/>
      <c r="HW32" s="135"/>
      <c r="HX32" s="135"/>
      <c r="HY32" s="135"/>
      <c r="HZ32" s="135"/>
      <c r="IA32" s="135"/>
      <c r="IB32" s="135"/>
      <c r="IC32" s="135"/>
      <c r="ID32" s="135"/>
      <c r="IE32" s="135"/>
      <c r="IF32" s="135"/>
      <c r="IG32" s="135"/>
      <c r="IH32" s="135"/>
      <c r="II32" s="135"/>
      <c r="IJ32" s="135"/>
      <c r="IK32" s="135"/>
      <c r="IL32" s="135"/>
      <c r="IM32" s="135"/>
      <c r="IN32" s="135"/>
      <c r="IO32" s="135"/>
      <c r="IP32" s="135"/>
      <c r="IQ32" s="135"/>
      <c r="IR32" s="135"/>
      <c r="IS32" s="135"/>
      <c r="IT32" s="135"/>
      <c r="IU32" s="135"/>
      <c r="IV32" s="135"/>
      <c r="IW32" s="135"/>
      <c r="IX32" s="135"/>
      <c r="IY32" s="135"/>
      <c r="IZ32" s="135"/>
      <c r="JA32" s="135"/>
      <c r="JB32" s="135"/>
      <c r="JC32" s="135"/>
      <c r="JD32" s="135"/>
      <c r="JE32" s="135"/>
      <c r="JF32" s="135"/>
      <c r="JG32" s="135"/>
      <c r="JH32" s="135"/>
      <c r="JI32" s="135"/>
      <c r="JJ32" s="135"/>
      <c r="JK32" s="135"/>
      <c r="JL32" s="135"/>
      <c r="JM32" s="135"/>
      <c r="JN32" s="135"/>
      <c r="JO32" s="135"/>
      <c r="JP32" s="135"/>
      <c r="JQ32" s="135"/>
      <c r="JR32" s="135"/>
      <c r="JS32" s="135"/>
      <c r="JT32" s="135"/>
      <c r="JU32" s="135"/>
      <c r="JV32" s="135"/>
      <c r="JW32" s="135"/>
      <c r="JX32" s="135"/>
      <c r="JY32" s="135"/>
      <c r="JZ32" s="135"/>
      <c r="KA32" s="135"/>
      <c r="KB32" s="135"/>
      <c r="KC32" s="135"/>
      <c r="KD32" s="135"/>
      <c r="KE32" s="135"/>
      <c r="KF32" s="135"/>
      <c r="KG32" s="135"/>
      <c r="KH32" s="135"/>
      <c r="KI32" s="135"/>
      <c r="KJ32" s="135"/>
      <c r="KK32" s="135"/>
      <c r="KL32" s="135"/>
      <c r="KM32" s="135"/>
      <c r="KN32" s="135"/>
      <c r="KO32" s="135"/>
      <c r="KP32" s="135"/>
      <c r="KQ32" s="135"/>
      <c r="KR32" s="135"/>
      <c r="KS32" s="135"/>
      <c r="KT32" s="135"/>
      <c r="KU32" s="135"/>
      <c r="KV32" s="135"/>
      <c r="KW32" s="135"/>
      <c r="KX32" s="135"/>
      <c r="KY32" s="135"/>
      <c r="KZ32" s="135"/>
      <c r="LA32" s="135"/>
      <c r="LB32" s="135"/>
      <c r="LC32" s="135"/>
      <c r="LD32" s="135"/>
      <c r="LE32" s="135"/>
      <c r="LF32" s="135"/>
      <c r="LG32" s="135"/>
      <c r="LH32" s="135"/>
      <c r="LI32" s="135"/>
      <c r="LJ32" s="135"/>
      <c r="LK32" s="135"/>
      <c r="LL32" s="135"/>
      <c r="LM32" s="135"/>
      <c r="LN32" s="135"/>
      <c r="LO32" s="135"/>
      <c r="LP32" s="135"/>
      <c r="LQ32" s="135"/>
      <c r="LR32" s="135"/>
      <c r="LS32" s="135"/>
      <c r="LT32" s="135"/>
      <c r="LU32" s="135"/>
      <c r="LV32" s="135"/>
      <c r="LW32" s="135"/>
      <c r="LX32" s="135"/>
      <c r="LY32" s="135"/>
      <c r="LZ32" s="135"/>
      <c r="MA32" s="135"/>
      <c r="MB32" s="135"/>
      <c r="MC32" s="135"/>
      <c r="MD32" s="135"/>
      <c r="ME32" s="135"/>
      <c r="MF32" s="135"/>
      <c r="MG32" s="135"/>
      <c r="MH32" s="135"/>
      <c r="MI32" s="135"/>
      <c r="MJ32" s="135"/>
      <c r="MK32" s="135"/>
      <c r="ML32" s="135"/>
      <c r="MM32" s="135"/>
      <c r="MN32" s="135"/>
      <c r="MO32" s="135"/>
      <c r="MP32" s="135"/>
      <c r="MQ32" s="135"/>
      <c r="MR32" s="135"/>
      <c r="MS32" s="135"/>
      <c r="MT32" s="135"/>
      <c r="MU32" s="135"/>
      <c r="MV32" s="135"/>
      <c r="MW32" s="135"/>
      <c r="MX32" s="135"/>
      <c r="MY32" s="135"/>
      <c r="MZ32" s="135"/>
      <c r="NA32" s="135"/>
      <c r="NB32" s="135"/>
      <c r="NC32" s="135"/>
      <c r="ND32" s="135"/>
      <c r="NE32" s="135"/>
      <c r="NF32" s="135"/>
      <c r="NG32" s="135"/>
      <c r="NH32" s="135"/>
      <c r="NI32" s="135"/>
      <c r="NJ32" s="135"/>
      <c r="NK32" s="135"/>
      <c r="NL32" s="135"/>
      <c r="NM32" s="135"/>
      <c r="NN32" s="135"/>
      <c r="NO32" s="135"/>
      <c r="NP32" s="135"/>
      <c r="NQ32" s="135"/>
      <c r="NR32" s="135"/>
      <c r="NS32" s="135"/>
      <c r="NT32" s="135"/>
      <c r="NU32" s="135"/>
      <c r="NV32" s="135"/>
      <c r="NW32" s="135"/>
      <c r="NX32" s="135"/>
      <c r="NY32" s="135"/>
      <c r="NZ32" s="135"/>
      <c r="OA32" s="135"/>
      <c r="OB32" s="135"/>
      <c r="OC32" s="135"/>
      <c r="OD32" s="135"/>
      <c r="OE32" s="135"/>
      <c r="OF32" s="135"/>
      <c r="OG32" s="135"/>
      <c r="OH32" s="135"/>
      <c r="OI32" s="135"/>
      <c r="OJ32" s="135"/>
      <c r="OK32" s="135"/>
      <c r="OL32" s="135"/>
      <c r="OM32" s="135"/>
      <c r="ON32" s="135"/>
      <c r="OO32" s="135"/>
      <c r="OP32" s="135"/>
      <c r="OQ32" s="135"/>
      <c r="OR32" s="135"/>
      <c r="OS32" s="135"/>
      <c r="OT32" s="135"/>
      <c r="OU32" s="135"/>
      <c r="OV32" s="135"/>
      <c r="OW32" s="135"/>
      <c r="OX32" s="135"/>
      <c r="OY32" s="135"/>
      <c r="OZ32" s="135"/>
      <c r="PA32" s="135"/>
      <c r="PB32" s="135"/>
      <c r="PC32" s="135"/>
      <c r="PD32" s="135"/>
      <c r="PE32" s="135"/>
      <c r="PF32" s="135"/>
      <c r="PG32" s="135"/>
      <c r="PH32" s="135"/>
      <c r="PI32" s="135"/>
      <c r="PJ32" s="135"/>
      <c r="PK32" s="135"/>
      <c r="PL32" s="135"/>
      <c r="PM32" s="135"/>
      <c r="PN32" s="135"/>
      <c r="PO32" s="135"/>
      <c r="PP32" s="135"/>
      <c r="PQ32" s="135"/>
      <c r="PR32" s="135"/>
      <c r="PS32" s="135"/>
      <c r="PT32" s="135"/>
      <c r="PU32" s="135"/>
      <c r="PV32" s="135"/>
      <c r="PW32" s="135"/>
      <c r="PX32" s="135"/>
      <c r="PY32" s="135"/>
      <c r="PZ32" s="135"/>
      <c r="QA32" s="135"/>
      <c r="QB32" s="135"/>
      <c r="QC32" s="135"/>
      <c r="QD32" s="135"/>
      <c r="QE32" s="135"/>
      <c r="QF32" s="135"/>
      <c r="QG32" s="135"/>
      <c r="QH32" s="135"/>
      <c r="QI32" s="135"/>
      <c r="QJ32" s="135"/>
      <c r="QK32" s="135"/>
      <c r="QL32" s="135"/>
      <c r="QM32" s="135"/>
      <c r="QN32" s="135"/>
      <c r="QO32" s="135"/>
      <c r="QP32" s="135"/>
      <c r="QQ32" s="135"/>
      <c r="QR32" s="135"/>
      <c r="QS32" s="135"/>
      <c r="QT32" s="135"/>
      <c r="QU32" s="135"/>
      <c r="QV32" s="135"/>
      <c r="QW32" s="135"/>
      <c r="QX32" s="135"/>
      <c r="QY32" s="135"/>
      <c r="QZ32" s="135"/>
      <c r="RA32" s="135"/>
      <c r="RB32" s="135"/>
      <c r="RC32" s="135"/>
      <c r="RD32" s="135"/>
      <c r="RE32" s="135"/>
      <c r="RF32" s="135"/>
      <c r="RG32" s="135"/>
      <c r="RH32" s="135"/>
      <c r="RI32" s="135"/>
      <c r="RJ32" s="135"/>
      <c r="RK32" s="135"/>
      <c r="RL32" s="135"/>
      <c r="RM32" s="135"/>
      <c r="RN32" s="135"/>
      <c r="RO32" s="135"/>
      <c r="RP32" s="135"/>
      <c r="RQ32" s="135"/>
      <c r="RR32" s="135"/>
      <c r="RS32" s="135"/>
      <c r="RT32" s="135"/>
      <c r="RU32" s="135"/>
      <c r="RV32" s="135"/>
      <c r="RW32" s="135"/>
      <c r="RX32" s="135"/>
      <c r="RY32" s="135"/>
      <c r="RZ32" s="135"/>
      <c r="SA32" s="135"/>
      <c r="SB32" s="135"/>
      <c r="SC32" s="135"/>
      <c r="SD32" s="135"/>
      <c r="SE32" s="135"/>
      <c r="SF32" s="135"/>
      <c r="SG32" s="135"/>
      <c r="SH32" s="135"/>
      <c r="SI32" s="135"/>
      <c r="SJ32" s="135"/>
      <c r="SK32" s="135"/>
      <c r="SL32" s="135"/>
      <c r="SM32" s="135"/>
      <c r="SN32" s="135"/>
      <c r="SO32" s="135"/>
      <c r="SP32" s="135"/>
      <c r="SQ32" s="135"/>
      <c r="SR32" s="135"/>
      <c r="SS32" s="135"/>
      <c r="ST32" s="135"/>
      <c r="SU32" s="135"/>
      <c r="SV32" s="135"/>
      <c r="SW32" s="135"/>
      <c r="SX32" s="135"/>
      <c r="SY32" s="135"/>
      <c r="SZ32" s="135"/>
      <c r="TA32" s="135"/>
      <c r="TB32" s="135"/>
      <c r="TC32" s="135"/>
      <c r="TD32" s="135"/>
      <c r="TE32" s="135"/>
      <c r="TF32" s="135"/>
      <c r="TG32" s="135"/>
      <c r="TH32" s="135"/>
      <c r="TI32" s="135"/>
      <c r="TJ32" s="135"/>
      <c r="TK32" s="135"/>
      <c r="TL32" s="135"/>
      <c r="TM32" s="135"/>
      <c r="TN32" s="135"/>
      <c r="TO32" s="135"/>
      <c r="TP32" s="135"/>
      <c r="TQ32" s="135"/>
      <c r="TR32" s="135"/>
      <c r="TS32" s="135"/>
      <c r="TT32" s="135"/>
      <c r="TU32" s="135"/>
      <c r="TV32" s="135"/>
      <c r="TW32" s="135"/>
      <c r="TX32" s="135"/>
      <c r="TY32" s="135"/>
      <c r="TZ32" s="135"/>
      <c r="UA32" s="135"/>
      <c r="UB32" s="135"/>
      <c r="UC32" s="135"/>
      <c r="UD32" s="135"/>
      <c r="UE32" s="135"/>
      <c r="UF32" s="135"/>
      <c r="UG32" s="135"/>
      <c r="UH32" s="135"/>
      <c r="UI32" s="135"/>
      <c r="UJ32" s="135"/>
      <c r="UK32" s="135"/>
      <c r="UL32" s="135"/>
      <c r="UM32" s="135"/>
      <c r="UN32" s="135"/>
      <c r="UO32" s="135"/>
      <c r="UP32" s="135"/>
      <c r="UQ32" s="135"/>
      <c r="UR32" s="135"/>
      <c r="US32" s="135"/>
      <c r="UT32" s="135"/>
      <c r="UU32" s="135"/>
      <c r="UV32" s="135"/>
      <c r="UW32" s="135"/>
      <c r="UX32" s="135"/>
      <c r="UY32" s="135"/>
      <c r="UZ32" s="135"/>
      <c r="VA32" s="135"/>
      <c r="VB32" s="135"/>
      <c r="VC32" s="135"/>
      <c r="VD32" s="135"/>
      <c r="VE32" s="135"/>
      <c r="VF32" s="135"/>
      <c r="VG32" s="135"/>
      <c r="VH32" s="135"/>
      <c r="VI32" s="135"/>
      <c r="VJ32" s="135"/>
      <c r="VK32" s="135"/>
      <c r="VL32" s="135"/>
      <c r="VM32" s="135"/>
      <c r="VN32" s="135"/>
      <c r="VO32" s="135"/>
      <c r="VP32" s="135"/>
      <c r="VQ32" s="135"/>
      <c r="VR32" s="135"/>
      <c r="VS32" s="135"/>
      <c r="VT32" s="135"/>
      <c r="VU32" s="135"/>
      <c r="VV32" s="135"/>
      <c r="VW32" s="135"/>
      <c r="VX32" s="135"/>
      <c r="VY32" s="135"/>
      <c r="VZ32" s="135"/>
      <c r="WA32" s="135"/>
      <c r="WB32" s="135"/>
      <c r="WC32" s="135"/>
      <c r="WD32" s="135"/>
      <c r="WE32" s="135"/>
      <c r="WF32" s="135"/>
      <c r="WG32" s="135"/>
      <c r="WH32" s="135"/>
      <c r="WI32" s="135"/>
      <c r="WJ32" s="135"/>
      <c r="WK32" s="135"/>
      <c r="WL32" s="135"/>
      <c r="WM32" s="135"/>
      <c r="WN32" s="135"/>
      <c r="WO32" s="135"/>
      <c r="WP32" s="135"/>
      <c r="WQ32" s="135"/>
      <c r="WR32" s="135"/>
      <c r="WS32" s="135"/>
      <c r="WT32" s="135"/>
      <c r="WU32" s="135"/>
      <c r="WV32" s="135"/>
      <c r="WW32" s="135"/>
      <c r="WX32" s="135"/>
      <c r="WY32" s="135"/>
      <c r="WZ32" s="135"/>
      <c r="XA32" s="135"/>
      <c r="XB32" s="135"/>
      <c r="XC32" s="135"/>
      <c r="XD32" s="135"/>
      <c r="XE32" s="135"/>
      <c r="XF32" s="135"/>
      <c r="XG32" s="135"/>
      <c r="XH32" s="135"/>
      <c r="XI32" s="135"/>
      <c r="XJ32" s="135"/>
      <c r="XK32" s="135"/>
      <c r="XL32" s="135"/>
      <c r="XM32" s="135"/>
      <c r="XN32" s="135"/>
      <c r="XO32" s="135"/>
      <c r="XP32" s="135"/>
      <c r="XQ32" s="135"/>
      <c r="XR32" s="135"/>
      <c r="XS32" s="135"/>
      <c r="XT32" s="135"/>
      <c r="XU32" s="135"/>
      <c r="XV32" s="135"/>
      <c r="XW32" s="135"/>
      <c r="XX32" s="135"/>
      <c r="XY32" s="135"/>
      <c r="XZ32" s="135"/>
      <c r="YA32" s="135"/>
      <c r="YB32" s="135"/>
      <c r="YC32" s="135"/>
      <c r="YD32" s="135"/>
      <c r="YE32" s="135"/>
      <c r="YF32" s="135"/>
      <c r="YG32" s="135"/>
      <c r="YH32" s="135"/>
      <c r="YI32" s="135"/>
      <c r="YJ32" s="135"/>
      <c r="YK32" s="135"/>
      <c r="YL32" s="135"/>
      <c r="YM32" s="135"/>
      <c r="YN32" s="135"/>
      <c r="YO32" s="135"/>
      <c r="YP32" s="135"/>
      <c r="YQ32" s="135"/>
      <c r="YR32" s="135"/>
      <c r="YS32" s="135"/>
      <c r="YT32" s="135"/>
      <c r="YU32" s="135"/>
      <c r="YV32" s="135"/>
      <c r="YW32" s="135"/>
      <c r="YX32" s="135"/>
      <c r="YY32" s="135"/>
      <c r="YZ32" s="135"/>
      <c r="ZA32" s="135"/>
      <c r="ZB32" s="135"/>
      <c r="ZC32" s="135"/>
      <c r="ZD32" s="135"/>
      <c r="ZE32" s="135"/>
      <c r="ZF32" s="135"/>
      <c r="ZG32" s="135"/>
      <c r="ZH32" s="135"/>
      <c r="ZI32" s="135"/>
      <c r="ZJ32" s="135"/>
      <c r="ZK32" s="135"/>
      <c r="ZL32" s="135"/>
      <c r="ZM32" s="135"/>
      <c r="ZN32" s="135"/>
      <c r="ZO32" s="135"/>
      <c r="ZP32" s="135"/>
      <c r="ZQ32" s="135"/>
      <c r="ZR32" s="135"/>
      <c r="ZS32" s="135"/>
      <c r="ZT32" s="135"/>
      <c r="ZU32" s="135"/>
      <c r="ZV32" s="135"/>
      <c r="ZW32" s="135"/>
      <c r="ZX32" s="135"/>
      <c r="ZY32" s="135"/>
      <c r="ZZ32" s="135"/>
    </row>
    <row r="33" spans="1:11" outlineLevel="1" x14ac:dyDescent="0.2">
      <c r="A33" s="142" t="s">
        <v>674</v>
      </c>
      <c r="B33" s="143">
        <v>2.024</v>
      </c>
    </row>
    <row r="34" spans="1:11" x14ac:dyDescent="0.2">
      <c r="A34" s="138"/>
    </row>
    <row r="35" spans="1:11" x14ac:dyDescent="0.2">
      <c r="A35" s="119" t="s">
        <v>713</v>
      </c>
    </row>
    <row r="36" spans="1:11" ht="12" hidden="1" outlineLevel="1" thickBot="1" x14ac:dyDescent="0.25">
      <c r="A36" s="144" t="s">
        <v>631</v>
      </c>
      <c r="B36" s="120" t="s">
        <v>675</v>
      </c>
    </row>
    <row r="37" spans="1:11" ht="12" hidden="1" outlineLevel="1" thickBot="1" x14ac:dyDescent="0.25">
      <c r="A37" s="137" t="s">
        <v>638</v>
      </c>
      <c r="B37" s="145">
        <v>1</v>
      </c>
      <c r="C37" s="146" t="s">
        <v>676</v>
      </c>
    </row>
    <row r="38" spans="1:11" ht="12" hidden="1" outlineLevel="1" thickBot="1" x14ac:dyDescent="0.25">
      <c r="A38" s="137" t="s">
        <v>640</v>
      </c>
      <c r="B38" s="145">
        <v>-0.97182317054094247</v>
      </c>
      <c r="C38" s="145">
        <v>1</v>
      </c>
      <c r="D38" s="146" t="s">
        <v>677</v>
      </c>
    </row>
    <row r="39" spans="1:11" hidden="1" outlineLevel="1" x14ac:dyDescent="0.2">
      <c r="A39" s="137" t="s">
        <v>643</v>
      </c>
      <c r="B39" s="145">
        <v>-0.38946513196403065</v>
      </c>
      <c r="C39" s="115">
        <v>0.23241672451544301</v>
      </c>
      <c r="D39" s="145">
        <v>1</v>
      </c>
    </row>
    <row r="40" spans="1:11" collapsed="1" x14ac:dyDescent="0.2">
      <c r="A40" s="138"/>
    </row>
    <row r="41" spans="1:11" x14ac:dyDescent="0.2">
      <c r="A41" s="119" t="s">
        <v>714</v>
      </c>
    </row>
    <row r="42" spans="1:11" ht="12" hidden="1" outlineLevel="1" thickBot="1" x14ac:dyDescent="0.25">
      <c r="A42" s="122" t="s">
        <v>678</v>
      </c>
      <c r="B42" s="122" t="s">
        <v>679</v>
      </c>
      <c r="C42" s="122" t="s">
        <v>680</v>
      </c>
      <c r="D42" s="122" t="str">
        <f>IF($I$10&gt;99%,("Low"&amp;TEXT($I$10,"0.0%")&amp;"F"),("Lower"&amp;TEXT($I$10,"0%")&amp;"F"))</f>
        <v>Lower95%F</v>
      </c>
      <c r="E42" s="122" t="str">
        <f>IF($I$10&gt;99%,("Up"&amp;TEXT($I$10,"0.0%")&amp;"F"),("Upper"&amp;TEXT($I$10,"0%")&amp;"F"))</f>
        <v>Upper95%F</v>
      </c>
      <c r="F42" s="122" t="s">
        <v>681</v>
      </c>
      <c r="G42" s="122" t="str">
        <f>IF($I$10&gt;99%,("Low"&amp;TEXT($I$10,"0.0%")&amp;"M"),("Lower"&amp;TEXT($I$10,"0%")&amp;"M"))</f>
        <v>Lower95%M</v>
      </c>
      <c r="H42" s="122" t="str">
        <f>IF($I$10&gt;99%,("Up"&amp;TEXT($I$10,"0.0%")&amp;"M"),("Upper"&amp;TEXT($I$10,"0%")&amp;"M"))</f>
        <v>Upper95%M</v>
      </c>
      <c r="I42" s="130" t="s">
        <v>682</v>
      </c>
      <c r="J42" s="130" t="s">
        <v>683</v>
      </c>
    </row>
    <row r="43" spans="1:11" hidden="1" outlineLevel="1" x14ac:dyDescent="0.2">
      <c r="I43" s="147"/>
      <c r="J43" s="147"/>
      <c r="K43" s="147"/>
    </row>
    <row r="44" spans="1:11" hidden="1" outlineLevel="1" x14ac:dyDescent="0.2">
      <c r="I44" s="147"/>
      <c r="J44" s="147"/>
      <c r="K44" s="147"/>
    </row>
    <row r="45" spans="1:11" hidden="1" outlineLevel="1" x14ac:dyDescent="0.2">
      <c r="I45" s="147"/>
      <c r="J45" s="147"/>
      <c r="K45" s="147"/>
    </row>
    <row r="46" spans="1:11" hidden="1" outlineLevel="1" x14ac:dyDescent="0.2">
      <c r="A46" s="117" t="s">
        <v>684</v>
      </c>
      <c r="I46" s="147"/>
      <c r="J46" s="147"/>
      <c r="K46" s="147"/>
    </row>
    <row r="47" spans="1:11" hidden="1" outlineLevel="1" x14ac:dyDescent="0.2">
      <c r="I47" s="147"/>
      <c r="J47" s="147"/>
      <c r="K47" s="147"/>
    </row>
    <row r="48" spans="1:11" hidden="1" outlineLevel="1" x14ac:dyDescent="0.2"/>
    <row r="49" hidden="1" outlineLevel="1" x14ac:dyDescent="0.2"/>
    <row r="50" hidden="1" outlineLevel="1" x14ac:dyDescent="0.2"/>
    <row r="51" hidden="1" outlineLevel="1" x14ac:dyDescent="0.2"/>
    <row r="52" hidden="1" outlineLevel="1" x14ac:dyDescent="0.2"/>
    <row r="53" hidden="1" outlineLevel="1" x14ac:dyDescent="0.2"/>
    <row r="54" hidden="1" outlineLevel="1" x14ac:dyDescent="0.2"/>
    <row r="55" hidden="1" outlineLevel="1" x14ac:dyDescent="0.2"/>
    <row r="56" hidden="1" outlineLevel="1" x14ac:dyDescent="0.2"/>
    <row r="57" hidden="1" outlineLevel="1" x14ac:dyDescent="0.2"/>
    <row r="58" hidden="1" outlineLevel="1" x14ac:dyDescent="0.2"/>
    <row r="59" hidden="1" outlineLevel="1" x14ac:dyDescent="0.2"/>
    <row r="60" hidden="1" outlineLevel="1" x14ac:dyDescent="0.2"/>
    <row r="61" hidden="1" outlineLevel="1" x14ac:dyDescent="0.2"/>
    <row r="62" hidden="1" outlineLevel="1" x14ac:dyDescent="0.2"/>
    <row r="63" hidden="1" outlineLevel="1" x14ac:dyDescent="0.2"/>
    <row r="64" hidden="1" outlineLevel="1" x14ac:dyDescent="0.2"/>
    <row r="65" spans="1:3" hidden="1" outlineLevel="1" x14ac:dyDescent="0.2"/>
    <row r="66" spans="1:3" hidden="1" outlineLevel="1" x14ac:dyDescent="0.2"/>
    <row r="67" spans="1:3" hidden="1" outlineLevel="1" x14ac:dyDescent="0.2"/>
    <row r="68" spans="1:3" collapsed="1" x14ac:dyDescent="0.2">
      <c r="A68" s="139"/>
    </row>
    <row r="69" spans="1:3" x14ac:dyDescent="0.2">
      <c r="A69" s="119" t="s">
        <v>658</v>
      </c>
    </row>
    <row r="70" spans="1:3" outlineLevel="1" x14ac:dyDescent="0.2"/>
    <row r="71" spans="1:3" outlineLevel="1" x14ac:dyDescent="0.2"/>
    <row r="72" spans="1:3" outlineLevel="1" x14ac:dyDescent="0.2">
      <c r="C72" s="135" t="b">
        <v>1</v>
      </c>
    </row>
    <row r="73" spans="1:3" outlineLevel="1" x14ac:dyDescent="0.2"/>
    <row r="74" spans="1:3" outlineLevel="1" x14ac:dyDescent="0.2"/>
    <row r="75" spans="1:3" outlineLevel="1" x14ac:dyDescent="0.2"/>
    <row r="76" spans="1:3" outlineLevel="1" x14ac:dyDescent="0.2"/>
    <row r="77" spans="1:3" outlineLevel="1" x14ac:dyDescent="0.2"/>
    <row r="78" spans="1:3" outlineLevel="1" x14ac:dyDescent="0.2"/>
    <row r="79" spans="1:3" outlineLevel="1" x14ac:dyDescent="0.2"/>
    <row r="80" spans="1:3" outlineLevel="1" x14ac:dyDescent="0.2"/>
    <row r="81" spans="1:1" outlineLevel="1" x14ac:dyDescent="0.2"/>
    <row r="82" spans="1:1" outlineLevel="1" x14ac:dyDescent="0.2"/>
    <row r="83" spans="1:1" outlineLevel="1" x14ac:dyDescent="0.2"/>
    <row r="84" spans="1:1" outlineLevel="1" x14ac:dyDescent="0.2"/>
    <row r="85" spans="1:1" outlineLevel="1" x14ac:dyDescent="0.2"/>
    <row r="86" spans="1:1" outlineLevel="1" x14ac:dyDescent="0.2"/>
    <row r="87" spans="1:1" outlineLevel="1" x14ac:dyDescent="0.2"/>
    <row r="88" spans="1:1" outlineLevel="1" x14ac:dyDescent="0.2"/>
    <row r="89" spans="1:1" outlineLevel="1" x14ac:dyDescent="0.2"/>
    <row r="90" spans="1:1" x14ac:dyDescent="0.2">
      <c r="A90" s="139"/>
    </row>
    <row r="91" spans="1:1" x14ac:dyDescent="0.2">
      <c r="A91" s="119" t="s">
        <v>685</v>
      </c>
    </row>
    <row r="92" spans="1:1" outlineLevel="1" x14ac:dyDescent="0.2"/>
    <row r="93" spans="1:1" outlineLevel="1" x14ac:dyDescent="0.2"/>
    <row r="94" spans="1:1" outlineLevel="1" x14ac:dyDescent="0.2"/>
    <row r="95" spans="1:1" outlineLevel="1" x14ac:dyDescent="0.2"/>
    <row r="96" spans="1:1" outlineLevel="1" x14ac:dyDescent="0.2"/>
    <row r="97" spans="1:1" outlineLevel="1" x14ac:dyDescent="0.2"/>
    <row r="98" spans="1:1" outlineLevel="1" x14ac:dyDescent="0.2"/>
    <row r="99" spans="1:1" outlineLevel="1" x14ac:dyDescent="0.2"/>
    <row r="100" spans="1:1" outlineLevel="1" x14ac:dyDescent="0.2"/>
    <row r="101" spans="1:1" outlineLevel="1" x14ac:dyDescent="0.2"/>
    <row r="102" spans="1:1" outlineLevel="1" x14ac:dyDescent="0.2"/>
    <row r="103" spans="1:1" outlineLevel="1" x14ac:dyDescent="0.2"/>
    <row r="104" spans="1:1" outlineLevel="1" x14ac:dyDescent="0.2"/>
    <row r="105" spans="1:1" outlineLevel="1" x14ac:dyDescent="0.2"/>
    <row r="106" spans="1:1" outlineLevel="1" x14ac:dyDescent="0.2"/>
    <row r="107" spans="1:1" outlineLevel="1" x14ac:dyDescent="0.2"/>
    <row r="108" spans="1:1" outlineLevel="1" x14ac:dyDescent="0.2"/>
    <row r="109" spans="1:1" outlineLevel="1" x14ac:dyDescent="0.2"/>
    <row r="110" spans="1:1" outlineLevel="1" x14ac:dyDescent="0.2"/>
    <row r="111" spans="1:1" outlineLevel="1" x14ac:dyDescent="0.2"/>
    <row r="112" spans="1:1" x14ac:dyDescent="0.2">
      <c r="A112" s="139"/>
    </row>
    <row r="113" spans="1:1" x14ac:dyDescent="0.2">
      <c r="A113" s="119" t="s">
        <v>686</v>
      </c>
    </row>
    <row r="114" spans="1:1" outlineLevel="1" x14ac:dyDescent="0.2"/>
    <row r="115" spans="1:1" outlineLevel="1" x14ac:dyDescent="0.2"/>
    <row r="116" spans="1:1" outlineLevel="1" x14ac:dyDescent="0.2"/>
    <row r="117" spans="1:1" outlineLevel="1" x14ac:dyDescent="0.2"/>
    <row r="118" spans="1:1" outlineLevel="1" x14ac:dyDescent="0.2"/>
    <row r="119" spans="1:1" outlineLevel="1" x14ac:dyDescent="0.2"/>
    <row r="120" spans="1:1" outlineLevel="1" x14ac:dyDescent="0.2"/>
    <row r="121" spans="1:1" outlineLevel="1" x14ac:dyDescent="0.2"/>
    <row r="122" spans="1:1" outlineLevel="1" x14ac:dyDescent="0.2"/>
    <row r="123" spans="1:1" outlineLevel="1" x14ac:dyDescent="0.2"/>
    <row r="124" spans="1:1" outlineLevel="1" x14ac:dyDescent="0.2"/>
    <row r="125" spans="1:1" outlineLevel="1" x14ac:dyDescent="0.2"/>
    <row r="126" spans="1:1" outlineLevel="1" x14ac:dyDescent="0.2"/>
    <row r="127" spans="1:1" outlineLevel="1" x14ac:dyDescent="0.2"/>
    <row r="128" spans="1:1" outlineLevel="1" x14ac:dyDescent="0.2"/>
    <row r="129" spans="1:1" outlineLevel="1" x14ac:dyDescent="0.2"/>
    <row r="130" spans="1:1" outlineLevel="1" x14ac:dyDescent="0.2"/>
    <row r="131" spans="1:1" outlineLevel="1" x14ac:dyDescent="0.2"/>
    <row r="132" spans="1:1" outlineLevel="1" x14ac:dyDescent="0.2"/>
    <row r="133" spans="1:1" outlineLevel="1" x14ac:dyDescent="0.2"/>
    <row r="134" spans="1:1" x14ac:dyDescent="0.2">
      <c r="A134" s="139"/>
    </row>
    <row r="135" spans="1:1" x14ac:dyDescent="0.2">
      <c r="A135" s="119" t="s">
        <v>687</v>
      </c>
    </row>
    <row r="136" spans="1:1" outlineLevel="1" x14ac:dyDescent="0.2"/>
    <row r="137" spans="1:1" outlineLevel="1" x14ac:dyDescent="0.2"/>
    <row r="138" spans="1:1" outlineLevel="1" x14ac:dyDescent="0.2"/>
    <row r="139" spans="1:1" outlineLevel="1" x14ac:dyDescent="0.2"/>
    <row r="140" spans="1:1" outlineLevel="1" x14ac:dyDescent="0.2"/>
    <row r="141" spans="1:1" outlineLevel="1" x14ac:dyDescent="0.2"/>
    <row r="142" spans="1:1" outlineLevel="1" x14ac:dyDescent="0.2"/>
    <row r="143" spans="1:1" outlineLevel="1" x14ac:dyDescent="0.2"/>
    <row r="144" spans="1:1" outlineLevel="1" x14ac:dyDescent="0.2"/>
    <row r="145" spans="1:1" outlineLevel="1" x14ac:dyDescent="0.2"/>
    <row r="146" spans="1:1" outlineLevel="1" x14ac:dyDescent="0.2"/>
    <row r="147" spans="1:1" outlineLevel="1" x14ac:dyDescent="0.2"/>
    <row r="148" spans="1:1" outlineLevel="1" x14ac:dyDescent="0.2"/>
    <row r="149" spans="1:1" outlineLevel="1" x14ac:dyDescent="0.2"/>
    <row r="150" spans="1:1" outlineLevel="1" x14ac:dyDescent="0.2"/>
    <row r="151" spans="1:1" outlineLevel="1" x14ac:dyDescent="0.2"/>
    <row r="152" spans="1:1" outlineLevel="1" x14ac:dyDescent="0.2"/>
    <row r="153" spans="1:1" outlineLevel="1" x14ac:dyDescent="0.2"/>
    <row r="154" spans="1:1" outlineLevel="1" x14ac:dyDescent="0.2"/>
    <row r="155" spans="1:1" outlineLevel="1" x14ac:dyDescent="0.2"/>
    <row r="156" spans="1:1" x14ac:dyDescent="0.2">
      <c r="A156" s="139"/>
    </row>
    <row r="157" spans="1:1" x14ac:dyDescent="0.2">
      <c r="A157" s="119" t="s">
        <v>688</v>
      </c>
    </row>
    <row r="158" spans="1:1" outlineLevel="1" x14ac:dyDescent="0.2"/>
    <row r="159" spans="1:1" outlineLevel="1" x14ac:dyDescent="0.2"/>
    <row r="160" spans="1:1" outlineLevel="1" x14ac:dyDescent="0.2"/>
    <row r="161" outlineLevel="1" x14ac:dyDescent="0.2"/>
    <row r="162" outlineLevel="1" x14ac:dyDescent="0.2"/>
    <row r="163" outlineLevel="1" x14ac:dyDescent="0.2"/>
    <row r="164" outlineLevel="1" x14ac:dyDescent="0.2"/>
    <row r="165" outlineLevel="1" x14ac:dyDescent="0.2"/>
    <row r="166" outlineLevel="1" x14ac:dyDescent="0.2"/>
    <row r="167" outlineLevel="1" x14ac:dyDescent="0.2"/>
    <row r="168" outlineLevel="1" x14ac:dyDescent="0.2"/>
    <row r="169" outlineLevel="1" x14ac:dyDescent="0.2"/>
    <row r="170" outlineLevel="1" x14ac:dyDescent="0.2"/>
    <row r="171" outlineLevel="1" x14ac:dyDescent="0.2"/>
    <row r="172" outlineLevel="1" x14ac:dyDescent="0.2"/>
    <row r="173" outlineLevel="1" x14ac:dyDescent="0.2"/>
    <row r="174" outlineLevel="1" x14ac:dyDescent="0.2"/>
    <row r="175" outlineLevel="1" x14ac:dyDescent="0.2"/>
    <row r="176" outlineLevel="1" x14ac:dyDescent="0.2"/>
    <row r="177" spans="1:1" outlineLevel="1" x14ac:dyDescent="0.2"/>
    <row r="178" spans="1:1" x14ac:dyDescent="0.2">
      <c r="A178" s="139"/>
    </row>
    <row r="179" spans="1:1" x14ac:dyDescent="0.2">
      <c r="A179" s="119" t="s">
        <v>689</v>
      </c>
    </row>
    <row r="180" spans="1:1" hidden="1" outlineLevel="1" x14ac:dyDescent="0.2"/>
    <row r="181" spans="1:1" hidden="1" outlineLevel="1" x14ac:dyDescent="0.2">
      <c r="A181" s="148" t="s">
        <v>690</v>
      </c>
    </row>
    <row r="182" spans="1:1" hidden="1" outlineLevel="1" x14ac:dyDescent="0.2"/>
    <row r="183" spans="1:1" hidden="1" outlineLevel="1" x14ac:dyDescent="0.2"/>
    <row r="184" spans="1:1" hidden="1" outlineLevel="1" x14ac:dyDescent="0.2"/>
    <row r="185" spans="1:1" hidden="1" outlineLevel="1" x14ac:dyDescent="0.2"/>
    <row r="186" spans="1:1" hidden="1" outlineLevel="1" x14ac:dyDescent="0.2"/>
    <row r="187" spans="1:1" hidden="1" outlineLevel="1" x14ac:dyDescent="0.2"/>
    <row r="188" spans="1:1" hidden="1" outlineLevel="1" x14ac:dyDescent="0.2"/>
    <row r="189" spans="1:1" hidden="1" outlineLevel="1" x14ac:dyDescent="0.2"/>
    <row r="190" spans="1:1" hidden="1" outlineLevel="1" x14ac:dyDescent="0.2"/>
    <row r="191" spans="1:1" hidden="1" outlineLevel="1" x14ac:dyDescent="0.2"/>
    <row r="192" spans="1:1" hidden="1" outlineLevel="1" x14ac:dyDescent="0.2"/>
    <row r="193" spans="1:1" hidden="1" outlineLevel="1" x14ac:dyDescent="0.2"/>
    <row r="194" spans="1:1" hidden="1" outlineLevel="1" x14ac:dyDescent="0.2"/>
    <row r="195" spans="1:1" hidden="1" outlineLevel="1" x14ac:dyDescent="0.2"/>
    <row r="196" spans="1:1" hidden="1" outlineLevel="1" x14ac:dyDescent="0.2"/>
    <row r="197" spans="1:1" hidden="1" outlineLevel="1" x14ac:dyDescent="0.2"/>
    <row r="198" spans="1:1" hidden="1" outlineLevel="1" x14ac:dyDescent="0.2"/>
    <row r="199" spans="1:1" hidden="1" outlineLevel="1" x14ac:dyDescent="0.2"/>
    <row r="200" spans="1:1" hidden="1" outlineLevel="1" x14ac:dyDescent="0.2"/>
    <row r="201" spans="1:1" hidden="1" outlineLevel="1" x14ac:dyDescent="0.2"/>
    <row r="202" spans="1:1" hidden="1" outlineLevel="1" x14ac:dyDescent="0.2"/>
    <row r="203" spans="1:1" hidden="1" outlineLevel="1" x14ac:dyDescent="0.2">
      <c r="A203" s="148" t="s">
        <v>691</v>
      </c>
    </row>
    <row r="204" spans="1:1" hidden="1" outlineLevel="1" x14ac:dyDescent="0.2"/>
    <row r="205" spans="1:1" hidden="1" outlineLevel="1" x14ac:dyDescent="0.2"/>
    <row r="206" spans="1:1" hidden="1" outlineLevel="1" x14ac:dyDescent="0.2"/>
    <row r="207" spans="1:1" hidden="1" outlineLevel="1" x14ac:dyDescent="0.2"/>
    <row r="208" spans="1:1" hidden="1" outlineLevel="1" x14ac:dyDescent="0.2"/>
    <row r="209" hidden="1" outlineLevel="1" x14ac:dyDescent="0.2"/>
    <row r="210" hidden="1" outlineLevel="1" x14ac:dyDescent="0.2"/>
    <row r="211" hidden="1" outlineLevel="1" x14ac:dyDescent="0.2"/>
    <row r="212" hidden="1" outlineLevel="1" x14ac:dyDescent="0.2"/>
    <row r="213" hidden="1" outlineLevel="1" x14ac:dyDescent="0.2"/>
    <row r="214" hidden="1" outlineLevel="1" x14ac:dyDescent="0.2"/>
    <row r="215" hidden="1" outlineLevel="1" x14ac:dyDescent="0.2"/>
    <row r="216" hidden="1" outlineLevel="1" x14ac:dyDescent="0.2"/>
    <row r="217" hidden="1" outlineLevel="1" x14ac:dyDescent="0.2"/>
    <row r="218" hidden="1" outlineLevel="1" x14ac:dyDescent="0.2"/>
    <row r="219" hidden="1" outlineLevel="1" x14ac:dyDescent="0.2"/>
    <row r="220" hidden="1" outlineLevel="1" x14ac:dyDescent="0.2"/>
    <row r="221" hidden="1" outlineLevel="1" x14ac:dyDescent="0.2"/>
    <row r="222" hidden="1" outlineLevel="1" x14ac:dyDescent="0.2"/>
    <row r="223" hidden="1" outlineLevel="1" x14ac:dyDescent="0.2"/>
    <row r="224" hidden="1" outlineLevel="1" x14ac:dyDescent="0.2"/>
    <row r="225" spans="1:1" collapsed="1" x14ac:dyDescent="0.2">
      <c r="A225" s="139"/>
    </row>
    <row r="228" spans="1:1" x14ac:dyDescent="0.2">
      <c r="A228" s="117" t="s">
        <v>659</v>
      </c>
    </row>
  </sheetData>
  <dataValidations count="1">
    <dataValidation type="decimal" allowBlank="1" showInputMessage="1" showErrorMessage="1" error="Please enter a confidence level between 0 and 1." sqref="I10" xr:uid="{00000000-0002-0000-0F00-000000000000}">
      <formula1>0</formula1>
      <formula2>1</formula2>
    </dataValidation>
  </dataValidation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Z463"/>
  <sheetViews>
    <sheetView showGridLines="0" showRowColHeaders="0" zoomScale="115" zoomScaleNormal="115" workbookViewId="0">
      <selection activeCell="H46" sqref="H46"/>
    </sheetView>
  </sheetViews>
  <sheetFormatPr defaultRowHeight="11.25" outlineLevelRow="1" x14ac:dyDescent="0.2"/>
  <cols>
    <col min="1" max="1" width="15.7109375" style="115" customWidth="1"/>
    <col min="2" max="10" width="10.7109375" style="115" customWidth="1"/>
    <col min="11" max="77" width="9.140625" style="115"/>
    <col min="78" max="78" width="9.140625" style="115" customWidth="1"/>
    <col min="79" max="16384" width="9.140625" style="115"/>
  </cols>
  <sheetData>
    <row r="1" spans="1:78" x14ac:dyDescent="0.2">
      <c r="A1" s="116" t="s">
        <v>618</v>
      </c>
      <c r="B1" s="115" t="s">
        <v>747</v>
      </c>
      <c r="M1" s="117" t="s">
        <v>660</v>
      </c>
      <c r="N1" s="117" t="s">
        <v>661</v>
      </c>
      <c r="O1" s="117" t="s">
        <v>665</v>
      </c>
      <c r="Q1" s="117" t="s">
        <v>635</v>
      </c>
      <c r="R1" s="117" t="s">
        <v>705</v>
      </c>
      <c r="T1" s="135">
        <v>1</v>
      </c>
      <c r="U1" s="117" t="s">
        <v>666</v>
      </c>
      <c r="Z1" s="140" t="s">
        <v>748</v>
      </c>
      <c r="AV1" s="138"/>
      <c r="BZ1" s="118" t="s">
        <v>748</v>
      </c>
    </row>
    <row r="2" spans="1:78" x14ac:dyDescent="0.2">
      <c r="A2" s="116" t="s">
        <v>619</v>
      </c>
      <c r="C2" s="115" t="s">
        <v>718</v>
      </c>
      <c r="Q2" s="117" t="s">
        <v>780</v>
      </c>
      <c r="R2" s="117" t="s">
        <v>663</v>
      </c>
      <c r="S2" s="117" t="s">
        <v>662</v>
      </c>
      <c r="AA2" s="140" t="str">
        <f>"Forecasts and " &amp; TEXT($I$10, "0.0%") &amp; " confidence limits for means and forecasts
Model 9 for EV    (6 variables, n=136)"</f>
        <v>Forecasts and 95.0% confidence limits for means and forecasts
Model 9 for EV    (6 variables, n=136)</v>
      </c>
    </row>
    <row r="3" spans="1:78" ht="11.25" hidden="1" customHeight="1" outlineLevel="1" x14ac:dyDescent="0.2">
      <c r="A3" s="116" t="s">
        <v>621</v>
      </c>
      <c r="AA3" s="140" t="str">
        <f>IF($A$51 &lt;&gt; "","Actual and Predicted -vs- Observation # with " &amp; TEXT($I$10, "0.0%") &amp; " confidence limits
Model 9 for EV    (6 variables, n=136)","Actual and Predicted -vs- Observation #
Model 9 for EV    (6 variables, n=136)")</f>
        <v>Actual and Predicted -vs- Observation #
Model 9 for EV    (6 variables, n=136)</v>
      </c>
    </row>
    <row r="4" spans="1:78" hidden="1" outlineLevel="1" x14ac:dyDescent="0.2">
      <c r="A4" s="115" t="s">
        <v>622</v>
      </c>
    </row>
    <row r="5" spans="1:78" hidden="1" outlineLevel="1" x14ac:dyDescent="0.2">
      <c r="A5" s="116" t="s">
        <v>623</v>
      </c>
    </row>
    <row r="6" spans="1:78" hidden="1" outlineLevel="1" x14ac:dyDescent="0.2">
      <c r="A6" s="115" t="s">
        <v>749</v>
      </c>
    </row>
    <row r="7" spans="1:78" collapsed="1" x14ac:dyDescent="0.2">
      <c r="A7" s="138"/>
      <c r="J7" s="117" t="s">
        <v>664</v>
      </c>
      <c r="K7" s="117" t="s">
        <v>793</v>
      </c>
    </row>
    <row r="8" spans="1:78" hidden="1" x14ac:dyDescent="0.2">
      <c r="A8" s="119" t="s">
        <v>750</v>
      </c>
    </row>
    <row r="9" spans="1:78" ht="12" outlineLevel="1" thickBot="1" x14ac:dyDescent="0.25">
      <c r="A9" s="120"/>
      <c r="B9" s="125" t="s">
        <v>624</v>
      </c>
      <c r="C9" s="125" t="s">
        <v>625</v>
      </c>
      <c r="D9" s="125" t="s">
        <v>626</v>
      </c>
      <c r="E9" s="125" t="s">
        <v>627</v>
      </c>
      <c r="F9" s="125" t="s">
        <v>628</v>
      </c>
      <c r="G9" s="125" t="s">
        <v>629</v>
      </c>
      <c r="H9" s="125" t="str">
        <f>"t("&amp;TEXT((1-I10)/2,"0.00%") &amp; ",129)"</f>
        <v>t(2.50%,129)</v>
      </c>
      <c r="I9" s="125" t="s">
        <v>630</v>
      </c>
    </row>
    <row r="10" spans="1:78" outlineLevel="1" x14ac:dyDescent="0.2">
      <c r="B10" s="126">
        <f xml:space="preserve"> 1 - C25 / C26</f>
        <v>6.4277992266442263E-2</v>
      </c>
      <c r="C10" s="126">
        <f>1-D10^2/E10^2</f>
        <v>2.0756038418369815E-2</v>
      </c>
      <c r="D10" s="149">
        <f xml:space="preserve"> SQRT(D25)</f>
        <v>67036.453295685234</v>
      </c>
      <c r="E10" s="149">
        <f xml:space="preserve"> SQRT(C26 / B26)</f>
        <v>67743.179756151963</v>
      </c>
      <c r="F10" s="127">
        <v>136</v>
      </c>
      <c r="G10" s="127">
        <v>0</v>
      </c>
      <c r="H10" s="128">
        <f>TINV(1 - $I$10, F10 - 6 - 1)</f>
        <v>1.9785244914792603</v>
      </c>
      <c r="I10" s="129">
        <v>0.95</v>
      </c>
    </row>
    <row r="11" spans="1:78" x14ac:dyDescent="0.2">
      <c r="A11" s="138"/>
    </row>
    <row r="12" spans="1:78" hidden="1" x14ac:dyDescent="0.2">
      <c r="A12" s="119" t="s">
        <v>751</v>
      </c>
    </row>
    <row r="13" spans="1:78" ht="12" outlineLevel="1" thickBot="1" x14ac:dyDescent="0.25">
      <c r="A13" s="130" t="s">
        <v>631</v>
      </c>
      <c r="B13" s="122" t="s">
        <v>632</v>
      </c>
      <c r="C13" s="122" t="s">
        <v>633</v>
      </c>
      <c r="D13" s="122" t="s">
        <v>634</v>
      </c>
      <c r="E13" s="122" t="s">
        <v>534</v>
      </c>
      <c r="F13" s="122" t="str">
        <f>IF($I$10&gt;99%,("Lower"&amp;TEXT($I$10,"0.0%")),("Lower"&amp;TEXT($I$10,"0%")))</f>
        <v>Lower95%</v>
      </c>
      <c r="G13" s="122" t="str">
        <f>IF($I$10&gt;99%,("Upper"&amp;TEXT($I$10,"0.0%")),("Upper"&amp;TEXT($I$10,"0%")))</f>
        <v>Upper95%</v>
      </c>
      <c r="H13" s="125" t="s">
        <v>637</v>
      </c>
      <c r="I13" s="125" t="s">
        <v>636</v>
      </c>
    </row>
    <row r="14" spans="1:78" outlineLevel="1" x14ac:dyDescent="0.2">
      <c r="A14" s="131" t="s">
        <v>638</v>
      </c>
      <c r="B14" s="150">
        <v>16114.754352625661</v>
      </c>
      <c r="C14" s="150">
        <v>36279.299199374371</v>
      </c>
      <c r="D14" s="132">
        <f>B14 / C14</f>
        <v>0.44418593270135598</v>
      </c>
      <c r="E14" s="132">
        <f>TDIST(ABS(D14),$F$10 - 7,2)</f>
        <v>0.65765240553692905</v>
      </c>
      <c r="F14" s="150">
        <f>B14 - $H$10 * C14</f>
        <v>-55664.727647040447</v>
      </c>
      <c r="G14" s="150">
        <f>B14 + $H$10 * C14</f>
        <v>87894.236352291773</v>
      </c>
      <c r="H14" s="126">
        <v>0</v>
      </c>
      <c r="I14" s="126">
        <v>0</v>
      </c>
    </row>
    <row r="15" spans="1:78" outlineLevel="1" x14ac:dyDescent="0.2">
      <c r="A15" s="131" t="s">
        <v>639</v>
      </c>
      <c r="B15" s="150">
        <v>161757.13861859942</v>
      </c>
      <c r="C15" s="150">
        <v>95645.91771597648</v>
      </c>
      <c r="D15" s="132">
        <f t="shared" ref="D15:D20" si="0">B15 / C15</f>
        <v>1.6912079729209379</v>
      </c>
      <c r="E15" s="132">
        <f t="shared" ref="E15:E20" si="1">TDIST(ABS(D15),$F$10 - 7,2)</f>
        <v>9.3211671515308403E-2</v>
      </c>
      <c r="F15" s="150">
        <f t="shared" ref="F15:F20" si="2">B15 - $H$10 * C15</f>
        <v>-27480.652092470118</v>
      </c>
      <c r="G15" s="150">
        <f t="shared" ref="G15:G20" si="3">B15 + $H$10 * C15</f>
        <v>350994.92932966899</v>
      </c>
      <c r="H15" s="126">
        <v>17.604239874810933</v>
      </c>
      <c r="I15" s="126">
        <f>B15*0.253096619773069/$E$10</f>
        <v>0.60434401154329298</v>
      </c>
    </row>
    <row r="16" spans="1:78" outlineLevel="1" x14ac:dyDescent="0.2">
      <c r="A16" s="131" t="s">
        <v>640</v>
      </c>
      <c r="B16" s="150">
        <v>-91410.630916725451</v>
      </c>
      <c r="C16" s="150">
        <v>70247.718780321535</v>
      </c>
      <c r="D16" s="132">
        <f t="shared" si="0"/>
        <v>-1.3012612011300255</v>
      </c>
      <c r="E16" s="132">
        <f t="shared" si="1"/>
        <v>0.19548837517471987</v>
      </c>
      <c r="F16" s="150">
        <f t="shared" si="2"/>
        <v>-230397.46299413918</v>
      </c>
      <c r="G16" s="150">
        <f t="shared" si="3"/>
        <v>47576.201160688288</v>
      </c>
      <c r="H16" s="126">
        <v>2.4531287927735685</v>
      </c>
      <c r="I16" s="126">
        <f>B16*0.12863883376025/$E$10</f>
        <v>-0.17358141434670918</v>
      </c>
    </row>
    <row r="17" spans="1:9" outlineLevel="1" x14ac:dyDescent="0.2">
      <c r="A17" s="131" t="s">
        <v>641</v>
      </c>
      <c r="B17" s="150">
        <v>-18947.436829232207</v>
      </c>
      <c r="C17" s="150">
        <v>86172.130335345821</v>
      </c>
      <c r="D17" s="132">
        <f t="shared" si="0"/>
        <v>-0.21987894178195111</v>
      </c>
      <c r="E17" s="132">
        <f t="shared" si="1"/>
        <v>0.82631300561332321</v>
      </c>
      <c r="F17" s="150">
        <f t="shared" si="2"/>
        <v>-189441.10718065684</v>
      </c>
      <c r="G17" s="150">
        <f t="shared" si="3"/>
        <v>151546.23352219243</v>
      </c>
      <c r="H17" s="126">
        <v>12.954864867658584</v>
      </c>
      <c r="I17" s="126">
        <f>B17*0.240987079578956/$E$10</f>
        <v>-6.7402910277012243E-2</v>
      </c>
    </row>
    <row r="18" spans="1:9" outlineLevel="1" x14ac:dyDescent="0.2">
      <c r="A18" s="131" t="s">
        <v>642</v>
      </c>
      <c r="B18" s="150">
        <v>90484.004297407897</v>
      </c>
      <c r="C18" s="150">
        <v>84866.906692465564</v>
      </c>
      <c r="D18" s="132">
        <f t="shared" si="0"/>
        <v>1.0661871372936587</v>
      </c>
      <c r="E18" s="132">
        <f t="shared" si="1"/>
        <v>0.28833045774599936</v>
      </c>
      <c r="F18" s="150">
        <f t="shared" si="2"/>
        <v>-77427.249109720375</v>
      </c>
      <c r="G18" s="150">
        <f t="shared" si="3"/>
        <v>258395.25770453617</v>
      </c>
      <c r="H18" s="126">
        <v>2.0548102660224394</v>
      </c>
      <c r="I18" s="126">
        <f>B18*0.097452197173445/$E$10</f>
        <v>0.13016609287569</v>
      </c>
    </row>
    <row r="19" spans="1:9" outlineLevel="1" x14ac:dyDescent="0.2">
      <c r="A19" s="131" t="s">
        <v>643</v>
      </c>
      <c r="B19" s="150">
        <v>-4263.1097684102433</v>
      </c>
      <c r="C19" s="150">
        <v>28902.269250738544</v>
      </c>
      <c r="D19" s="132">
        <f t="shared" si="0"/>
        <v>-0.1475008668497996</v>
      </c>
      <c r="E19" s="132">
        <f t="shared" si="1"/>
        <v>0.88296698632661741</v>
      </c>
      <c r="F19" s="150">
        <f t="shared" si="2"/>
        <v>-61446.957340324385</v>
      </c>
      <c r="G19" s="150">
        <f t="shared" si="3"/>
        <v>52920.7378035039</v>
      </c>
      <c r="H19" s="126">
        <v>1.1045932952156334</v>
      </c>
      <c r="I19" s="126">
        <f>B19*0.209803825894689/$E$10</f>
        <v>-1.3203052216341615E-2</v>
      </c>
    </row>
    <row r="20" spans="1:9" outlineLevel="1" x14ac:dyDescent="0.2">
      <c r="A20" s="131" t="s">
        <v>644</v>
      </c>
      <c r="B20" s="150">
        <v>114745.81789016495</v>
      </c>
      <c r="C20" s="150">
        <v>76256.844634992391</v>
      </c>
      <c r="D20" s="132">
        <f t="shared" si="0"/>
        <v>1.504728112465211</v>
      </c>
      <c r="E20" s="132">
        <f t="shared" si="1"/>
        <v>0.13483851123896126</v>
      </c>
      <c r="F20" s="150">
        <f t="shared" si="2"/>
        <v>-36130.216863096328</v>
      </c>
      <c r="G20" s="150">
        <f t="shared" si="3"/>
        <v>265621.85264342622</v>
      </c>
      <c r="H20" s="126">
        <v>5.2931922954493045</v>
      </c>
      <c r="I20" s="126">
        <f>B20*0.174070088268844/$E$10</f>
        <v>0.29484613389154984</v>
      </c>
    </row>
    <row r="21" spans="1:9" x14ac:dyDescent="0.2">
      <c r="A21" s="138"/>
    </row>
    <row r="22" spans="1:9" hidden="1" x14ac:dyDescent="0.2">
      <c r="A22" s="119" t="s">
        <v>752</v>
      </c>
    </row>
    <row r="23" spans="1:9" ht="12" hidden="1" outlineLevel="1" thickBot="1" x14ac:dyDescent="0.25">
      <c r="A23" s="130" t="s">
        <v>645</v>
      </c>
      <c r="B23" s="122" t="s">
        <v>646</v>
      </c>
      <c r="C23" s="122" t="s">
        <v>647</v>
      </c>
      <c r="D23" s="122" t="s">
        <v>648</v>
      </c>
      <c r="E23" s="122" t="s">
        <v>649</v>
      </c>
      <c r="F23" s="122" t="s">
        <v>534</v>
      </c>
    </row>
    <row r="24" spans="1:9" hidden="1" outlineLevel="1" x14ac:dyDescent="0.2">
      <c r="A24" s="115" t="s">
        <v>523</v>
      </c>
      <c r="B24" s="124">
        <v>6</v>
      </c>
      <c r="C24" s="133">
        <f>C26 - C25</f>
        <v>39822381379.100952</v>
      </c>
      <c r="D24" s="133">
        <f>C24/B24</f>
        <v>6637063563.1834917</v>
      </c>
      <c r="E24" s="123">
        <f>D24/D25</f>
        <v>1.4769096187828672</v>
      </c>
      <c r="F24" s="123">
        <f>FDIST(E24,6,129)</f>
        <v>0.19105522920163634</v>
      </c>
    </row>
    <row r="25" spans="1:9" hidden="1" outlineLevel="1" x14ac:dyDescent="0.2">
      <c r="A25" s="115" t="s">
        <v>524</v>
      </c>
      <c r="B25" s="124">
        <v>129</v>
      </c>
      <c r="C25" s="133">
        <v>579711303089.93188</v>
      </c>
      <c r="D25" s="133">
        <f>C25/B25</f>
        <v>4493886070.4645882</v>
      </c>
    </row>
    <row r="26" spans="1:9" hidden="1" outlineLevel="1" x14ac:dyDescent="0.2">
      <c r="A26" s="115" t="s">
        <v>525</v>
      </c>
      <c r="B26" s="124">
        <f>B24 + B25</f>
        <v>135</v>
      </c>
      <c r="C26" s="133">
        <v>619533684469.03284</v>
      </c>
    </row>
    <row r="27" spans="1:9" collapsed="1" x14ac:dyDescent="0.2">
      <c r="A27" s="138"/>
    </row>
    <row r="28" spans="1:9" hidden="1" x14ac:dyDescent="0.2">
      <c r="A28" s="119" t="s">
        <v>753</v>
      </c>
    </row>
    <row r="29" spans="1:9" ht="12" outlineLevel="1" thickBot="1" x14ac:dyDescent="0.25">
      <c r="A29" s="120"/>
      <c r="B29" s="122" t="s">
        <v>652</v>
      </c>
      <c r="C29" s="122" t="s">
        <v>653</v>
      </c>
      <c r="D29" s="122" t="s">
        <v>654</v>
      </c>
      <c r="E29" s="122" t="s">
        <v>655</v>
      </c>
      <c r="F29" s="122" t="s">
        <v>656</v>
      </c>
      <c r="G29" s="125" t="s">
        <v>650</v>
      </c>
      <c r="H29" s="125" t="s">
        <v>657</v>
      </c>
      <c r="I29" s="125" t="s">
        <v>669</v>
      </c>
    </row>
    <row r="30" spans="1:9" outlineLevel="1" x14ac:dyDescent="0.2">
      <c r="A30" s="115" t="s">
        <v>651</v>
      </c>
      <c r="B30" s="151">
        <v>-1.2612551526056931E-11</v>
      </c>
      <c r="C30" s="150">
        <v>65288.460779492889</v>
      </c>
      <c r="D30" s="150">
        <v>21715.068330609749</v>
      </c>
      <c r="E30" s="150">
        <v>-59745.866131808631</v>
      </c>
      <c r="F30" s="150">
        <v>711181.2614437656</v>
      </c>
      <c r="G30" s="129">
        <v>12.658234349302036</v>
      </c>
      <c r="H30" s="128" t="s">
        <v>754</v>
      </c>
      <c r="I30" s="126">
        <v>0.93854511515500305</v>
      </c>
    </row>
    <row r="31" spans="1:9" outlineLevel="1" x14ac:dyDescent="0.2"/>
    <row r="32" spans="1:9" x14ac:dyDescent="0.2">
      <c r="A32" s="138"/>
    </row>
    <row r="33" spans="1:702" hidden="1" x14ac:dyDescent="0.2">
      <c r="A33" s="119" t="s">
        <v>755</v>
      </c>
    </row>
    <row r="34" spans="1:702" ht="12" outlineLevel="1" thickBot="1" x14ac:dyDescent="0.25">
      <c r="A34" s="121" t="s">
        <v>671</v>
      </c>
      <c r="B34" s="141">
        <v>1</v>
      </c>
    </row>
    <row r="35" spans="1:702" outlineLevel="1" x14ac:dyDescent="0.2">
      <c r="A35" s="115" t="s">
        <v>672</v>
      </c>
      <c r="B35" s="123">
        <v>-1.2986865998730468E-2</v>
      </c>
    </row>
    <row r="36" spans="1:702" outlineLevel="1" x14ac:dyDescent="0.2">
      <c r="A36" s="135" t="s">
        <v>673</v>
      </c>
      <c r="B36" s="135">
        <f>B35/0.086066296582387</f>
        <v>-0.15089374719753143</v>
      </c>
      <c r="C36" s="135"/>
      <c r="D36" s="135"/>
      <c r="E36" s="135"/>
      <c r="F36" s="135"/>
      <c r="G36" s="135"/>
      <c r="H36" s="135"/>
      <c r="I36" s="135"/>
      <c r="J36" s="135"/>
      <c r="K36" s="135"/>
      <c r="L36" s="135"/>
      <c r="M36" s="135"/>
      <c r="N36" s="135"/>
      <c r="O36" s="135"/>
      <c r="P36" s="135"/>
      <c r="Q36" s="135"/>
      <c r="R36" s="135"/>
      <c r="S36" s="135"/>
      <c r="T36" s="135"/>
      <c r="U36" s="135"/>
      <c r="V36" s="135"/>
      <c r="W36" s="135"/>
      <c r="X36" s="135"/>
      <c r="Y36" s="135"/>
      <c r="Z36" s="135"/>
      <c r="AA36" s="135"/>
      <c r="AB36" s="135"/>
      <c r="AC36" s="135"/>
      <c r="AD36" s="135"/>
      <c r="AE36" s="135"/>
      <c r="AF36" s="135"/>
      <c r="AG36" s="135"/>
      <c r="AH36" s="135"/>
      <c r="AI36" s="135"/>
      <c r="AJ36" s="135"/>
      <c r="AK36" s="135"/>
      <c r="AL36" s="135"/>
      <c r="AM36" s="135"/>
      <c r="AN36" s="135"/>
      <c r="AO36" s="135"/>
      <c r="AP36" s="135"/>
      <c r="AQ36" s="135"/>
      <c r="AR36" s="135"/>
      <c r="AS36" s="135"/>
      <c r="AT36" s="135"/>
      <c r="AU36" s="135"/>
      <c r="AV36" s="135"/>
      <c r="AW36" s="135"/>
      <c r="AX36" s="135"/>
      <c r="AY36" s="135"/>
      <c r="AZ36" s="135"/>
      <c r="BA36" s="135"/>
      <c r="BB36" s="135"/>
      <c r="BC36" s="135"/>
      <c r="BD36" s="135"/>
      <c r="BE36" s="135"/>
      <c r="BF36" s="135"/>
      <c r="BG36" s="135"/>
      <c r="BH36" s="135"/>
      <c r="BI36" s="135"/>
      <c r="BJ36" s="135"/>
      <c r="BK36" s="135"/>
      <c r="BL36" s="135"/>
      <c r="BM36" s="135"/>
      <c r="BN36" s="135"/>
      <c r="BO36" s="135"/>
      <c r="BP36" s="135"/>
      <c r="BQ36" s="135"/>
      <c r="BR36" s="135"/>
      <c r="BS36" s="135"/>
      <c r="BT36" s="135"/>
      <c r="BU36" s="135"/>
      <c r="BV36" s="135"/>
      <c r="BW36" s="135"/>
      <c r="BX36" s="135"/>
      <c r="BY36" s="135"/>
      <c r="BZ36" s="135"/>
      <c r="CA36" s="135"/>
      <c r="CB36" s="135"/>
      <c r="CC36" s="135"/>
      <c r="CD36" s="135"/>
      <c r="CE36" s="135"/>
      <c r="CF36" s="135"/>
      <c r="CG36" s="135"/>
      <c r="CH36" s="135"/>
      <c r="CI36" s="135"/>
      <c r="CJ36" s="135"/>
      <c r="CK36" s="135"/>
      <c r="CL36" s="135"/>
      <c r="CM36" s="135"/>
      <c r="CN36" s="135"/>
      <c r="CO36" s="135"/>
      <c r="CP36" s="135"/>
      <c r="CQ36" s="135"/>
      <c r="CR36" s="135"/>
      <c r="CS36" s="135"/>
      <c r="CT36" s="135"/>
      <c r="CU36" s="135"/>
      <c r="CV36" s="135"/>
      <c r="CW36" s="135"/>
      <c r="CX36" s="135"/>
      <c r="CY36" s="135"/>
      <c r="CZ36" s="135"/>
      <c r="DA36" s="135"/>
      <c r="DB36" s="135"/>
      <c r="DC36" s="135"/>
      <c r="DD36" s="135"/>
      <c r="DE36" s="135"/>
      <c r="DF36" s="135"/>
      <c r="DG36" s="135"/>
      <c r="DH36" s="135"/>
      <c r="DI36" s="135"/>
      <c r="DJ36" s="135"/>
      <c r="DK36" s="135"/>
      <c r="DL36" s="135"/>
      <c r="DM36" s="135"/>
      <c r="DN36" s="135"/>
      <c r="DO36" s="135"/>
      <c r="DP36" s="135"/>
      <c r="DQ36" s="135"/>
      <c r="DR36" s="135"/>
      <c r="DS36" s="135"/>
      <c r="DT36" s="135"/>
      <c r="DU36" s="135"/>
      <c r="DV36" s="135"/>
      <c r="DW36" s="135"/>
      <c r="DX36" s="135"/>
      <c r="DY36" s="135"/>
      <c r="DZ36" s="135"/>
      <c r="EA36" s="135"/>
      <c r="EB36" s="135"/>
      <c r="EC36" s="135"/>
      <c r="ED36" s="135"/>
      <c r="EE36" s="135"/>
      <c r="EF36" s="135"/>
      <c r="EG36" s="135"/>
      <c r="EH36" s="135"/>
      <c r="EI36" s="135"/>
      <c r="EJ36" s="135"/>
      <c r="EK36" s="135"/>
      <c r="EL36" s="135"/>
      <c r="EM36" s="135"/>
      <c r="EN36" s="135"/>
      <c r="EO36" s="135"/>
      <c r="EP36" s="135"/>
      <c r="EQ36" s="135"/>
      <c r="ER36" s="135"/>
      <c r="ES36" s="135"/>
      <c r="ET36" s="135"/>
      <c r="EU36" s="135"/>
      <c r="EV36" s="135"/>
      <c r="EW36" s="135"/>
      <c r="EX36" s="135"/>
      <c r="EY36" s="135"/>
      <c r="EZ36" s="135"/>
      <c r="FA36" s="135"/>
      <c r="FB36" s="135"/>
      <c r="FC36" s="135"/>
      <c r="FD36" s="135"/>
      <c r="FE36" s="135"/>
      <c r="FF36" s="135"/>
      <c r="FG36" s="135"/>
      <c r="FH36" s="135"/>
      <c r="FI36" s="135"/>
      <c r="FJ36" s="135"/>
      <c r="FK36" s="135"/>
      <c r="FL36" s="135"/>
      <c r="FM36" s="135"/>
      <c r="FN36" s="135"/>
      <c r="FO36" s="135"/>
      <c r="FP36" s="135"/>
      <c r="FQ36" s="135"/>
      <c r="FR36" s="135"/>
      <c r="FS36" s="135"/>
      <c r="FT36" s="135"/>
      <c r="FU36" s="135"/>
      <c r="FV36" s="135"/>
      <c r="FW36" s="135"/>
      <c r="FX36" s="135"/>
      <c r="FY36" s="135"/>
      <c r="FZ36" s="135"/>
      <c r="GA36" s="135"/>
      <c r="GB36" s="135"/>
      <c r="GC36" s="135"/>
      <c r="GD36" s="135"/>
      <c r="GE36" s="135"/>
      <c r="GF36" s="135"/>
      <c r="GG36" s="135"/>
      <c r="GH36" s="135"/>
      <c r="GI36" s="135"/>
      <c r="GJ36" s="135"/>
      <c r="GK36" s="135"/>
      <c r="GL36" s="135"/>
      <c r="GM36" s="135"/>
      <c r="GN36" s="135"/>
      <c r="GO36" s="135"/>
      <c r="GP36" s="135"/>
      <c r="GQ36" s="135"/>
      <c r="GR36" s="135"/>
      <c r="GS36" s="135"/>
      <c r="GT36" s="135"/>
      <c r="GU36" s="135"/>
      <c r="GV36" s="135"/>
      <c r="GW36" s="135"/>
      <c r="GX36" s="135"/>
      <c r="GY36" s="135"/>
      <c r="GZ36" s="135"/>
      <c r="HA36" s="135"/>
      <c r="HB36" s="135"/>
      <c r="HC36" s="135"/>
      <c r="HD36" s="135"/>
      <c r="HE36" s="135"/>
      <c r="HF36" s="135"/>
      <c r="HG36" s="135"/>
      <c r="HH36" s="135"/>
      <c r="HI36" s="135"/>
      <c r="HJ36" s="135"/>
      <c r="HK36" s="135"/>
      <c r="HL36" s="135"/>
      <c r="HM36" s="135"/>
      <c r="HN36" s="135"/>
      <c r="HO36" s="135"/>
      <c r="HP36" s="135"/>
      <c r="HQ36" s="135"/>
      <c r="HR36" s="135"/>
      <c r="HS36" s="135"/>
      <c r="HT36" s="135"/>
      <c r="HU36" s="135"/>
      <c r="HV36" s="135"/>
      <c r="HW36" s="135"/>
      <c r="HX36" s="135"/>
      <c r="HY36" s="135"/>
      <c r="HZ36" s="135"/>
      <c r="IA36" s="135"/>
      <c r="IB36" s="135"/>
      <c r="IC36" s="135"/>
      <c r="ID36" s="135"/>
      <c r="IE36" s="135"/>
      <c r="IF36" s="135"/>
      <c r="IG36" s="135"/>
      <c r="IH36" s="135"/>
      <c r="II36" s="135"/>
      <c r="IJ36" s="135"/>
      <c r="IK36" s="135"/>
      <c r="IL36" s="135"/>
      <c r="IM36" s="135"/>
      <c r="IN36" s="135"/>
      <c r="IO36" s="135"/>
      <c r="IP36" s="135"/>
      <c r="IQ36" s="135"/>
      <c r="IR36" s="135"/>
      <c r="IS36" s="135"/>
      <c r="IT36" s="135"/>
      <c r="IU36" s="135"/>
      <c r="IV36" s="135"/>
      <c r="IW36" s="135"/>
      <c r="IX36" s="135"/>
      <c r="IY36" s="135"/>
      <c r="IZ36" s="135"/>
      <c r="JA36" s="135"/>
      <c r="JB36" s="135"/>
      <c r="JC36" s="135"/>
      <c r="JD36" s="135"/>
      <c r="JE36" s="135"/>
      <c r="JF36" s="135"/>
      <c r="JG36" s="135"/>
      <c r="JH36" s="135"/>
      <c r="JI36" s="135"/>
      <c r="JJ36" s="135"/>
      <c r="JK36" s="135"/>
      <c r="JL36" s="135"/>
      <c r="JM36" s="135"/>
      <c r="JN36" s="135"/>
      <c r="JO36" s="135"/>
      <c r="JP36" s="135"/>
      <c r="JQ36" s="135"/>
      <c r="JR36" s="135"/>
      <c r="JS36" s="135"/>
      <c r="JT36" s="135"/>
      <c r="JU36" s="135"/>
      <c r="JV36" s="135"/>
      <c r="JW36" s="135"/>
      <c r="JX36" s="135"/>
      <c r="JY36" s="135"/>
      <c r="JZ36" s="135"/>
      <c r="KA36" s="135"/>
      <c r="KB36" s="135"/>
      <c r="KC36" s="135"/>
      <c r="KD36" s="135"/>
      <c r="KE36" s="135"/>
      <c r="KF36" s="135"/>
      <c r="KG36" s="135"/>
      <c r="KH36" s="135"/>
      <c r="KI36" s="135"/>
      <c r="KJ36" s="135"/>
      <c r="KK36" s="135"/>
      <c r="KL36" s="135"/>
      <c r="KM36" s="135"/>
      <c r="KN36" s="135"/>
      <c r="KO36" s="135"/>
      <c r="KP36" s="135"/>
      <c r="KQ36" s="135"/>
      <c r="KR36" s="135"/>
      <c r="KS36" s="135"/>
      <c r="KT36" s="135"/>
      <c r="KU36" s="135"/>
      <c r="KV36" s="135"/>
      <c r="KW36" s="135"/>
      <c r="KX36" s="135"/>
      <c r="KY36" s="135"/>
      <c r="KZ36" s="135"/>
      <c r="LA36" s="135"/>
      <c r="LB36" s="135"/>
      <c r="LC36" s="135"/>
      <c r="LD36" s="135"/>
      <c r="LE36" s="135"/>
      <c r="LF36" s="135"/>
      <c r="LG36" s="135"/>
      <c r="LH36" s="135"/>
      <c r="LI36" s="135"/>
      <c r="LJ36" s="135"/>
      <c r="LK36" s="135"/>
      <c r="LL36" s="135"/>
      <c r="LM36" s="135"/>
      <c r="LN36" s="135"/>
      <c r="LO36" s="135"/>
      <c r="LP36" s="135"/>
      <c r="LQ36" s="135"/>
      <c r="LR36" s="135"/>
      <c r="LS36" s="135"/>
      <c r="LT36" s="135"/>
      <c r="LU36" s="135"/>
      <c r="LV36" s="135"/>
      <c r="LW36" s="135"/>
      <c r="LX36" s="135"/>
      <c r="LY36" s="135"/>
      <c r="LZ36" s="135"/>
      <c r="MA36" s="135"/>
      <c r="MB36" s="135"/>
      <c r="MC36" s="135"/>
      <c r="MD36" s="135"/>
      <c r="ME36" s="135"/>
      <c r="MF36" s="135"/>
      <c r="MG36" s="135"/>
      <c r="MH36" s="135"/>
      <c r="MI36" s="135"/>
      <c r="MJ36" s="135"/>
      <c r="MK36" s="135"/>
      <c r="ML36" s="135"/>
      <c r="MM36" s="135"/>
      <c r="MN36" s="135"/>
      <c r="MO36" s="135"/>
      <c r="MP36" s="135"/>
      <c r="MQ36" s="135"/>
      <c r="MR36" s="135"/>
      <c r="MS36" s="135"/>
      <c r="MT36" s="135"/>
      <c r="MU36" s="135"/>
      <c r="MV36" s="135"/>
      <c r="MW36" s="135"/>
      <c r="MX36" s="135"/>
      <c r="MY36" s="135"/>
      <c r="MZ36" s="135"/>
      <c r="NA36" s="135"/>
      <c r="NB36" s="135"/>
      <c r="NC36" s="135"/>
      <c r="ND36" s="135"/>
      <c r="NE36" s="135"/>
      <c r="NF36" s="135"/>
      <c r="NG36" s="135"/>
      <c r="NH36" s="135"/>
      <c r="NI36" s="135"/>
      <c r="NJ36" s="135"/>
      <c r="NK36" s="135"/>
      <c r="NL36" s="135"/>
      <c r="NM36" s="135"/>
      <c r="NN36" s="135"/>
      <c r="NO36" s="135"/>
      <c r="NP36" s="135"/>
      <c r="NQ36" s="135"/>
      <c r="NR36" s="135"/>
      <c r="NS36" s="135"/>
      <c r="NT36" s="135"/>
      <c r="NU36" s="135"/>
      <c r="NV36" s="135"/>
      <c r="NW36" s="135"/>
      <c r="NX36" s="135"/>
      <c r="NY36" s="135"/>
      <c r="NZ36" s="135"/>
      <c r="OA36" s="135"/>
      <c r="OB36" s="135"/>
      <c r="OC36" s="135"/>
      <c r="OD36" s="135"/>
      <c r="OE36" s="135"/>
      <c r="OF36" s="135"/>
      <c r="OG36" s="135"/>
      <c r="OH36" s="135"/>
      <c r="OI36" s="135"/>
      <c r="OJ36" s="135"/>
      <c r="OK36" s="135"/>
      <c r="OL36" s="135"/>
      <c r="OM36" s="135"/>
      <c r="ON36" s="135"/>
      <c r="OO36" s="135"/>
      <c r="OP36" s="135"/>
      <c r="OQ36" s="135"/>
      <c r="OR36" s="135"/>
      <c r="OS36" s="135"/>
      <c r="OT36" s="135"/>
      <c r="OU36" s="135"/>
      <c r="OV36" s="135"/>
      <c r="OW36" s="135"/>
      <c r="OX36" s="135"/>
      <c r="OY36" s="135"/>
      <c r="OZ36" s="135"/>
      <c r="PA36" s="135"/>
      <c r="PB36" s="135"/>
      <c r="PC36" s="135"/>
      <c r="PD36" s="135"/>
      <c r="PE36" s="135"/>
      <c r="PF36" s="135"/>
      <c r="PG36" s="135"/>
      <c r="PH36" s="135"/>
      <c r="PI36" s="135"/>
      <c r="PJ36" s="135"/>
      <c r="PK36" s="135"/>
      <c r="PL36" s="135"/>
      <c r="PM36" s="135"/>
      <c r="PN36" s="135"/>
      <c r="PO36" s="135"/>
      <c r="PP36" s="135"/>
      <c r="PQ36" s="135"/>
      <c r="PR36" s="135"/>
      <c r="PS36" s="135"/>
      <c r="PT36" s="135"/>
      <c r="PU36" s="135"/>
      <c r="PV36" s="135"/>
      <c r="PW36" s="135"/>
      <c r="PX36" s="135"/>
      <c r="PY36" s="135"/>
      <c r="PZ36" s="135"/>
      <c r="QA36" s="135"/>
      <c r="QB36" s="135"/>
      <c r="QC36" s="135"/>
      <c r="QD36" s="135"/>
      <c r="QE36" s="135"/>
      <c r="QF36" s="135"/>
      <c r="QG36" s="135"/>
      <c r="QH36" s="135"/>
      <c r="QI36" s="135"/>
      <c r="QJ36" s="135"/>
      <c r="QK36" s="135"/>
      <c r="QL36" s="135"/>
      <c r="QM36" s="135"/>
      <c r="QN36" s="135"/>
      <c r="QO36" s="135"/>
      <c r="QP36" s="135"/>
      <c r="QQ36" s="135"/>
      <c r="QR36" s="135"/>
      <c r="QS36" s="135"/>
      <c r="QT36" s="135"/>
      <c r="QU36" s="135"/>
      <c r="QV36" s="135"/>
      <c r="QW36" s="135"/>
      <c r="QX36" s="135"/>
      <c r="QY36" s="135"/>
      <c r="QZ36" s="135"/>
      <c r="RA36" s="135"/>
      <c r="RB36" s="135"/>
      <c r="RC36" s="135"/>
      <c r="RD36" s="135"/>
      <c r="RE36" s="135"/>
      <c r="RF36" s="135"/>
      <c r="RG36" s="135"/>
      <c r="RH36" s="135"/>
      <c r="RI36" s="135"/>
      <c r="RJ36" s="135"/>
      <c r="RK36" s="135"/>
      <c r="RL36" s="135"/>
      <c r="RM36" s="135"/>
      <c r="RN36" s="135"/>
      <c r="RO36" s="135"/>
      <c r="RP36" s="135"/>
      <c r="RQ36" s="135"/>
      <c r="RR36" s="135"/>
      <c r="RS36" s="135"/>
      <c r="RT36" s="135"/>
      <c r="RU36" s="135"/>
      <c r="RV36" s="135"/>
      <c r="RW36" s="135"/>
      <c r="RX36" s="135"/>
      <c r="RY36" s="135"/>
      <c r="RZ36" s="135"/>
      <c r="SA36" s="135"/>
      <c r="SB36" s="135"/>
      <c r="SC36" s="135"/>
      <c r="SD36" s="135"/>
      <c r="SE36" s="135"/>
      <c r="SF36" s="135"/>
      <c r="SG36" s="135"/>
      <c r="SH36" s="135"/>
      <c r="SI36" s="135"/>
      <c r="SJ36" s="135"/>
      <c r="SK36" s="135"/>
      <c r="SL36" s="135"/>
      <c r="SM36" s="135"/>
      <c r="SN36" s="135"/>
      <c r="SO36" s="135"/>
      <c r="SP36" s="135"/>
      <c r="SQ36" s="135"/>
      <c r="SR36" s="135"/>
      <c r="SS36" s="135"/>
      <c r="ST36" s="135"/>
      <c r="SU36" s="135"/>
      <c r="SV36" s="135"/>
      <c r="SW36" s="135"/>
      <c r="SX36" s="135"/>
      <c r="SY36" s="135"/>
      <c r="SZ36" s="135"/>
      <c r="TA36" s="135"/>
      <c r="TB36" s="135"/>
      <c r="TC36" s="135"/>
      <c r="TD36" s="135"/>
      <c r="TE36" s="135"/>
      <c r="TF36" s="135"/>
      <c r="TG36" s="135"/>
      <c r="TH36" s="135"/>
      <c r="TI36" s="135"/>
      <c r="TJ36" s="135"/>
      <c r="TK36" s="135"/>
      <c r="TL36" s="135"/>
      <c r="TM36" s="135"/>
      <c r="TN36" s="135"/>
      <c r="TO36" s="135"/>
      <c r="TP36" s="135"/>
      <c r="TQ36" s="135"/>
      <c r="TR36" s="135"/>
      <c r="TS36" s="135"/>
      <c r="TT36" s="135"/>
      <c r="TU36" s="135"/>
      <c r="TV36" s="135"/>
      <c r="TW36" s="135"/>
      <c r="TX36" s="135"/>
      <c r="TY36" s="135"/>
      <c r="TZ36" s="135"/>
      <c r="UA36" s="135"/>
      <c r="UB36" s="135"/>
      <c r="UC36" s="135"/>
      <c r="UD36" s="135"/>
      <c r="UE36" s="135"/>
      <c r="UF36" s="135"/>
      <c r="UG36" s="135"/>
      <c r="UH36" s="135"/>
      <c r="UI36" s="135"/>
      <c r="UJ36" s="135"/>
      <c r="UK36" s="135"/>
      <c r="UL36" s="135"/>
      <c r="UM36" s="135"/>
      <c r="UN36" s="135"/>
      <c r="UO36" s="135"/>
      <c r="UP36" s="135"/>
      <c r="UQ36" s="135"/>
      <c r="UR36" s="135"/>
      <c r="US36" s="135"/>
      <c r="UT36" s="135"/>
      <c r="UU36" s="135"/>
      <c r="UV36" s="135"/>
      <c r="UW36" s="135"/>
      <c r="UX36" s="135"/>
      <c r="UY36" s="135"/>
      <c r="UZ36" s="135"/>
      <c r="VA36" s="135"/>
      <c r="VB36" s="135"/>
      <c r="VC36" s="135"/>
      <c r="VD36" s="135"/>
      <c r="VE36" s="135"/>
      <c r="VF36" s="135"/>
      <c r="VG36" s="135"/>
      <c r="VH36" s="135"/>
      <c r="VI36" s="135"/>
      <c r="VJ36" s="135"/>
      <c r="VK36" s="135"/>
      <c r="VL36" s="135"/>
      <c r="VM36" s="135"/>
      <c r="VN36" s="135"/>
      <c r="VO36" s="135"/>
      <c r="VP36" s="135"/>
      <c r="VQ36" s="135"/>
      <c r="VR36" s="135"/>
      <c r="VS36" s="135"/>
      <c r="VT36" s="135"/>
      <c r="VU36" s="135"/>
      <c r="VV36" s="135"/>
      <c r="VW36" s="135"/>
      <c r="VX36" s="135"/>
      <c r="VY36" s="135"/>
      <c r="VZ36" s="135"/>
      <c r="WA36" s="135"/>
      <c r="WB36" s="135"/>
      <c r="WC36" s="135"/>
      <c r="WD36" s="135"/>
      <c r="WE36" s="135"/>
      <c r="WF36" s="135"/>
      <c r="WG36" s="135"/>
      <c r="WH36" s="135"/>
      <c r="WI36" s="135"/>
      <c r="WJ36" s="135"/>
      <c r="WK36" s="135"/>
      <c r="WL36" s="135"/>
      <c r="WM36" s="135"/>
      <c r="WN36" s="135"/>
      <c r="WO36" s="135"/>
      <c r="WP36" s="135"/>
      <c r="WQ36" s="135"/>
      <c r="WR36" s="135"/>
      <c r="WS36" s="135"/>
      <c r="WT36" s="135"/>
      <c r="WU36" s="135"/>
      <c r="WV36" s="135"/>
      <c r="WW36" s="135"/>
      <c r="WX36" s="135"/>
      <c r="WY36" s="135"/>
      <c r="WZ36" s="135"/>
      <c r="XA36" s="135"/>
      <c r="XB36" s="135"/>
      <c r="XC36" s="135"/>
      <c r="XD36" s="135"/>
      <c r="XE36" s="135"/>
      <c r="XF36" s="135"/>
      <c r="XG36" s="135"/>
      <c r="XH36" s="135"/>
      <c r="XI36" s="135"/>
      <c r="XJ36" s="135"/>
      <c r="XK36" s="135"/>
      <c r="XL36" s="135"/>
      <c r="XM36" s="135"/>
      <c r="XN36" s="135"/>
      <c r="XO36" s="135"/>
      <c r="XP36" s="135"/>
      <c r="XQ36" s="135"/>
      <c r="XR36" s="135"/>
      <c r="XS36" s="135"/>
      <c r="XT36" s="135"/>
      <c r="XU36" s="135"/>
      <c r="XV36" s="135"/>
      <c r="XW36" s="135"/>
      <c r="XX36" s="135"/>
      <c r="XY36" s="135"/>
      <c r="XZ36" s="135"/>
      <c r="YA36" s="135"/>
      <c r="YB36" s="135"/>
      <c r="YC36" s="135"/>
      <c r="YD36" s="135"/>
      <c r="YE36" s="135"/>
      <c r="YF36" s="135"/>
      <c r="YG36" s="135"/>
      <c r="YH36" s="135"/>
      <c r="YI36" s="135"/>
      <c r="YJ36" s="135"/>
      <c r="YK36" s="135"/>
      <c r="YL36" s="135"/>
      <c r="YM36" s="135"/>
      <c r="YN36" s="135"/>
      <c r="YO36" s="135"/>
      <c r="YP36" s="135"/>
      <c r="YQ36" s="135"/>
      <c r="YR36" s="135"/>
      <c r="YS36" s="135"/>
      <c r="YT36" s="135"/>
      <c r="YU36" s="135"/>
      <c r="YV36" s="135"/>
      <c r="YW36" s="135"/>
      <c r="YX36" s="135"/>
      <c r="YY36" s="135"/>
      <c r="YZ36" s="135"/>
      <c r="ZA36" s="135"/>
      <c r="ZB36" s="135"/>
      <c r="ZC36" s="135"/>
      <c r="ZD36" s="135"/>
      <c r="ZE36" s="135"/>
      <c r="ZF36" s="135"/>
      <c r="ZG36" s="135"/>
      <c r="ZH36" s="135"/>
      <c r="ZI36" s="135"/>
      <c r="ZJ36" s="135"/>
      <c r="ZK36" s="135"/>
      <c r="ZL36" s="135"/>
      <c r="ZM36" s="135"/>
      <c r="ZN36" s="135"/>
      <c r="ZO36" s="135"/>
      <c r="ZP36" s="135"/>
      <c r="ZQ36" s="135"/>
      <c r="ZR36" s="135"/>
      <c r="ZS36" s="135"/>
      <c r="ZT36" s="135"/>
      <c r="ZU36" s="135"/>
      <c r="ZV36" s="135"/>
      <c r="ZW36" s="135"/>
      <c r="ZX36" s="135"/>
      <c r="ZY36" s="135"/>
      <c r="ZZ36" s="135"/>
    </row>
    <row r="37" spans="1:702" outlineLevel="1" x14ac:dyDescent="0.2">
      <c r="A37" s="142" t="s">
        <v>674</v>
      </c>
      <c r="B37" s="143">
        <v>2.0259999999999998</v>
      </c>
    </row>
    <row r="38" spans="1:702" x14ac:dyDescent="0.2">
      <c r="A38" s="138"/>
    </row>
    <row r="39" spans="1:702" hidden="1" x14ac:dyDescent="0.2">
      <c r="A39" s="119" t="s">
        <v>756</v>
      </c>
    </row>
    <row r="40" spans="1:702" ht="12" hidden="1" outlineLevel="1" thickBot="1" x14ac:dyDescent="0.25">
      <c r="A40" s="144" t="s">
        <v>631</v>
      </c>
      <c r="B40" s="120" t="s">
        <v>675</v>
      </c>
    </row>
    <row r="41" spans="1:702" ht="12" hidden="1" outlineLevel="1" thickBot="1" x14ac:dyDescent="0.25">
      <c r="A41" s="137" t="s">
        <v>638</v>
      </c>
      <c r="B41" s="145">
        <v>1</v>
      </c>
      <c r="C41" s="146" t="s">
        <v>757</v>
      </c>
    </row>
    <row r="42" spans="1:702" ht="12" hidden="1" outlineLevel="1" thickBot="1" x14ac:dyDescent="0.25">
      <c r="A42" s="137" t="s">
        <v>639</v>
      </c>
      <c r="B42" s="145">
        <v>-0.12134366054949665</v>
      </c>
      <c r="C42" s="145">
        <v>1</v>
      </c>
      <c r="D42" s="146" t="s">
        <v>676</v>
      </c>
    </row>
    <row r="43" spans="1:702" ht="12" hidden="1" outlineLevel="1" thickBot="1" x14ac:dyDescent="0.25">
      <c r="A43" s="137" t="s">
        <v>640</v>
      </c>
      <c r="B43" s="145">
        <v>-0.66740868056596636</v>
      </c>
      <c r="C43" s="115">
        <v>-0.39339745213297411</v>
      </c>
      <c r="D43" s="145">
        <v>1</v>
      </c>
      <c r="E43" s="146" t="s">
        <v>758</v>
      </c>
    </row>
    <row r="44" spans="1:702" ht="12" hidden="1" outlineLevel="1" thickBot="1" x14ac:dyDescent="0.25">
      <c r="A44" s="137" t="s">
        <v>641</v>
      </c>
      <c r="B44" s="145">
        <v>0.19785333754900225</v>
      </c>
      <c r="C44" s="116">
        <v>-0.79029543594559282</v>
      </c>
      <c r="D44" s="145">
        <v>-5.6776399093317699E-2</v>
      </c>
      <c r="E44" s="145">
        <v>1</v>
      </c>
      <c r="F44" s="146" t="s">
        <v>759</v>
      </c>
    </row>
    <row r="45" spans="1:702" ht="12" hidden="1" outlineLevel="1" thickBot="1" x14ac:dyDescent="0.25">
      <c r="A45" s="137" t="s">
        <v>642</v>
      </c>
      <c r="B45" s="145">
        <v>-6.6530338547699783E-2</v>
      </c>
      <c r="C45" s="145">
        <v>9.5043331726882965E-2</v>
      </c>
      <c r="D45" s="115">
        <v>-0.39237677327659048</v>
      </c>
      <c r="E45" s="115">
        <v>0.28721792689468206</v>
      </c>
      <c r="F45" s="145">
        <v>1</v>
      </c>
      <c r="G45" s="146" t="s">
        <v>677</v>
      </c>
    </row>
    <row r="46" spans="1:702" ht="12" hidden="1" outlineLevel="1" thickBot="1" x14ac:dyDescent="0.25">
      <c r="A46" s="137" t="s">
        <v>643</v>
      </c>
      <c r="B46" s="145">
        <v>-0.33655154747799648</v>
      </c>
      <c r="C46" s="145">
        <v>4.8955560572922212E-2</v>
      </c>
      <c r="D46" s="115">
        <v>0.10748599850986243</v>
      </c>
      <c r="E46" s="145">
        <v>1.7471052242071176E-2</v>
      </c>
      <c r="F46" s="145">
        <v>-3.1590825567538269E-2</v>
      </c>
      <c r="G46" s="145">
        <v>1</v>
      </c>
      <c r="H46" s="146" t="s">
        <v>760</v>
      </c>
    </row>
    <row r="47" spans="1:702" hidden="1" outlineLevel="1" x14ac:dyDescent="0.2">
      <c r="A47" s="137" t="s">
        <v>644</v>
      </c>
      <c r="B47" s="145">
        <v>8.3768669292790379E-2</v>
      </c>
      <c r="C47" s="116">
        <v>0.5871224732932987</v>
      </c>
      <c r="D47" s="116">
        <v>-0.71130520015285292</v>
      </c>
      <c r="E47" s="145">
        <v>-8.3351013576902167E-2</v>
      </c>
      <c r="F47" s="115">
        <v>0.23378407702234147</v>
      </c>
      <c r="G47" s="145">
        <v>4.7979926130877815E-2</v>
      </c>
      <c r="H47" s="145">
        <v>1</v>
      </c>
    </row>
    <row r="48" spans="1:702" collapsed="1" x14ac:dyDescent="0.2">
      <c r="A48" s="138"/>
    </row>
    <row r="49" spans="1:15" hidden="1" x14ac:dyDescent="0.2">
      <c r="A49" s="119" t="s">
        <v>761</v>
      </c>
    </row>
    <row r="50" spans="1:15" ht="12" hidden="1" outlineLevel="1" thickBot="1" x14ac:dyDescent="0.25">
      <c r="A50" s="122" t="s">
        <v>678</v>
      </c>
      <c r="B50" s="122" t="s">
        <v>679</v>
      </c>
      <c r="C50" s="122" t="s">
        <v>680</v>
      </c>
      <c r="D50" s="122" t="str">
        <f>IF($I$10&gt;99%,("Low"&amp;TEXT($I$10,"0.0%")&amp;"F"),("Lower"&amp;TEXT($I$10,"0%")&amp;"F"))</f>
        <v>Lower95%F</v>
      </c>
      <c r="E50" s="122" t="str">
        <f>IF($I$10&gt;99%,("Up"&amp;TEXT($I$10,"0.0%")&amp;"F"),("Upper"&amp;TEXT($I$10,"0%")&amp;"F"))</f>
        <v>Upper95%F</v>
      </c>
      <c r="F50" s="122" t="s">
        <v>681</v>
      </c>
      <c r="G50" s="122" t="str">
        <f>IF($I$10&gt;99%,("Low"&amp;TEXT($I$10,"0.0%")&amp;"M"),("Lower"&amp;TEXT($I$10,"0%")&amp;"M"))</f>
        <v>Lower95%M</v>
      </c>
      <c r="H50" s="122" t="str">
        <f>IF($I$10&gt;99%,("Up"&amp;TEXT($I$10,"0.0%")&amp;"M"),("Upper"&amp;TEXT($I$10,"0%")&amp;"M"))</f>
        <v>Upper95%M</v>
      </c>
      <c r="I50" s="130" t="s">
        <v>762</v>
      </c>
      <c r="J50" s="130" t="s">
        <v>682</v>
      </c>
      <c r="K50" s="130" t="s">
        <v>763</v>
      </c>
      <c r="L50" s="130" t="s">
        <v>764</v>
      </c>
      <c r="M50" s="130" t="s">
        <v>683</v>
      </c>
      <c r="N50" s="130" t="s">
        <v>765</v>
      </c>
    </row>
    <row r="51" spans="1:15" hidden="1" outlineLevel="1" x14ac:dyDescent="0.2">
      <c r="I51" s="147"/>
      <c r="J51" s="147"/>
      <c r="K51" s="147"/>
      <c r="L51" s="147"/>
      <c r="M51" s="147"/>
      <c r="N51" s="147"/>
      <c r="O51" s="147"/>
    </row>
    <row r="52" spans="1:15" hidden="1" outlineLevel="1" x14ac:dyDescent="0.2">
      <c r="I52" s="147"/>
      <c r="J52" s="147"/>
      <c r="K52" s="147"/>
      <c r="L52" s="147"/>
      <c r="M52" s="147"/>
      <c r="N52" s="147"/>
      <c r="O52" s="147"/>
    </row>
    <row r="53" spans="1:15" hidden="1" outlineLevel="1" x14ac:dyDescent="0.2">
      <c r="I53" s="147"/>
      <c r="J53" s="147"/>
      <c r="K53" s="147"/>
      <c r="L53" s="147"/>
      <c r="M53" s="147"/>
      <c r="N53" s="147"/>
      <c r="O53" s="147"/>
    </row>
    <row r="54" spans="1:15" hidden="1" outlineLevel="1" x14ac:dyDescent="0.2">
      <c r="A54" s="117" t="s">
        <v>684</v>
      </c>
      <c r="I54" s="147"/>
      <c r="J54" s="147"/>
      <c r="K54" s="147"/>
      <c r="L54" s="147"/>
      <c r="M54" s="147"/>
      <c r="N54" s="147"/>
      <c r="O54" s="147"/>
    </row>
    <row r="55" spans="1:15" hidden="1" outlineLevel="1" x14ac:dyDescent="0.2">
      <c r="I55" s="147"/>
      <c r="J55" s="147"/>
      <c r="K55" s="147"/>
      <c r="L55" s="147"/>
      <c r="M55" s="147"/>
      <c r="N55" s="147"/>
      <c r="O55" s="147"/>
    </row>
    <row r="56" spans="1:15" hidden="1" outlineLevel="1" x14ac:dyDescent="0.2"/>
    <row r="57" spans="1:15" hidden="1" outlineLevel="1" x14ac:dyDescent="0.2"/>
    <row r="58" spans="1:15" hidden="1" outlineLevel="1" x14ac:dyDescent="0.2"/>
    <row r="59" spans="1:15" hidden="1" outlineLevel="1" x14ac:dyDescent="0.2"/>
    <row r="60" spans="1:15" hidden="1" outlineLevel="1" x14ac:dyDescent="0.2"/>
    <row r="61" spans="1:15" hidden="1" outlineLevel="1" x14ac:dyDescent="0.2"/>
    <row r="62" spans="1:15" hidden="1" outlineLevel="1" x14ac:dyDescent="0.2"/>
    <row r="63" spans="1:15" hidden="1" outlineLevel="1" x14ac:dyDescent="0.2"/>
    <row r="64" spans="1:15" hidden="1" outlineLevel="1" x14ac:dyDescent="0.2"/>
    <row r="65" spans="1:3" hidden="1" outlineLevel="1" x14ac:dyDescent="0.2"/>
    <row r="66" spans="1:3" hidden="1" outlineLevel="1" x14ac:dyDescent="0.2"/>
    <row r="67" spans="1:3" hidden="1" outlineLevel="1" x14ac:dyDescent="0.2"/>
    <row r="68" spans="1:3" hidden="1" outlineLevel="1" x14ac:dyDescent="0.2"/>
    <row r="69" spans="1:3" hidden="1" outlineLevel="1" x14ac:dyDescent="0.2"/>
    <row r="70" spans="1:3" hidden="1" outlineLevel="1" x14ac:dyDescent="0.2"/>
    <row r="71" spans="1:3" hidden="1" outlineLevel="1" x14ac:dyDescent="0.2"/>
    <row r="72" spans="1:3" hidden="1" outlineLevel="1" x14ac:dyDescent="0.2"/>
    <row r="73" spans="1:3" hidden="1" outlineLevel="1" x14ac:dyDescent="0.2"/>
    <row r="74" spans="1:3" hidden="1" outlineLevel="1" x14ac:dyDescent="0.2"/>
    <row r="75" spans="1:3" hidden="1" outlineLevel="1" x14ac:dyDescent="0.2"/>
    <row r="76" spans="1:3" collapsed="1" x14ac:dyDescent="0.2">
      <c r="A76" s="139"/>
    </row>
    <row r="77" spans="1:3" hidden="1" x14ac:dyDescent="0.2">
      <c r="A77" s="119" t="s">
        <v>658</v>
      </c>
    </row>
    <row r="78" spans="1:3" outlineLevel="1" x14ac:dyDescent="0.2"/>
    <row r="79" spans="1:3" outlineLevel="1" x14ac:dyDescent="0.2"/>
    <row r="80" spans="1:3" outlineLevel="1" x14ac:dyDescent="0.2">
      <c r="C80" s="135" t="b">
        <v>1</v>
      </c>
    </row>
    <row r="81" outlineLevel="1" x14ac:dyDescent="0.2"/>
    <row r="82" outlineLevel="1" x14ac:dyDescent="0.2"/>
    <row r="83" outlineLevel="1" x14ac:dyDescent="0.2"/>
    <row r="84" outlineLevel="1" x14ac:dyDescent="0.2"/>
    <row r="85" outlineLevel="1" x14ac:dyDescent="0.2"/>
    <row r="86" outlineLevel="1" x14ac:dyDescent="0.2"/>
    <row r="87" outlineLevel="1" x14ac:dyDescent="0.2"/>
    <row r="88" outlineLevel="1" x14ac:dyDescent="0.2"/>
    <row r="89" outlineLevel="1" x14ac:dyDescent="0.2"/>
    <row r="90" outlineLevel="1" x14ac:dyDescent="0.2"/>
    <row r="91" outlineLevel="1" x14ac:dyDescent="0.2"/>
    <row r="92" outlineLevel="1" x14ac:dyDescent="0.2"/>
    <row r="93" outlineLevel="1" x14ac:dyDescent="0.2"/>
    <row r="94" outlineLevel="1" x14ac:dyDescent="0.2"/>
    <row r="95" outlineLevel="1" x14ac:dyDescent="0.2"/>
    <row r="96" outlineLevel="1" x14ac:dyDescent="0.2"/>
    <row r="97" spans="1:1" outlineLevel="1" x14ac:dyDescent="0.2"/>
    <row r="98" spans="1:1" x14ac:dyDescent="0.2">
      <c r="A98" s="139"/>
    </row>
    <row r="99" spans="1:1" hidden="1" x14ac:dyDescent="0.2">
      <c r="A99" s="119" t="s">
        <v>685</v>
      </c>
    </row>
    <row r="100" spans="1:1" outlineLevel="1" x14ac:dyDescent="0.2"/>
    <row r="101" spans="1:1" outlineLevel="1" x14ac:dyDescent="0.2"/>
    <row r="102" spans="1:1" outlineLevel="1" x14ac:dyDescent="0.2"/>
    <row r="103" spans="1:1" outlineLevel="1" x14ac:dyDescent="0.2"/>
    <row r="104" spans="1:1" outlineLevel="1" x14ac:dyDescent="0.2"/>
    <row r="105" spans="1:1" outlineLevel="1" x14ac:dyDescent="0.2"/>
    <row r="106" spans="1:1" outlineLevel="1" x14ac:dyDescent="0.2"/>
    <row r="107" spans="1:1" outlineLevel="1" x14ac:dyDescent="0.2"/>
    <row r="108" spans="1:1" outlineLevel="1" x14ac:dyDescent="0.2"/>
    <row r="109" spans="1:1" outlineLevel="1" x14ac:dyDescent="0.2"/>
    <row r="110" spans="1:1" outlineLevel="1" x14ac:dyDescent="0.2"/>
    <row r="111" spans="1:1" outlineLevel="1" x14ac:dyDescent="0.2"/>
    <row r="112" spans="1:1" outlineLevel="1" x14ac:dyDescent="0.2"/>
    <row r="113" spans="1:1" outlineLevel="1" x14ac:dyDescent="0.2"/>
    <row r="114" spans="1:1" outlineLevel="1" x14ac:dyDescent="0.2"/>
    <row r="115" spans="1:1" outlineLevel="1" x14ac:dyDescent="0.2"/>
    <row r="116" spans="1:1" outlineLevel="1" x14ac:dyDescent="0.2"/>
    <row r="117" spans="1:1" outlineLevel="1" x14ac:dyDescent="0.2"/>
    <row r="118" spans="1:1" outlineLevel="1" x14ac:dyDescent="0.2"/>
    <row r="119" spans="1:1" outlineLevel="1" x14ac:dyDescent="0.2"/>
    <row r="120" spans="1:1" x14ac:dyDescent="0.2">
      <c r="A120" s="139"/>
    </row>
    <row r="121" spans="1:1" hidden="1" x14ac:dyDescent="0.2">
      <c r="A121" s="119" t="s">
        <v>686</v>
      </c>
    </row>
    <row r="122" spans="1:1" outlineLevel="1" x14ac:dyDescent="0.2"/>
    <row r="123" spans="1:1" outlineLevel="1" x14ac:dyDescent="0.2"/>
    <row r="124" spans="1:1" outlineLevel="1" x14ac:dyDescent="0.2"/>
    <row r="125" spans="1:1" outlineLevel="1" x14ac:dyDescent="0.2"/>
    <row r="126" spans="1:1" outlineLevel="1" x14ac:dyDescent="0.2"/>
    <row r="127" spans="1:1" outlineLevel="1" x14ac:dyDescent="0.2"/>
    <row r="128" spans="1:1" outlineLevel="1" x14ac:dyDescent="0.2"/>
    <row r="129" spans="1:1" outlineLevel="1" x14ac:dyDescent="0.2"/>
    <row r="130" spans="1:1" outlineLevel="1" x14ac:dyDescent="0.2"/>
    <row r="131" spans="1:1" outlineLevel="1" x14ac:dyDescent="0.2"/>
    <row r="132" spans="1:1" outlineLevel="1" x14ac:dyDescent="0.2"/>
    <row r="133" spans="1:1" outlineLevel="1" x14ac:dyDescent="0.2"/>
    <row r="134" spans="1:1" outlineLevel="1" x14ac:dyDescent="0.2"/>
    <row r="135" spans="1:1" outlineLevel="1" x14ac:dyDescent="0.2"/>
    <row r="136" spans="1:1" outlineLevel="1" x14ac:dyDescent="0.2"/>
    <row r="137" spans="1:1" outlineLevel="1" x14ac:dyDescent="0.2"/>
    <row r="138" spans="1:1" outlineLevel="1" x14ac:dyDescent="0.2"/>
    <row r="139" spans="1:1" outlineLevel="1" x14ac:dyDescent="0.2"/>
    <row r="140" spans="1:1" outlineLevel="1" x14ac:dyDescent="0.2"/>
    <row r="141" spans="1:1" outlineLevel="1" x14ac:dyDescent="0.2"/>
    <row r="142" spans="1:1" x14ac:dyDescent="0.2">
      <c r="A142" s="139"/>
    </row>
    <row r="143" spans="1:1" hidden="1" x14ac:dyDescent="0.2">
      <c r="A143" s="119" t="s">
        <v>687</v>
      </c>
    </row>
    <row r="144" spans="1:1" outlineLevel="1" x14ac:dyDescent="0.2"/>
    <row r="145" outlineLevel="1" x14ac:dyDescent="0.2"/>
    <row r="146" outlineLevel="1" x14ac:dyDescent="0.2"/>
    <row r="147" outlineLevel="1" x14ac:dyDescent="0.2"/>
    <row r="148" outlineLevel="1" x14ac:dyDescent="0.2"/>
    <row r="149" outlineLevel="1" x14ac:dyDescent="0.2"/>
    <row r="150" outlineLevel="1" x14ac:dyDescent="0.2"/>
    <row r="151" outlineLevel="1" x14ac:dyDescent="0.2"/>
    <row r="152" outlineLevel="1" x14ac:dyDescent="0.2"/>
    <row r="153" outlineLevel="1" x14ac:dyDescent="0.2"/>
    <row r="154" outlineLevel="1" x14ac:dyDescent="0.2"/>
    <row r="155" outlineLevel="1" x14ac:dyDescent="0.2"/>
    <row r="156" outlineLevel="1" x14ac:dyDescent="0.2"/>
    <row r="157" outlineLevel="1" x14ac:dyDescent="0.2"/>
    <row r="158" outlineLevel="1" x14ac:dyDescent="0.2"/>
    <row r="159" outlineLevel="1" x14ac:dyDescent="0.2"/>
    <row r="160" outlineLevel="1" x14ac:dyDescent="0.2"/>
    <row r="161" spans="1:1" outlineLevel="1" x14ac:dyDescent="0.2"/>
    <row r="162" spans="1:1" outlineLevel="1" x14ac:dyDescent="0.2"/>
    <row r="163" spans="1:1" outlineLevel="1" x14ac:dyDescent="0.2"/>
    <row r="164" spans="1:1" x14ac:dyDescent="0.2">
      <c r="A164" s="139"/>
    </row>
    <row r="165" spans="1:1" hidden="1" x14ac:dyDescent="0.2">
      <c r="A165" s="119" t="s">
        <v>688</v>
      </c>
    </row>
    <row r="166" spans="1:1" outlineLevel="1" x14ac:dyDescent="0.2"/>
    <row r="167" spans="1:1" outlineLevel="1" x14ac:dyDescent="0.2"/>
    <row r="168" spans="1:1" outlineLevel="1" x14ac:dyDescent="0.2"/>
    <row r="169" spans="1:1" outlineLevel="1" x14ac:dyDescent="0.2"/>
    <row r="170" spans="1:1" outlineLevel="1" x14ac:dyDescent="0.2"/>
    <row r="171" spans="1:1" outlineLevel="1" x14ac:dyDescent="0.2"/>
    <row r="172" spans="1:1" outlineLevel="1" x14ac:dyDescent="0.2"/>
    <row r="173" spans="1:1" outlineLevel="1" x14ac:dyDescent="0.2"/>
    <row r="174" spans="1:1" outlineLevel="1" x14ac:dyDescent="0.2"/>
    <row r="175" spans="1:1" outlineLevel="1" x14ac:dyDescent="0.2"/>
    <row r="176" spans="1:1" outlineLevel="1" x14ac:dyDescent="0.2"/>
    <row r="177" spans="1:1" outlineLevel="1" x14ac:dyDescent="0.2"/>
    <row r="178" spans="1:1" outlineLevel="1" x14ac:dyDescent="0.2"/>
    <row r="179" spans="1:1" outlineLevel="1" x14ac:dyDescent="0.2"/>
    <row r="180" spans="1:1" outlineLevel="1" x14ac:dyDescent="0.2"/>
    <row r="181" spans="1:1" outlineLevel="1" x14ac:dyDescent="0.2"/>
    <row r="182" spans="1:1" outlineLevel="1" x14ac:dyDescent="0.2"/>
    <row r="183" spans="1:1" outlineLevel="1" x14ac:dyDescent="0.2"/>
    <row r="184" spans="1:1" outlineLevel="1" x14ac:dyDescent="0.2"/>
    <row r="185" spans="1:1" outlineLevel="1" x14ac:dyDescent="0.2"/>
    <row r="186" spans="1:1" x14ac:dyDescent="0.2">
      <c r="A186" s="139"/>
    </row>
    <row r="187" spans="1:1" hidden="1" x14ac:dyDescent="0.2">
      <c r="A187" s="119" t="s">
        <v>689</v>
      </c>
    </row>
    <row r="188" spans="1:1" hidden="1" outlineLevel="1" x14ac:dyDescent="0.2"/>
    <row r="189" spans="1:1" hidden="1" outlineLevel="1" x14ac:dyDescent="0.2">
      <c r="A189" s="148" t="s">
        <v>701</v>
      </c>
    </row>
    <row r="190" spans="1:1" hidden="1" outlineLevel="1" x14ac:dyDescent="0.2"/>
    <row r="191" spans="1:1" hidden="1" outlineLevel="1" x14ac:dyDescent="0.2"/>
    <row r="192" spans="1:1" hidden="1" outlineLevel="1" x14ac:dyDescent="0.2"/>
    <row r="193" hidden="1" outlineLevel="1" x14ac:dyDescent="0.2"/>
    <row r="194" hidden="1" outlineLevel="1" x14ac:dyDescent="0.2"/>
    <row r="195" hidden="1" outlineLevel="1" x14ac:dyDescent="0.2"/>
    <row r="196" hidden="1" outlineLevel="1" x14ac:dyDescent="0.2"/>
    <row r="197" hidden="1" outlineLevel="1" x14ac:dyDescent="0.2"/>
    <row r="198" hidden="1" outlineLevel="1" x14ac:dyDescent="0.2"/>
    <row r="199" hidden="1" outlineLevel="1" x14ac:dyDescent="0.2"/>
    <row r="200" hidden="1" outlineLevel="1" x14ac:dyDescent="0.2"/>
    <row r="201" hidden="1" outlineLevel="1" x14ac:dyDescent="0.2"/>
    <row r="202" hidden="1" outlineLevel="1" x14ac:dyDescent="0.2"/>
    <row r="203" hidden="1" outlineLevel="1" x14ac:dyDescent="0.2"/>
    <row r="204" hidden="1" outlineLevel="1" x14ac:dyDescent="0.2"/>
    <row r="205" hidden="1" outlineLevel="1" x14ac:dyDescent="0.2"/>
    <row r="206" hidden="1" outlineLevel="1" x14ac:dyDescent="0.2"/>
    <row r="207" hidden="1" outlineLevel="1" x14ac:dyDescent="0.2"/>
    <row r="208" hidden="1" outlineLevel="1" x14ac:dyDescent="0.2"/>
    <row r="209" spans="1:1" hidden="1" outlineLevel="1" x14ac:dyDescent="0.2"/>
    <row r="210" spans="1:1" hidden="1" outlineLevel="1" x14ac:dyDescent="0.2"/>
    <row r="211" spans="1:1" hidden="1" outlineLevel="1" x14ac:dyDescent="0.2">
      <c r="A211" s="148" t="s">
        <v>690</v>
      </c>
    </row>
    <row r="212" spans="1:1" hidden="1" outlineLevel="1" x14ac:dyDescent="0.2"/>
    <row r="213" spans="1:1" hidden="1" outlineLevel="1" x14ac:dyDescent="0.2"/>
    <row r="214" spans="1:1" hidden="1" outlineLevel="1" x14ac:dyDescent="0.2"/>
    <row r="215" spans="1:1" hidden="1" outlineLevel="1" x14ac:dyDescent="0.2"/>
    <row r="216" spans="1:1" hidden="1" outlineLevel="1" x14ac:dyDescent="0.2"/>
    <row r="217" spans="1:1" hidden="1" outlineLevel="1" x14ac:dyDescent="0.2"/>
    <row r="218" spans="1:1" hidden="1" outlineLevel="1" x14ac:dyDescent="0.2"/>
    <row r="219" spans="1:1" hidden="1" outlineLevel="1" x14ac:dyDescent="0.2"/>
    <row r="220" spans="1:1" hidden="1" outlineLevel="1" x14ac:dyDescent="0.2"/>
    <row r="221" spans="1:1" hidden="1" outlineLevel="1" x14ac:dyDescent="0.2"/>
    <row r="222" spans="1:1" hidden="1" outlineLevel="1" x14ac:dyDescent="0.2"/>
    <row r="223" spans="1:1" hidden="1" outlineLevel="1" x14ac:dyDescent="0.2"/>
    <row r="224" spans="1:1" hidden="1" outlineLevel="1" x14ac:dyDescent="0.2"/>
    <row r="225" spans="1:1" hidden="1" outlineLevel="1" x14ac:dyDescent="0.2"/>
    <row r="226" spans="1:1" hidden="1" outlineLevel="1" x14ac:dyDescent="0.2"/>
    <row r="227" spans="1:1" hidden="1" outlineLevel="1" x14ac:dyDescent="0.2"/>
    <row r="228" spans="1:1" hidden="1" outlineLevel="1" x14ac:dyDescent="0.2"/>
    <row r="229" spans="1:1" hidden="1" outlineLevel="1" x14ac:dyDescent="0.2"/>
    <row r="230" spans="1:1" hidden="1" outlineLevel="1" x14ac:dyDescent="0.2"/>
    <row r="231" spans="1:1" hidden="1" outlineLevel="1" x14ac:dyDescent="0.2"/>
    <row r="232" spans="1:1" hidden="1" outlineLevel="1" x14ac:dyDescent="0.2"/>
    <row r="233" spans="1:1" hidden="1" outlineLevel="1" x14ac:dyDescent="0.2">
      <c r="A233" s="148" t="s">
        <v>702</v>
      </c>
    </row>
    <row r="234" spans="1:1" hidden="1" outlineLevel="1" x14ac:dyDescent="0.2"/>
    <row r="235" spans="1:1" hidden="1" outlineLevel="1" x14ac:dyDescent="0.2"/>
    <row r="236" spans="1:1" hidden="1" outlineLevel="1" x14ac:dyDescent="0.2"/>
    <row r="237" spans="1:1" hidden="1" outlineLevel="1" x14ac:dyDescent="0.2"/>
    <row r="238" spans="1:1" hidden="1" outlineLevel="1" x14ac:dyDescent="0.2"/>
    <row r="239" spans="1:1" hidden="1" outlineLevel="1" x14ac:dyDescent="0.2"/>
    <row r="240" spans="1:1" hidden="1" outlineLevel="1" x14ac:dyDescent="0.2"/>
    <row r="241" spans="1:1" hidden="1" outlineLevel="1" x14ac:dyDescent="0.2"/>
    <row r="242" spans="1:1" hidden="1" outlineLevel="1" x14ac:dyDescent="0.2"/>
    <row r="243" spans="1:1" hidden="1" outlineLevel="1" x14ac:dyDescent="0.2"/>
    <row r="244" spans="1:1" hidden="1" outlineLevel="1" x14ac:dyDescent="0.2"/>
    <row r="245" spans="1:1" hidden="1" outlineLevel="1" x14ac:dyDescent="0.2"/>
    <row r="246" spans="1:1" hidden="1" outlineLevel="1" x14ac:dyDescent="0.2"/>
    <row r="247" spans="1:1" hidden="1" outlineLevel="1" x14ac:dyDescent="0.2"/>
    <row r="248" spans="1:1" hidden="1" outlineLevel="1" x14ac:dyDescent="0.2"/>
    <row r="249" spans="1:1" hidden="1" outlineLevel="1" x14ac:dyDescent="0.2"/>
    <row r="250" spans="1:1" hidden="1" outlineLevel="1" x14ac:dyDescent="0.2"/>
    <row r="251" spans="1:1" hidden="1" outlineLevel="1" x14ac:dyDescent="0.2"/>
    <row r="252" spans="1:1" hidden="1" outlineLevel="1" x14ac:dyDescent="0.2"/>
    <row r="253" spans="1:1" hidden="1" outlineLevel="1" x14ac:dyDescent="0.2"/>
    <row r="254" spans="1:1" hidden="1" outlineLevel="1" x14ac:dyDescent="0.2"/>
    <row r="255" spans="1:1" hidden="1" outlineLevel="1" x14ac:dyDescent="0.2">
      <c r="A255" s="148" t="s">
        <v>703</v>
      </c>
    </row>
    <row r="256" spans="1:1" hidden="1" outlineLevel="1" x14ac:dyDescent="0.2"/>
    <row r="257" hidden="1" outlineLevel="1" x14ac:dyDescent="0.2"/>
    <row r="258" hidden="1" outlineLevel="1" x14ac:dyDescent="0.2"/>
    <row r="259" hidden="1" outlineLevel="1" x14ac:dyDescent="0.2"/>
    <row r="260" hidden="1" outlineLevel="1" x14ac:dyDescent="0.2"/>
    <row r="261" hidden="1" outlineLevel="1" x14ac:dyDescent="0.2"/>
    <row r="262" hidden="1" outlineLevel="1" x14ac:dyDescent="0.2"/>
    <row r="263" hidden="1" outlineLevel="1" x14ac:dyDescent="0.2"/>
    <row r="264" hidden="1" outlineLevel="1" x14ac:dyDescent="0.2"/>
    <row r="265" hidden="1" outlineLevel="1" x14ac:dyDescent="0.2"/>
    <row r="266" hidden="1" outlineLevel="1" x14ac:dyDescent="0.2"/>
    <row r="267" hidden="1" outlineLevel="1" x14ac:dyDescent="0.2"/>
    <row r="268" hidden="1" outlineLevel="1" x14ac:dyDescent="0.2"/>
    <row r="269" hidden="1" outlineLevel="1" x14ac:dyDescent="0.2"/>
    <row r="270" hidden="1" outlineLevel="1" x14ac:dyDescent="0.2"/>
    <row r="271" hidden="1" outlineLevel="1" x14ac:dyDescent="0.2"/>
    <row r="272" hidden="1" outlineLevel="1" x14ac:dyDescent="0.2"/>
    <row r="273" spans="1:1" hidden="1" outlineLevel="1" x14ac:dyDescent="0.2"/>
    <row r="274" spans="1:1" hidden="1" outlineLevel="1" x14ac:dyDescent="0.2"/>
    <row r="275" spans="1:1" hidden="1" outlineLevel="1" x14ac:dyDescent="0.2"/>
    <row r="276" spans="1:1" hidden="1" outlineLevel="1" x14ac:dyDescent="0.2"/>
    <row r="277" spans="1:1" hidden="1" outlineLevel="1" x14ac:dyDescent="0.2">
      <c r="A277" s="148" t="s">
        <v>691</v>
      </c>
    </row>
    <row r="278" spans="1:1" hidden="1" outlineLevel="1" x14ac:dyDescent="0.2"/>
    <row r="279" spans="1:1" hidden="1" outlineLevel="1" x14ac:dyDescent="0.2"/>
    <row r="280" spans="1:1" hidden="1" outlineLevel="1" x14ac:dyDescent="0.2"/>
    <row r="281" spans="1:1" hidden="1" outlineLevel="1" x14ac:dyDescent="0.2"/>
    <row r="282" spans="1:1" hidden="1" outlineLevel="1" x14ac:dyDescent="0.2"/>
    <row r="283" spans="1:1" hidden="1" outlineLevel="1" x14ac:dyDescent="0.2"/>
    <row r="284" spans="1:1" hidden="1" outlineLevel="1" x14ac:dyDescent="0.2"/>
    <row r="285" spans="1:1" hidden="1" outlineLevel="1" x14ac:dyDescent="0.2"/>
    <row r="286" spans="1:1" hidden="1" outlineLevel="1" x14ac:dyDescent="0.2"/>
    <row r="287" spans="1:1" hidden="1" outlineLevel="1" x14ac:dyDescent="0.2"/>
    <row r="288" spans="1:1" hidden="1" outlineLevel="1" x14ac:dyDescent="0.2"/>
    <row r="289" spans="1:1" hidden="1" outlineLevel="1" x14ac:dyDescent="0.2"/>
    <row r="290" spans="1:1" hidden="1" outlineLevel="1" x14ac:dyDescent="0.2"/>
    <row r="291" spans="1:1" hidden="1" outlineLevel="1" x14ac:dyDescent="0.2"/>
    <row r="292" spans="1:1" hidden="1" outlineLevel="1" x14ac:dyDescent="0.2"/>
    <row r="293" spans="1:1" hidden="1" outlineLevel="1" x14ac:dyDescent="0.2"/>
    <row r="294" spans="1:1" hidden="1" outlineLevel="1" x14ac:dyDescent="0.2"/>
    <row r="295" spans="1:1" hidden="1" outlineLevel="1" x14ac:dyDescent="0.2"/>
    <row r="296" spans="1:1" hidden="1" outlineLevel="1" x14ac:dyDescent="0.2"/>
    <row r="297" spans="1:1" hidden="1" outlineLevel="1" x14ac:dyDescent="0.2"/>
    <row r="298" spans="1:1" hidden="1" outlineLevel="1" x14ac:dyDescent="0.2"/>
    <row r="299" spans="1:1" hidden="1" outlineLevel="1" x14ac:dyDescent="0.2">
      <c r="A299" s="148" t="s">
        <v>704</v>
      </c>
    </row>
    <row r="300" spans="1:1" hidden="1" outlineLevel="1" x14ac:dyDescent="0.2"/>
    <row r="301" spans="1:1" hidden="1" outlineLevel="1" x14ac:dyDescent="0.2"/>
    <row r="302" spans="1:1" hidden="1" outlineLevel="1" x14ac:dyDescent="0.2"/>
    <row r="303" spans="1:1" hidden="1" outlineLevel="1" x14ac:dyDescent="0.2"/>
    <row r="304" spans="1:1" hidden="1" outlineLevel="1" x14ac:dyDescent="0.2"/>
    <row r="305" hidden="1" outlineLevel="1" x14ac:dyDescent="0.2"/>
    <row r="306" hidden="1" outlineLevel="1" x14ac:dyDescent="0.2"/>
    <row r="307" hidden="1" outlineLevel="1" x14ac:dyDescent="0.2"/>
    <row r="308" hidden="1" outlineLevel="1" x14ac:dyDescent="0.2"/>
    <row r="309" hidden="1" outlineLevel="1" x14ac:dyDescent="0.2"/>
    <row r="310" hidden="1" outlineLevel="1" x14ac:dyDescent="0.2"/>
    <row r="311" hidden="1" outlineLevel="1" x14ac:dyDescent="0.2"/>
    <row r="312" hidden="1" outlineLevel="1" x14ac:dyDescent="0.2"/>
    <row r="313" hidden="1" outlineLevel="1" x14ac:dyDescent="0.2"/>
    <row r="314" hidden="1" outlineLevel="1" x14ac:dyDescent="0.2"/>
    <row r="315" hidden="1" outlineLevel="1" x14ac:dyDescent="0.2"/>
    <row r="316" hidden="1" outlineLevel="1" x14ac:dyDescent="0.2"/>
    <row r="317" hidden="1" outlineLevel="1" x14ac:dyDescent="0.2"/>
    <row r="318" hidden="1" outlineLevel="1" x14ac:dyDescent="0.2"/>
    <row r="319" hidden="1" outlineLevel="1" x14ac:dyDescent="0.2"/>
    <row r="320" hidden="1" outlineLevel="1" x14ac:dyDescent="0.2"/>
    <row r="321" spans="1:8" collapsed="1" x14ac:dyDescent="0.2">
      <c r="A321" s="139"/>
    </row>
    <row r="322" spans="1:8" hidden="1" x14ac:dyDescent="0.2">
      <c r="A322" s="119" t="s">
        <v>766</v>
      </c>
    </row>
    <row r="323" spans="1:8" ht="12" hidden="1" outlineLevel="1" thickBot="1" x14ac:dyDescent="0.25">
      <c r="A323" s="130" t="s">
        <v>692</v>
      </c>
      <c r="B323" s="130" t="s">
        <v>693</v>
      </c>
      <c r="C323" s="130" t="s">
        <v>694</v>
      </c>
      <c r="D323" s="130" t="s">
        <v>524</v>
      </c>
      <c r="E323" s="130" t="s">
        <v>695</v>
      </c>
      <c r="F323" s="130" t="s">
        <v>696</v>
      </c>
      <c r="G323" s="130" t="s">
        <v>697</v>
      </c>
      <c r="H323" s="130" t="s">
        <v>698</v>
      </c>
    </row>
    <row r="324" spans="1:8" hidden="1" outlineLevel="1" x14ac:dyDescent="0.2">
      <c r="A324" s="124">
        <v>1</v>
      </c>
      <c r="B324" s="133">
        <v>3162.8121999999998</v>
      </c>
      <c r="C324" s="133">
        <v>-9262.8510075252943</v>
      </c>
      <c r="D324" s="133">
        <f t="shared" ref="D324:D355" si="4">B324 - C324</f>
        <v>12425.663207525295</v>
      </c>
      <c r="E324" s="115">
        <f t="shared" ref="E324:E355" si="5">D324 /67036.4532956852</f>
        <v>0.18535681105797808</v>
      </c>
      <c r="F324" s="115">
        <f t="shared" ref="F324:F355" si="6">ABS(E324)</f>
        <v>0.18535681105797808</v>
      </c>
      <c r="G324" s="115">
        <v>5.1011429718607934E-2</v>
      </c>
      <c r="H324" s="115">
        <f>(F324^2/3)*(G324/(1-G324)^2)</f>
        <v>6.4869623271526973E-4</v>
      </c>
    </row>
    <row r="325" spans="1:8" hidden="1" outlineLevel="1" x14ac:dyDescent="0.2">
      <c r="A325" s="124">
        <v>2</v>
      </c>
      <c r="B325" s="133">
        <v>1478.7066</v>
      </c>
      <c r="C325" s="133">
        <v>14850.469073682498</v>
      </c>
      <c r="D325" s="133">
        <f t="shared" si="4"/>
        <v>-13371.762473682498</v>
      </c>
      <c r="E325" s="115">
        <f t="shared" si="5"/>
        <v>-0.19947001692798641</v>
      </c>
      <c r="F325" s="115">
        <f t="shared" si="6"/>
        <v>0.19947001692798641</v>
      </c>
      <c r="G325" s="115">
        <v>0.12983144407660313</v>
      </c>
      <c r="H325" s="115">
        <f t="shared" ref="H325:H388" si="7">(F325^2/3)*(G325/(1-G325)^2)</f>
        <v>2.2740871831652804E-3</v>
      </c>
    </row>
    <row r="326" spans="1:8" hidden="1" outlineLevel="1" x14ac:dyDescent="0.2">
      <c r="A326" s="124">
        <v>3</v>
      </c>
      <c r="B326" s="123">
        <v>290.68</v>
      </c>
      <c r="C326" s="133">
        <v>15072.657304862149</v>
      </c>
      <c r="D326" s="133">
        <f t="shared" si="4"/>
        <v>-14781.977304862148</v>
      </c>
      <c r="E326" s="115">
        <f t="shared" si="5"/>
        <v>-0.22050655394404031</v>
      </c>
      <c r="F326" s="115">
        <f t="shared" si="6"/>
        <v>0.22050655394404031</v>
      </c>
      <c r="G326" s="115">
        <v>2.3900375431997019E-2</v>
      </c>
      <c r="H326" s="115">
        <f t="shared" si="7"/>
        <v>4.0657266941612812E-4</v>
      </c>
    </row>
    <row r="327" spans="1:8" hidden="1" outlineLevel="1" x14ac:dyDescent="0.2">
      <c r="A327" s="124">
        <v>4</v>
      </c>
      <c r="B327" s="123">
        <v>205.81890000000001</v>
      </c>
      <c r="C327" s="133">
        <v>37654.591097139302</v>
      </c>
      <c r="D327" s="133">
        <f t="shared" si="4"/>
        <v>-37448.772197139304</v>
      </c>
      <c r="E327" s="115">
        <f t="shared" si="5"/>
        <v>-0.55863295798123158</v>
      </c>
      <c r="F327" s="115">
        <f t="shared" si="6"/>
        <v>0.55863295798123158</v>
      </c>
      <c r="G327" s="115">
        <v>3.9429582618543763E-2</v>
      </c>
      <c r="H327" s="115">
        <f t="shared" si="7"/>
        <v>4.4452441478452179E-3</v>
      </c>
    </row>
    <row r="328" spans="1:8" hidden="1" outlineLevel="1" x14ac:dyDescent="0.2">
      <c r="A328" s="124">
        <v>5</v>
      </c>
      <c r="B328" s="133">
        <v>3540.5491000000002</v>
      </c>
      <c r="C328" s="133">
        <v>24233.780627622662</v>
      </c>
      <c r="D328" s="133">
        <f t="shared" si="4"/>
        <v>-20693.231527622662</v>
      </c>
      <c r="E328" s="115">
        <f t="shared" si="5"/>
        <v>-0.30868625218504181</v>
      </c>
      <c r="F328" s="115">
        <f t="shared" si="6"/>
        <v>0.30868625218504181</v>
      </c>
      <c r="G328" s="115">
        <v>3.5229853679185671E-2</v>
      </c>
      <c r="H328" s="115">
        <f t="shared" si="7"/>
        <v>1.2021992371282996E-3</v>
      </c>
    </row>
    <row r="329" spans="1:8" hidden="1" outlineLevel="1" x14ac:dyDescent="0.2">
      <c r="A329" s="124">
        <v>6</v>
      </c>
      <c r="B329" s="133">
        <v>117401.54</v>
      </c>
      <c r="C329" s="133">
        <v>30942.872802353872</v>
      </c>
      <c r="D329" s="133">
        <f t="shared" si="4"/>
        <v>86458.667197646122</v>
      </c>
      <c r="E329" s="115">
        <f t="shared" si="5"/>
        <v>1.2897261556528532</v>
      </c>
      <c r="F329" s="115">
        <f t="shared" si="6"/>
        <v>1.2897261556528532</v>
      </c>
      <c r="G329" s="115">
        <v>3.2386182460174648E-2</v>
      </c>
      <c r="H329" s="115">
        <f t="shared" si="7"/>
        <v>1.9179151754287301E-2</v>
      </c>
    </row>
    <row r="330" spans="1:8" hidden="1" outlineLevel="1" x14ac:dyDescent="0.2">
      <c r="A330" s="124">
        <v>7</v>
      </c>
      <c r="B330" s="123">
        <v>328.06920000000002</v>
      </c>
      <c r="C330" s="133">
        <v>13840.634615444358</v>
      </c>
      <c r="D330" s="133">
        <f t="shared" si="4"/>
        <v>-13512.565415444358</v>
      </c>
      <c r="E330" s="115">
        <f t="shared" si="5"/>
        <v>-0.20157041059202477</v>
      </c>
      <c r="F330" s="115">
        <f t="shared" si="6"/>
        <v>0.20157041059202477</v>
      </c>
      <c r="G330" s="115">
        <v>3.6630855656629498E-2</v>
      </c>
      <c r="H330" s="115">
        <f t="shared" si="7"/>
        <v>5.3455685743590163E-4</v>
      </c>
    </row>
    <row r="331" spans="1:8" hidden="1" outlineLevel="1" x14ac:dyDescent="0.2">
      <c r="A331" s="124">
        <v>8</v>
      </c>
      <c r="B331" s="133">
        <v>2086.6887999999999</v>
      </c>
      <c r="C331" s="133">
        <v>16547.512951708552</v>
      </c>
      <c r="D331" s="133">
        <f t="shared" si="4"/>
        <v>-14460.824151708552</v>
      </c>
      <c r="E331" s="115">
        <f t="shared" si="5"/>
        <v>-0.21571582983253265</v>
      </c>
      <c r="F331" s="115">
        <f t="shared" si="6"/>
        <v>0.21571582983253265</v>
      </c>
      <c r="G331" s="115">
        <v>3.2003543508104026E-2</v>
      </c>
      <c r="H331" s="115">
        <f t="shared" si="7"/>
        <v>5.2977725581161098E-4</v>
      </c>
    </row>
    <row r="332" spans="1:8" hidden="1" outlineLevel="1" x14ac:dyDescent="0.2">
      <c r="A332" s="124">
        <v>9</v>
      </c>
      <c r="B332" s="123">
        <v>117.0865</v>
      </c>
      <c r="C332" s="133">
        <v>12053.061014279678</v>
      </c>
      <c r="D332" s="133">
        <f t="shared" si="4"/>
        <v>-11935.974514279678</v>
      </c>
      <c r="E332" s="115">
        <f t="shared" si="5"/>
        <v>-0.17805199898676524</v>
      </c>
      <c r="F332" s="115">
        <f t="shared" si="6"/>
        <v>0.17805199898676524</v>
      </c>
      <c r="G332" s="115">
        <v>1.6445697131095664E-2</v>
      </c>
      <c r="H332" s="115">
        <f t="shared" si="7"/>
        <v>1.7965034498320257E-4</v>
      </c>
    </row>
    <row r="333" spans="1:8" hidden="1" outlineLevel="1" x14ac:dyDescent="0.2">
      <c r="A333" s="124">
        <v>10</v>
      </c>
      <c r="B333" s="133">
        <v>2344.0949000000001</v>
      </c>
      <c r="C333" s="133">
        <v>3849.678865898406</v>
      </c>
      <c r="D333" s="133">
        <f t="shared" si="4"/>
        <v>-1505.5839658984059</v>
      </c>
      <c r="E333" s="115">
        <f t="shared" si="5"/>
        <v>-2.2459182905419501E-2</v>
      </c>
      <c r="F333" s="115">
        <f t="shared" si="6"/>
        <v>2.2459182905419501E-2</v>
      </c>
      <c r="G333" s="115">
        <v>5.4289742138428174E-2</v>
      </c>
      <c r="H333" s="115">
        <f t="shared" si="7"/>
        <v>1.0206297627348582E-5</v>
      </c>
    </row>
    <row r="334" spans="1:8" hidden="1" outlineLevel="1" x14ac:dyDescent="0.2">
      <c r="A334" s="124">
        <v>11</v>
      </c>
      <c r="B334" s="133">
        <v>2363.1176</v>
      </c>
      <c r="C334" s="133">
        <v>-12467.138865802737</v>
      </c>
      <c r="D334" s="133">
        <f t="shared" si="4"/>
        <v>14830.256465802737</v>
      </c>
      <c r="E334" s="115">
        <f t="shared" si="5"/>
        <v>0.22122674659396524</v>
      </c>
      <c r="F334" s="115">
        <f t="shared" si="6"/>
        <v>0.22122674659396524</v>
      </c>
      <c r="G334" s="115">
        <v>5.6252546735647072E-2</v>
      </c>
      <c r="H334" s="115">
        <f t="shared" si="7"/>
        <v>1.0303496174633316E-3</v>
      </c>
    </row>
    <row r="335" spans="1:8" hidden="1" outlineLevel="1" x14ac:dyDescent="0.2">
      <c r="A335" s="124">
        <v>12</v>
      </c>
      <c r="B335" s="123">
        <v>259.96980000000002</v>
      </c>
      <c r="C335" s="133">
        <v>8198.649770912818</v>
      </c>
      <c r="D335" s="133">
        <f t="shared" si="4"/>
        <v>-7938.6799709128181</v>
      </c>
      <c r="E335" s="115">
        <f t="shared" si="5"/>
        <v>-0.11842332910866855</v>
      </c>
      <c r="F335" s="115">
        <f t="shared" si="6"/>
        <v>0.11842332910866855</v>
      </c>
      <c r="G335" s="115">
        <v>2.6504062839438097E-2</v>
      </c>
      <c r="H335" s="115">
        <f t="shared" si="7"/>
        <v>1.3073667717960599E-4</v>
      </c>
    </row>
    <row r="336" spans="1:8" hidden="1" outlineLevel="1" x14ac:dyDescent="0.2">
      <c r="A336" s="124">
        <v>13</v>
      </c>
      <c r="B336" s="123">
        <v>265.0127</v>
      </c>
      <c r="C336" s="133">
        <v>19471.192027226367</v>
      </c>
      <c r="D336" s="133">
        <f t="shared" si="4"/>
        <v>-19206.179327226368</v>
      </c>
      <c r="E336" s="115">
        <f t="shared" si="5"/>
        <v>-0.28650351238767835</v>
      </c>
      <c r="F336" s="115">
        <f t="shared" si="6"/>
        <v>0.28650351238767835</v>
      </c>
      <c r="G336" s="115">
        <v>3.213247901002797E-2</v>
      </c>
      <c r="H336" s="115">
        <f t="shared" si="7"/>
        <v>9.3853623866624336E-4</v>
      </c>
    </row>
    <row r="337" spans="1:8" hidden="1" outlineLevel="1" x14ac:dyDescent="0.2">
      <c r="A337" s="124">
        <v>14</v>
      </c>
      <c r="B337" s="133">
        <v>2014.3187</v>
      </c>
      <c r="C337" s="133">
        <v>15830.519818848063</v>
      </c>
      <c r="D337" s="133">
        <f t="shared" si="4"/>
        <v>-13816.201118848063</v>
      </c>
      <c r="E337" s="115">
        <f t="shared" si="5"/>
        <v>-0.20609982240419841</v>
      </c>
      <c r="F337" s="115">
        <f t="shared" si="6"/>
        <v>0.20609982240419841</v>
      </c>
      <c r="G337" s="115">
        <v>1.9657152468290022E-2</v>
      </c>
      <c r="H337" s="115">
        <f t="shared" si="7"/>
        <v>2.8960003989998159E-4</v>
      </c>
    </row>
    <row r="338" spans="1:8" hidden="1" outlineLevel="1" x14ac:dyDescent="0.2">
      <c r="A338" s="124">
        <v>15</v>
      </c>
      <c r="B338" s="133">
        <v>1409.3098</v>
      </c>
      <c r="C338" s="133">
        <v>-1276.4925154129178</v>
      </c>
      <c r="D338" s="133">
        <f t="shared" si="4"/>
        <v>2685.8023154129178</v>
      </c>
      <c r="E338" s="115">
        <f t="shared" si="5"/>
        <v>4.0064803302858942E-2</v>
      </c>
      <c r="F338" s="115">
        <f t="shared" si="6"/>
        <v>4.0064803302858942E-2</v>
      </c>
      <c r="G338" s="115">
        <v>2.8497289629371637E-2</v>
      </c>
      <c r="H338" s="115">
        <f t="shared" si="7"/>
        <v>1.6155496082576107E-5</v>
      </c>
    </row>
    <row r="339" spans="1:8" hidden="1" outlineLevel="1" x14ac:dyDescent="0.2">
      <c r="A339" s="124">
        <v>16</v>
      </c>
      <c r="B339" s="133">
        <v>1016.1319</v>
      </c>
      <c r="C339" s="133">
        <v>7968.5228049268098</v>
      </c>
      <c r="D339" s="133">
        <f t="shared" si="4"/>
        <v>-6952.3909049268095</v>
      </c>
      <c r="E339" s="115">
        <f t="shared" si="5"/>
        <v>-0.10371060166714249</v>
      </c>
      <c r="F339" s="115">
        <f t="shared" si="6"/>
        <v>0.10371060166714249</v>
      </c>
      <c r="G339" s="115">
        <v>1.1912871232006308E-2</v>
      </c>
      <c r="H339" s="115">
        <f t="shared" si="7"/>
        <v>4.3747276014672679E-5</v>
      </c>
    </row>
    <row r="340" spans="1:8" hidden="1" outlineLevel="1" x14ac:dyDescent="0.2">
      <c r="A340" s="124">
        <v>17</v>
      </c>
      <c r="B340" s="133">
        <v>6894.6152000000002</v>
      </c>
      <c r="C340" s="133">
        <v>36727.106306183377</v>
      </c>
      <c r="D340" s="133">
        <f t="shared" si="4"/>
        <v>-29832.491106183377</v>
      </c>
      <c r="E340" s="115">
        <f t="shared" si="5"/>
        <v>-0.44501893581090668</v>
      </c>
      <c r="F340" s="115">
        <f t="shared" si="6"/>
        <v>0.44501893581090668</v>
      </c>
      <c r="G340" s="115">
        <v>3.9741450844234208E-2</v>
      </c>
      <c r="H340" s="115">
        <f t="shared" si="7"/>
        <v>2.8451363226767766E-3</v>
      </c>
    </row>
    <row r="341" spans="1:8" hidden="1" outlineLevel="1" x14ac:dyDescent="0.2">
      <c r="A341" s="124">
        <v>18</v>
      </c>
      <c r="B341" s="133">
        <v>4868.8302000000003</v>
      </c>
      <c r="C341" s="133">
        <v>39889.206186653275</v>
      </c>
      <c r="D341" s="133">
        <f t="shared" si="4"/>
        <v>-35020.375986653278</v>
      </c>
      <c r="E341" s="115">
        <f t="shared" si="5"/>
        <v>-0.52240794769056442</v>
      </c>
      <c r="F341" s="115">
        <f t="shared" si="6"/>
        <v>0.52240794769056442</v>
      </c>
      <c r="G341" s="115">
        <v>4.4993077475782649E-2</v>
      </c>
      <c r="H341" s="115">
        <f t="shared" si="7"/>
        <v>4.4877737751963086E-3</v>
      </c>
    </row>
    <row r="342" spans="1:8" hidden="1" outlineLevel="1" x14ac:dyDescent="0.2">
      <c r="A342" s="124">
        <v>19</v>
      </c>
      <c r="B342" s="133">
        <v>15390.5118</v>
      </c>
      <c r="C342" s="133">
        <v>16409.34166140038</v>
      </c>
      <c r="D342" s="133">
        <f t="shared" si="4"/>
        <v>-1018.8298614003797</v>
      </c>
      <c r="E342" s="115">
        <f t="shared" si="5"/>
        <v>-1.519814684864834E-2</v>
      </c>
      <c r="F342" s="115">
        <f t="shared" si="6"/>
        <v>1.519814684864834E-2</v>
      </c>
      <c r="G342" s="115">
        <v>0.17052832726558687</v>
      </c>
      <c r="H342" s="115">
        <f t="shared" si="7"/>
        <v>1.9083297999570841E-5</v>
      </c>
    </row>
    <row r="343" spans="1:8" hidden="1" outlineLevel="1" x14ac:dyDescent="0.2">
      <c r="A343" s="124">
        <v>20</v>
      </c>
      <c r="B343" s="123">
        <v>304.52499999999998</v>
      </c>
      <c r="C343" s="133">
        <v>19791.377371700684</v>
      </c>
      <c r="D343" s="133">
        <f t="shared" si="4"/>
        <v>-19486.852371700683</v>
      </c>
      <c r="E343" s="115">
        <f t="shared" si="5"/>
        <v>-0.29069038431594579</v>
      </c>
      <c r="F343" s="115">
        <f t="shared" si="6"/>
        <v>0.29069038431594579</v>
      </c>
      <c r="G343" s="115">
        <v>2.4742221259113337E-2</v>
      </c>
      <c r="H343" s="115">
        <f t="shared" si="7"/>
        <v>7.3272315797136593E-4</v>
      </c>
    </row>
    <row r="344" spans="1:8" hidden="1" outlineLevel="1" x14ac:dyDescent="0.2">
      <c r="A344" s="124">
        <v>21</v>
      </c>
      <c r="B344" s="123">
        <v>748.60599999999999</v>
      </c>
      <c r="C344" s="133">
        <v>-7600.4954436418429</v>
      </c>
      <c r="D344" s="133">
        <f t="shared" si="4"/>
        <v>8349.1014436418427</v>
      </c>
      <c r="E344" s="115">
        <f t="shared" si="5"/>
        <v>0.12454569168233773</v>
      </c>
      <c r="F344" s="115">
        <f t="shared" si="6"/>
        <v>0.12454569168233773</v>
      </c>
      <c r="G344" s="115">
        <v>0.31047155604872678</v>
      </c>
      <c r="H344" s="115">
        <f t="shared" si="7"/>
        <v>3.3763978044879291E-3</v>
      </c>
    </row>
    <row r="345" spans="1:8" hidden="1" outlineLevel="1" x14ac:dyDescent="0.2">
      <c r="A345" s="124">
        <v>22</v>
      </c>
      <c r="B345" s="133">
        <v>28484.287400000001</v>
      </c>
      <c r="C345" s="133">
        <v>14616.047855448311</v>
      </c>
      <c r="D345" s="133">
        <f t="shared" si="4"/>
        <v>13868.23954455169</v>
      </c>
      <c r="E345" s="115">
        <f t="shared" si="5"/>
        <v>0.2068760929726024</v>
      </c>
      <c r="F345" s="115">
        <f t="shared" si="6"/>
        <v>0.2068760929726024</v>
      </c>
      <c r="G345" s="115">
        <v>3.3928329584444389E-2</v>
      </c>
      <c r="H345" s="115">
        <f t="shared" si="7"/>
        <v>5.1861269207559529E-4</v>
      </c>
    </row>
    <row r="346" spans="1:8" hidden="1" outlineLevel="1" x14ac:dyDescent="0.2">
      <c r="A346" s="124">
        <v>23</v>
      </c>
      <c r="B346" s="133">
        <v>2527.3155999999999</v>
      </c>
      <c r="C346" s="133">
        <v>9761.6768499359732</v>
      </c>
      <c r="D346" s="133">
        <f t="shared" si="4"/>
        <v>-7234.3612499359733</v>
      </c>
      <c r="E346" s="115">
        <f t="shared" si="5"/>
        <v>-0.10791682576085231</v>
      </c>
      <c r="F346" s="115">
        <f t="shared" si="6"/>
        <v>0.10791682576085231</v>
      </c>
      <c r="G346" s="115">
        <v>4.2563432798364123E-2</v>
      </c>
      <c r="H346" s="115">
        <f t="shared" si="7"/>
        <v>1.8024934568016239E-4</v>
      </c>
    </row>
    <row r="347" spans="1:8" hidden="1" outlineLevel="1" x14ac:dyDescent="0.2">
      <c r="A347" s="124">
        <v>24</v>
      </c>
      <c r="B347" s="133">
        <v>5116.1342000000004</v>
      </c>
      <c r="C347" s="133">
        <v>38560.464681777899</v>
      </c>
      <c r="D347" s="133">
        <f t="shared" si="4"/>
        <v>-33444.330481777899</v>
      </c>
      <c r="E347" s="115">
        <f t="shared" si="5"/>
        <v>-0.49889767190190148</v>
      </c>
      <c r="F347" s="115">
        <f t="shared" si="6"/>
        <v>0.49889767190190148</v>
      </c>
      <c r="G347" s="115">
        <v>4.403521076938785E-2</v>
      </c>
      <c r="H347" s="115">
        <f t="shared" si="7"/>
        <v>3.9977716753197947E-3</v>
      </c>
    </row>
    <row r="348" spans="1:8" hidden="1" outlineLevel="1" x14ac:dyDescent="0.2">
      <c r="A348" s="124">
        <v>25</v>
      </c>
      <c r="B348" s="133">
        <v>1106.0070000000001</v>
      </c>
      <c r="C348" s="133">
        <v>15126.453314317123</v>
      </c>
      <c r="D348" s="133">
        <f t="shared" si="4"/>
        <v>-14020.446314317123</v>
      </c>
      <c r="E348" s="115">
        <f t="shared" si="5"/>
        <v>-0.20914660046938294</v>
      </c>
      <c r="F348" s="115">
        <f t="shared" si="6"/>
        <v>0.20914660046938294</v>
      </c>
      <c r="G348" s="115">
        <v>3.6494198903209506E-2</v>
      </c>
      <c r="H348" s="115">
        <f t="shared" si="7"/>
        <v>5.7318594428776802E-4</v>
      </c>
    </row>
    <row r="349" spans="1:8" hidden="1" outlineLevel="1" x14ac:dyDescent="0.2">
      <c r="A349" s="124">
        <v>26</v>
      </c>
      <c r="B349" s="133">
        <v>3579.8489</v>
      </c>
      <c r="C349" s="133">
        <v>28691.219170814184</v>
      </c>
      <c r="D349" s="133">
        <f t="shared" si="4"/>
        <v>-25111.370270814183</v>
      </c>
      <c r="E349" s="115">
        <f t="shared" si="5"/>
        <v>-0.37459276313519518</v>
      </c>
      <c r="F349" s="115">
        <f t="shared" si="6"/>
        <v>0.37459276313519518</v>
      </c>
      <c r="G349" s="115">
        <v>3.335800166709095E-2</v>
      </c>
      <c r="H349" s="115">
        <f t="shared" si="7"/>
        <v>1.6698067660030006E-3</v>
      </c>
    </row>
    <row r="350" spans="1:8" hidden="1" outlineLevel="1" x14ac:dyDescent="0.2">
      <c r="A350" s="124">
        <v>27</v>
      </c>
      <c r="B350" s="133">
        <v>2165.1192999999998</v>
      </c>
      <c r="C350" s="133">
        <v>9391.5421147734214</v>
      </c>
      <c r="D350" s="133">
        <f t="shared" si="4"/>
        <v>-7226.4228147734211</v>
      </c>
      <c r="E350" s="115">
        <f t="shared" si="5"/>
        <v>-0.10779840608361285</v>
      </c>
      <c r="F350" s="115">
        <f t="shared" si="6"/>
        <v>0.10779840608361285</v>
      </c>
      <c r="G350" s="115">
        <v>4.509239886702178E-2</v>
      </c>
      <c r="H350" s="115">
        <f t="shared" si="7"/>
        <v>1.9155084106288361E-4</v>
      </c>
    </row>
    <row r="351" spans="1:8" hidden="1" outlineLevel="1" x14ac:dyDescent="0.2">
      <c r="A351" s="124">
        <v>28</v>
      </c>
      <c r="B351" s="133">
        <v>2781.2797</v>
      </c>
      <c r="C351" s="133">
        <v>24827.525081930769</v>
      </c>
      <c r="D351" s="133">
        <f t="shared" si="4"/>
        <v>-22046.24538193077</v>
      </c>
      <c r="E351" s="115">
        <f t="shared" si="5"/>
        <v>-0.32886950753031224</v>
      </c>
      <c r="F351" s="115">
        <f t="shared" si="6"/>
        <v>0.32886950753031224</v>
      </c>
      <c r="G351" s="115">
        <v>2.6213903770990497E-2</v>
      </c>
      <c r="H351" s="115">
        <f t="shared" si="7"/>
        <v>9.9662212281409284E-4</v>
      </c>
    </row>
    <row r="352" spans="1:8" hidden="1" outlineLevel="1" x14ac:dyDescent="0.2">
      <c r="A352" s="124">
        <v>29</v>
      </c>
      <c r="B352" s="133">
        <v>2584.7898</v>
      </c>
      <c r="C352" s="133">
        <v>8614.2400926348255</v>
      </c>
      <c r="D352" s="133">
        <f t="shared" si="4"/>
        <v>-6029.450292634825</v>
      </c>
      <c r="E352" s="115">
        <f t="shared" si="5"/>
        <v>-8.9942859387862478E-2</v>
      </c>
      <c r="F352" s="115">
        <f t="shared" si="6"/>
        <v>8.9942859387862478E-2</v>
      </c>
      <c r="G352" s="115">
        <v>2.0460542975263413E-2</v>
      </c>
      <c r="H352" s="115">
        <f t="shared" si="7"/>
        <v>5.7502325823552735E-5</v>
      </c>
    </row>
    <row r="353" spans="1:8" hidden="1" outlineLevel="1" x14ac:dyDescent="0.2">
      <c r="A353" s="124">
        <v>30</v>
      </c>
      <c r="B353" s="133">
        <v>17761.393199999999</v>
      </c>
      <c r="C353" s="133">
        <v>33739.299466208991</v>
      </c>
      <c r="D353" s="133">
        <f t="shared" si="4"/>
        <v>-15977.906266208993</v>
      </c>
      <c r="E353" s="115">
        <f t="shared" si="5"/>
        <v>-0.23834653357529895</v>
      </c>
      <c r="F353" s="115">
        <f t="shared" si="6"/>
        <v>0.23834653357529895</v>
      </c>
      <c r="G353" s="115">
        <v>3.0863723390125455E-2</v>
      </c>
      <c r="H353" s="115">
        <f t="shared" si="7"/>
        <v>6.2226452506530707E-4</v>
      </c>
    </row>
    <row r="354" spans="1:8" hidden="1" outlineLevel="1" x14ac:dyDescent="0.2">
      <c r="A354" s="124">
        <v>31</v>
      </c>
      <c r="B354" s="133">
        <v>12773.614</v>
      </c>
      <c r="C354" s="133">
        <v>30868.380064466419</v>
      </c>
      <c r="D354" s="133">
        <f t="shared" si="4"/>
        <v>-18094.766064466421</v>
      </c>
      <c r="E354" s="115">
        <f t="shared" si="5"/>
        <v>-0.26992427515002632</v>
      </c>
      <c r="F354" s="115">
        <f t="shared" si="6"/>
        <v>0.26992427515002632</v>
      </c>
      <c r="G354" s="115">
        <v>0.10241073650465959</v>
      </c>
      <c r="H354" s="115">
        <f t="shared" si="7"/>
        <v>3.0871151145454054E-3</v>
      </c>
    </row>
    <row r="355" spans="1:8" hidden="1" outlineLevel="1" x14ac:dyDescent="0.2">
      <c r="A355" s="124">
        <v>32</v>
      </c>
      <c r="B355" s="133">
        <v>1234.2756999999999</v>
      </c>
      <c r="C355" s="133">
        <v>26574.038712090529</v>
      </c>
      <c r="D355" s="133">
        <f t="shared" si="4"/>
        <v>-25339.763012090531</v>
      </c>
      <c r="E355" s="115">
        <f t="shared" si="5"/>
        <v>-0.37799975634632094</v>
      </c>
      <c r="F355" s="115">
        <f t="shared" si="6"/>
        <v>0.37799975634632094</v>
      </c>
      <c r="G355" s="115">
        <v>1.744969938727986E-2</v>
      </c>
      <c r="H355" s="115">
        <f t="shared" si="7"/>
        <v>8.6087510498756919E-4</v>
      </c>
    </row>
    <row r="356" spans="1:8" hidden="1" outlineLevel="1" x14ac:dyDescent="0.2">
      <c r="A356" s="124">
        <v>33</v>
      </c>
      <c r="B356" s="133">
        <v>1444.5420999999999</v>
      </c>
      <c r="C356" s="133">
        <v>6592.4573403280792</v>
      </c>
      <c r="D356" s="133">
        <f t="shared" ref="D356:D387" si="8">B356 - C356</f>
        <v>-5147.9152403280796</v>
      </c>
      <c r="E356" s="115">
        <f t="shared" ref="E356:E387" si="9">D356 /67036.4532956852</f>
        <v>-7.6792774486764567E-2</v>
      </c>
      <c r="F356" s="115">
        <f t="shared" ref="F356:F387" si="10">ABS(E356)</f>
        <v>7.6792774486764567E-2</v>
      </c>
      <c r="G356" s="115">
        <v>4.2117780725355783E-2</v>
      </c>
      <c r="H356" s="115">
        <f t="shared" si="7"/>
        <v>9.0232028019284781E-5</v>
      </c>
    </row>
    <row r="357" spans="1:8" hidden="1" outlineLevel="1" x14ac:dyDescent="0.2">
      <c r="A357" s="124">
        <v>34</v>
      </c>
      <c r="B357" s="123">
        <v>268.75810000000001</v>
      </c>
      <c r="C357" s="133">
        <v>11948.363267415849</v>
      </c>
      <c r="D357" s="133">
        <f t="shared" si="8"/>
        <v>-11679.605167415848</v>
      </c>
      <c r="E357" s="115">
        <f t="shared" si="9"/>
        <v>-0.17422767156101326</v>
      </c>
      <c r="F357" s="115">
        <f t="shared" si="10"/>
        <v>0.17422767156101326</v>
      </c>
      <c r="G357" s="115">
        <v>2.3483178047943372E-2</v>
      </c>
      <c r="H357" s="115">
        <f t="shared" si="7"/>
        <v>2.4917841745657643E-4</v>
      </c>
    </row>
    <row r="358" spans="1:8" hidden="1" outlineLevel="1" x14ac:dyDescent="0.2">
      <c r="A358" s="124">
        <v>35</v>
      </c>
      <c r="B358" s="133">
        <v>12991.4501</v>
      </c>
      <c r="C358" s="133">
        <v>42276.188021987291</v>
      </c>
      <c r="D358" s="133">
        <f t="shared" si="8"/>
        <v>-29284.737921987289</v>
      </c>
      <c r="E358" s="115">
        <f t="shared" si="9"/>
        <v>-0.43684796080749994</v>
      </c>
      <c r="F358" s="115">
        <f t="shared" si="10"/>
        <v>0.43684796080749994</v>
      </c>
      <c r="G358" s="115">
        <v>5.0197572712044794E-2</v>
      </c>
      <c r="H358" s="115">
        <f t="shared" si="7"/>
        <v>3.539611016290994E-3</v>
      </c>
    </row>
    <row r="359" spans="1:8" hidden="1" outlineLevel="1" x14ac:dyDescent="0.2">
      <c r="A359" s="124">
        <v>36</v>
      </c>
      <c r="B359" s="133">
        <v>14433.059600000001</v>
      </c>
      <c r="C359" s="133">
        <v>36954.713918522189</v>
      </c>
      <c r="D359" s="133">
        <f t="shared" si="8"/>
        <v>-22521.654318522189</v>
      </c>
      <c r="E359" s="115">
        <f t="shared" si="9"/>
        <v>-0.33596130480208136</v>
      </c>
      <c r="F359" s="115">
        <f t="shared" si="10"/>
        <v>0.33596130480208136</v>
      </c>
      <c r="G359" s="115">
        <v>3.1975755036400128E-2</v>
      </c>
      <c r="H359" s="115">
        <f t="shared" si="7"/>
        <v>1.2838243323944354E-3</v>
      </c>
    </row>
    <row r="360" spans="1:8" hidden="1" outlineLevel="1" x14ac:dyDescent="0.2">
      <c r="A360" s="124">
        <v>37</v>
      </c>
      <c r="B360" s="133">
        <v>1642.0148999999999</v>
      </c>
      <c r="C360" s="133">
        <v>22993.284134476329</v>
      </c>
      <c r="D360" s="133">
        <f t="shared" si="8"/>
        <v>-21351.269234476331</v>
      </c>
      <c r="E360" s="115">
        <f t="shared" si="9"/>
        <v>-0.31850236975246726</v>
      </c>
      <c r="F360" s="115">
        <f t="shared" si="10"/>
        <v>0.31850236975246726</v>
      </c>
      <c r="G360" s="115">
        <v>0.15451620550400474</v>
      </c>
      <c r="H360" s="115">
        <f t="shared" si="7"/>
        <v>7.3091611986279515E-3</v>
      </c>
    </row>
    <row r="361" spans="1:8" hidden="1" outlineLevel="1" x14ac:dyDescent="0.2">
      <c r="A361" s="124">
        <v>38</v>
      </c>
      <c r="B361" s="133">
        <v>2249.4695999999999</v>
      </c>
      <c r="C361" s="133">
        <v>21020.205775329632</v>
      </c>
      <c r="D361" s="133">
        <f t="shared" si="8"/>
        <v>-18770.736175329632</v>
      </c>
      <c r="E361" s="115">
        <f t="shared" si="9"/>
        <v>-0.28000789499610668</v>
      </c>
      <c r="F361" s="115">
        <f t="shared" si="10"/>
        <v>0.28000789499610668</v>
      </c>
      <c r="G361" s="115">
        <v>4.959695818894036E-2</v>
      </c>
      <c r="H361" s="115">
        <f t="shared" si="7"/>
        <v>1.4350224825844175E-3</v>
      </c>
    </row>
    <row r="362" spans="1:8" hidden="1" outlineLevel="1" x14ac:dyDescent="0.2">
      <c r="A362" s="124">
        <v>39</v>
      </c>
      <c r="B362" s="133">
        <v>14085.412700000001</v>
      </c>
      <c r="C362" s="133">
        <v>-7569.8937446485306</v>
      </c>
      <c r="D362" s="133">
        <f t="shared" si="8"/>
        <v>21655.30644464853</v>
      </c>
      <c r="E362" s="115">
        <f t="shared" si="9"/>
        <v>0.32303777094428071</v>
      </c>
      <c r="F362" s="115">
        <f t="shared" si="10"/>
        <v>0.32303777094428071</v>
      </c>
      <c r="G362" s="115">
        <v>0.12409100790379404</v>
      </c>
      <c r="H362" s="115">
        <f t="shared" si="7"/>
        <v>5.626103240805245E-3</v>
      </c>
    </row>
    <row r="363" spans="1:8" hidden="1" outlineLevel="1" x14ac:dyDescent="0.2">
      <c r="A363" s="124">
        <v>40</v>
      </c>
      <c r="B363" s="133">
        <v>2710.8598999999999</v>
      </c>
      <c r="C363" s="133">
        <v>20722.744180723304</v>
      </c>
      <c r="D363" s="133">
        <f t="shared" si="8"/>
        <v>-18011.884280723305</v>
      </c>
      <c r="E363" s="115">
        <f t="shared" si="9"/>
        <v>-0.26868790628400741</v>
      </c>
      <c r="F363" s="115">
        <f t="shared" si="10"/>
        <v>0.26868790628400741</v>
      </c>
      <c r="G363" s="115">
        <v>3.7859376410174457E-2</v>
      </c>
      <c r="H363" s="115">
        <f t="shared" si="7"/>
        <v>9.8417275044664554E-4</v>
      </c>
    </row>
    <row r="364" spans="1:8" hidden="1" outlineLevel="1" x14ac:dyDescent="0.2">
      <c r="A364" s="124">
        <v>41</v>
      </c>
      <c r="B364" s="133">
        <v>3256.0626999999999</v>
      </c>
      <c r="C364" s="133">
        <v>-4427.0936956868118</v>
      </c>
      <c r="D364" s="133">
        <f t="shared" si="8"/>
        <v>7683.1563956868122</v>
      </c>
      <c r="E364" s="115">
        <f t="shared" si="9"/>
        <v>0.11461161827577382</v>
      </c>
      <c r="F364" s="115">
        <f t="shared" si="10"/>
        <v>0.11461161827577382</v>
      </c>
      <c r="G364" s="115">
        <v>1.71085967971275E-2</v>
      </c>
      <c r="H364" s="115">
        <f t="shared" si="7"/>
        <v>7.7542420378242427E-5</v>
      </c>
    </row>
    <row r="365" spans="1:8" hidden="1" outlineLevel="1" x14ac:dyDescent="0.2">
      <c r="A365" s="124">
        <v>42</v>
      </c>
      <c r="B365" s="123">
        <v>877.18060000000003</v>
      </c>
      <c r="C365" s="133">
        <v>6334.1774899294178</v>
      </c>
      <c r="D365" s="133">
        <f t="shared" si="8"/>
        <v>-5456.9968899294181</v>
      </c>
      <c r="E365" s="115">
        <f t="shared" si="9"/>
        <v>-8.1403424877799391E-2</v>
      </c>
      <c r="F365" s="115">
        <f t="shared" si="10"/>
        <v>8.1403424877799391E-2</v>
      </c>
      <c r="G365" s="115">
        <v>9.3733603735830978E-2</v>
      </c>
      <c r="H365" s="115">
        <f t="shared" si="7"/>
        <v>2.5208538086750923E-4</v>
      </c>
    </row>
    <row r="366" spans="1:8" hidden="1" outlineLevel="1" x14ac:dyDescent="0.2">
      <c r="A366" s="124">
        <v>43</v>
      </c>
      <c r="B366" s="133">
        <v>2121.9027000000001</v>
      </c>
      <c r="C366" s="133">
        <v>17311.620895931715</v>
      </c>
      <c r="D366" s="133">
        <f t="shared" si="8"/>
        <v>-15189.718195931715</v>
      </c>
      <c r="E366" s="115">
        <f t="shared" si="9"/>
        <v>-0.22658892959227303</v>
      </c>
      <c r="F366" s="115">
        <f t="shared" si="10"/>
        <v>0.22658892959227303</v>
      </c>
      <c r="G366" s="115">
        <v>2.7277633290524281E-2</v>
      </c>
      <c r="H366" s="115">
        <f t="shared" si="7"/>
        <v>4.9338393371416156E-4</v>
      </c>
    </row>
    <row r="367" spans="1:8" hidden="1" outlineLevel="1" x14ac:dyDescent="0.2">
      <c r="A367" s="124">
        <v>44</v>
      </c>
      <c r="B367" s="123">
        <v>151.4391</v>
      </c>
      <c r="C367" s="133">
        <v>-6171.0812450781323</v>
      </c>
      <c r="D367" s="133">
        <f t="shared" si="8"/>
        <v>6322.5203450781319</v>
      </c>
      <c r="E367" s="115">
        <f t="shared" si="9"/>
        <v>9.431466066963122E-2</v>
      </c>
      <c r="F367" s="115">
        <f t="shared" si="10"/>
        <v>9.431466066963122E-2</v>
      </c>
      <c r="G367" s="115">
        <v>0.10233170431014164</v>
      </c>
      <c r="H367" s="115">
        <f t="shared" si="7"/>
        <v>3.7654387882329931E-4</v>
      </c>
    </row>
    <row r="368" spans="1:8" hidden="1" outlineLevel="1" x14ac:dyDescent="0.2">
      <c r="A368" s="124">
        <v>45</v>
      </c>
      <c r="B368" s="133">
        <v>2399.3838999999998</v>
      </c>
      <c r="C368" s="133">
        <v>27761.887113367193</v>
      </c>
      <c r="D368" s="133">
        <f t="shared" si="8"/>
        <v>-25362.503213367192</v>
      </c>
      <c r="E368" s="115">
        <f t="shared" si="9"/>
        <v>-0.37833897777225706</v>
      </c>
      <c r="F368" s="115">
        <f t="shared" si="10"/>
        <v>0.37833897777225706</v>
      </c>
      <c r="G368" s="115">
        <v>3.0580590210556841E-2</v>
      </c>
      <c r="H368" s="115">
        <f t="shared" si="7"/>
        <v>1.5526135023039864E-3</v>
      </c>
    </row>
    <row r="369" spans="1:8" hidden="1" outlineLevel="1" x14ac:dyDescent="0.2">
      <c r="A369" s="124">
        <v>46</v>
      </c>
      <c r="B369" s="133">
        <v>1157.5277000000001</v>
      </c>
      <c r="C369" s="133">
        <v>-40030.758467289532</v>
      </c>
      <c r="D369" s="133">
        <f t="shared" si="8"/>
        <v>41188.286167289531</v>
      </c>
      <c r="E369" s="115">
        <f t="shared" si="9"/>
        <v>0.61441624880743217</v>
      </c>
      <c r="F369" s="115">
        <f t="shared" si="10"/>
        <v>0.61441624880743217</v>
      </c>
      <c r="G369" s="115">
        <v>0.37571143987911126</v>
      </c>
      <c r="H369" s="115">
        <f t="shared" si="7"/>
        <v>0.12130754000996778</v>
      </c>
    </row>
    <row r="370" spans="1:8" hidden="1" outlineLevel="1" x14ac:dyDescent="0.2">
      <c r="A370" s="124">
        <v>47</v>
      </c>
      <c r="B370" s="133">
        <v>9553.6566000000003</v>
      </c>
      <c r="C370" s="133">
        <v>28184.352547567541</v>
      </c>
      <c r="D370" s="133">
        <f t="shared" si="8"/>
        <v>-18630.695947567539</v>
      </c>
      <c r="E370" s="115">
        <f t="shared" si="9"/>
        <v>-0.27791887893279554</v>
      </c>
      <c r="F370" s="115">
        <f t="shared" si="10"/>
        <v>0.27791887893279554</v>
      </c>
      <c r="G370" s="115">
        <v>4.6154465220438763E-2</v>
      </c>
      <c r="H370" s="115">
        <f t="shared" si="7"/>
        <v>1.3060880775828832E-3</v>
      </c>
    </row>
    <row r="371" spans="1:8" hidden="1" outlineLevel="1" x14ac:dyDescent="0.2">
      <c r="A371" s="124">
        <v>48</v>
      </c>
      <c r="B371" s="133">
        <v>25857.610499999999</v>
      </c>
      <c r="C371" s="133">
        <v>24360.584899159883</v>
      </c>
      <c r="D371" s="133">
        <f t="shared" si="8"/>
        <v>1497.0256008401157</v>
      </c>
      <c r="E371" s="115">
        <f t="shared" si="9"/>
        <v>2.2331515574623508E-2</v>
      </c>
      <c r="F371" s="115">
        <f t="shared" si="10"/>
        <v>2.2331515574623508E-2</v>
      </c>
      <c r="G371" s="115">
        <v>5.1542558335755065E-2</v>
      </c>
      <c r="H371" s="115">
        <f t="shared" si="7"/>
        <v>9.52457084243161E-6</v>
      </c>
    </row>
    <row r="372" spans="1:8" hidden="1" outlineLevel="1" x14ac:dyDescent="0.2">
      <c r="A372" s="124">
        <v>49</v>
      </c>
      <c r="B372" s="133">
        <v>2277.1129999999998</v>
      </c>
      <c r="C372" s="133">
        <v>18138.692918790686</v>
      </c>
      <c r="D372" s="133">
        <f t="shared" si="8"/>
        <v>-15861.579918790687</v>
      </c>
      <c r="E372" s="115">
        <f t="shared" si="9"/>
        <v>-0.23661126355877207</v>
      </c>
      <c r="F372" s="115">
        <f t="shared" si="10"/>
        <v>0.23661126355877207</v>
      </c>
      <c r="G372" s="115">
        <v>3.6241961364406196E-2</v>
      </c>
      <c r="H372" s="115">
        <f t="shared" si="7"/>
        <v>7.2815735551529169E-4</v>
      </c>
    </row>
    <row r="373" spans="1:8" hidden="1" outlineLevel="1" x14ac:dyDescent="0.2">
      <c r="A373" s="124">
        <v>50</v>
      </c>
      <c r="B373" s="123">
        <v>198.11580000000001</v>
      </c>
      <c r="C373" s="133">
        <v>17454.947829153985</v>
      </c>
      <c r="D373" s="133">
        <f t="shared" si="8"/>
        <v>-17256.832029153986</v>
      </c>
      <c r="E373" s="115">
        <f t="shared" si="9"/>
        <v>-0.25742459782347582</v>
      </c>
      <c r="F373" s="115">
        <f t="shared" si="10"/>
        <v>0.25742459782347582</v>
      </c>
      <c r="G373" s="115">
        <v>2.1107158619219166E-2</v>
      </c>
      <c r="H373" s="115">
        <f t="shared" si="7"/>
        <v>4.8656212540334456E-4</v>
      </c>
    </row>
    <row r="374" spans="1:8" hidden="1" outlineLevel="1" x14ac:dyDescent="0.2">
      <c r="A374" s="124">
        <v>51</v>
      </c>
      <c r="B374" s="133">
        <v>2538.9832999999999</v>
      </c>
      <c r="C374" s="133">
        <v>20224.30072332879</v>
      </c>
      <c r="D374" s="133">
        <f t="shared" si="8"/>
        <v>-17685.31742332879</v>
      </c>
      <c r="E374" s="115">
        <f t="shared" si="9"/>
        <v>-0.26381642455519205</v>
      </c>
      <c r="F374" s="115">
        <f t="shared" si="10"/>
        <v>0.26381642455519205</v>
      </c>
      <c r="G374" s="115">
        <v>2.1716794358360596E-2</v>
      </c>
      <c r="H374" s="115">
        <f t="shared" si="7"/>
        <v>5.2644005829185451E-4</v>
      </c>
    </row>
    <row r="375" spans="1:8" hidden="1" outlineLevel="1" x14ac:dyDescent="0.2">
      <c r="A375" s="124">
        <v>52</v>
      </c>
      <c r="B375" s="133">
        <v>1455.3159000000001</v>
      </c>
      <c r="C375" s="133">
        <v>-14707.476011505432</v>
      </c>
      <c r="D375" s="133">
        <f t="shared" si="8"/>
        <v>16162.791911505432</v>
      </c>
      <c r="E375" s="115">
        <f t="shared" si="9"/>
        <v>0.24110452025578372</v>
      </c>
      <c r="F375" s="115">
        <f t="shared" si="10"/>
        <v>0.24110452025578372</v>
      </c>
      <c r="G375" s="115">
        <v>4.3909454378053707E-2</v>
      </c>
      <c r="H375" s="115">
        <f t="shared" si="7"/>
        <v>9.3078514576682445E-4</v>
      </c>
    </row>
    <row r="376" spans="1:8" hidden="1" outlineLevel="1" x14ac:dyDescent="0.2">
      <c r="A376" s="124">
        <v>53</v>
      </c>
      <c r="B376" s="123">
        <v>498.00700000000001</v>
      </c>
      <c r="C376" s="133">
        <v>32664.342634475244</v>
      </c>
      <c r="D376" s="133">
        <f t="shared" si="8"/>
        <v>-32166.335634475243</v>
      </c>
      <c r="E376" s="115">
        <f t="shared" si="9"/>
        <v>-0.47983349436157635</v>
      </c>
      <c r="F376" s="115">
        <f t="shared" si="10"/>
        <v>0.47983349436157635</v>
      </c>
      <c r="G376" s="115">
        <v>0.25469722286765412</v>
      </c>
      <c r="H376" s="115">
        <f t="shared" si="7"/>
        <v>3.5189945673173711E-2</v>
      </c>
    </row>
    <row r="377" spans="1:8" hidden="1" outlineLevel="1" x14ac:dyDescent="0.2">
      <c r="A377" s="124">
        <v>54</v>
      </c>
      <c r="B377" s="133">
        <v>3196.73</v>
      </c>
      <c r="C377" s="133">
        <v>17319.312387272672</v>
      </c>
      <c r="D377" s="133">
        <f t="shared" si="8"/>
        <v>-14122.582387272672</v>
      </c>
      <c r="E377" s="115">
        <f t="shared" si="9"/>
        <v>-0.21067019051530983</v>
      </c>
      <c r="F377" s="115">
        <f t="shared" si="10"/>
        <v>0.21067019051530983</v>
      </c>
      <c r="G377" s="115">
        <v>3.9818622832991875E-2</v>
      </c>
      <c r="H377" s="115">
        <f t="shared" si="7"/>
        <v>6.389466532509666E-4</v>
      </c>
    </row>
    <row r="378" spans="1:8" hidden="1" outlineLevel="1" x14ac:dyDescent="0.2">
      <c r="A378" s="124">
        <v>55</v>
      </c>
      <c r="B378" s="133">
        <v>2066.1927000000001</v>
      </c>
      <c r="C378" s="133">
        <v>13968.175689881615</v>
      </c>
      <c r="D378" s="133">
        <f t="shared" si="8"/>
        <v>-11901.982989881615</v>
      </c>
      <c r="E378" s="115">
        <f t="shared" si="9"/>
        <v>-0.17754493868260307</v>
      </c>
      <c r="F378" s="115">
        <f t="shared" si="10"/>
        <v>0.17754493868260307</v>
      </c>
      <c r="G378" s="115">
        <v>1.9556351931110501E-2</v>
      </c>
      <c r="H378" s="115">
        <f t="shared" si="7"/>
        <v>2.137656439822426E-4</v>
      </c>
    </row>
    <row r="379" spans="1:8" hidden="1" outlineLevel="1" x14ac:dyDescent="0.2">
      <c r="A379" s="124">
        <v>56</v>
      </c>
      <c r="B379" s="123">
        <v>949.03020000000004</v>
      </c>
      <c r="C379" s="133">
        <v>-14979.178821474097</v>
      </c>
      <c r="D379" s="133">
        <f t="shared" si="8"/>
        <v>15928.209021474097</v>
      </c>
      <c r="E379" s="115">
        <f t="shared" si="9"/>
        <v>0.2376051870050129</v>
      </c>
      <c r="F379" s="115">
        <f t="shared" si="10"/>
        <v>0.2376051870050129</v>
      </c>
      <c r="G379" s="115">
        <v>4.4704039028302077E-2</v>
      </c>
      <c r="H379" s="115">
        <f t="shared" si="7"/>
        <v>9.2185254760645044E-4</v>
      </c>
    </row>
    <row r="380" spans="1:8" hidden="1" outlineLevel="1" x14ac:dyDescent="0.2">
      <c r="A380" s="124">
        <v>57</v>
      </c>
      <c r="B380" s="133">
        <v>12362.801600000001</v>
      </c>
      <c r="C380" s="133">
        <v>27525.305448318111</v>
      </c>
      <c r="D380" s="133">
        <f t="shared" si="8"/>
        <v>-15162.503848318111</v>
      </c>
      <c r="E380" s="115">
        <f t="shared" si="9"/>
        <v>-0.22618296617571867</v>
      </c>
      <c r="F380" s="115">
        <f t="shared" si="10"/>
        <v>0.22618296617571867</v>
      </c>
      <c r="G380" s="115">
        <v>2.9015854200403375E-2</v>
      </c>
      <c r="H380" s="115">
        <f t="shared" si="7"/>
        <v>5.2481908318270415E-4</v>
      </c>
    </row>
    <row r="381" spans="1:8" hidden="1" outlineLevel="1" x14ac:dyDescent="0.2">
      <c r="A381" s="124">
        <v>58</v>
      </c>
      <c r="B381" s="123">
        <v>751.91750000000002</v>
      </c>
      <c r="C381" s="133">
        <v>7754.8551107516669</v>
      </c>
      <c r="D381" s="133">
        <f t="shared" si="8"/>
        <v>-7002.9376107516673</v>
      </c>
      <c r="E381" s="115">
        <f t="shared" si="9"/>
        <v>-0.10446461986679136</v>
      </c>
      <c r="F381" s="115">
        <f t="shared" si="10"/>
        <v>0.10446461986679136</v>
      </c>
      <c r="G381" s="115">
        <v>6.5512039211960318E-2</v>
      </c>
      <c r="H381" s="115">
        <f t="shared" si="7"/>
        <v>2.7289205927489858E-4</v>
      </c>
    </row>
    <row r="382" spans="1:8" hidden="1" outlineLevel="1" x14ac:dyDescent="0.2">
      <c r="A382" s="124">
        <v>59</v>
      </c>
      <c r="B382" s="123">
        <v>194.5496</v>
      </c>
      <c r="C382" s="133">
        <v>-18650.40478866257</v>
      </c>
      <c r="D382" s="133">
        <f t="shared" si="8"/>
        <v>18844.954388662569</v>
      </c>
      <c r="E382" s="115">
        <f t="shared" si="9"/>
        <v>0.28111502715606113</v>
      </c>
      <c r="F382" s="115">
        <f t="shared" si="10"/>
        <v>0.28111502715606113</v>
      </c>
      <c r="G382" s="115">
        <v>9.6092707685764556E-2</v>
      </c>
      <c r="H382" s="115">
        <f t="shared" si="7"/>
        <v>3.0980578243095707E-3</v>
      </c>
    </row>
    <row r="383" spans="1:8" hidden="1" outlineLevel="1" x14ac:dyDescent="0.2">
      <c r="A383" s="124">
        <v>60</v>
      </c>
      <c r="B383" s="133">
        <v>6390.3563999999997</v>
      </c>
      <c r="C383" s="133">
        <v>16107.045264539987</v>
      </c>
      <c r="D383" s="133">
        <f t="shared" si="8"/>
        <v>-9716.6888645399886</v>
      </c>
      <c r="E383" s="115">
        <f t="shared" si="9"/>
        <v>-0.14494634466536435</v>
      </c>
      <c r="F383" s="115">
        <f t="shared" si="10"/>
        <v>0.14494634466536435</v>
      </c>
      <c r="G383" s="115">
        <v>6.2813959958294807E-2</v>
      </c>
      <c r="H383" s="115">
        <f t="shared" si="7"/>
        <v>5.0083864505165801E-4</v>
      </c>
    </row>
    <row r="384" spans="1:8" hidden="1" outlineLevel="1" x14ac:dyDescent="0.2">
      <c r="A384" s="124">
        <v>61</v>
      </c>
      <c r="B384" s="133">
        <v>1375.7365</v>
      </c>
      <c r="C384" s="133">
        <v>-20581.034928970461</v>
      </c>
      <c r="D384" s="133">
        <f t="shared" si="8"/>
        <v>21956.77142897046</v>
      </c>
      <c r="E384" s="115">
        <f t="shared" si="9"/>
        <v>0.32753480158210735</v>
      </c>
      <c r="F384" s="115">
        <f t="shared" si="10"/>
        <v>0.32753480158210735</v>
      </c>
      <c r="G384" s="115">
        <v>4.7625679118759673E-2</v>
      </c>
      <c r="H384" s="115">
        <f t="shared" si="7"/>
        <v>1.8776709051689156E-3</v>
      </c>
    </row>
    <row r="385" spans="1:8" hidden="1" outlineLevel="1" x14ac:dyDescent="0.2">
      <c r="A385" s="124">
        <v>62</v>
      </c>
      <c r="B385" s="133">
        <v>4738.1673000000001</v>
      </c>
      <c r="C385" s="133">
        <v>4833.3894941668605</v>
      </c>
      <c r="D385" s="123">
        <f t="shared" si="8"/>
        <v>-95.22219416686039</v>
      </c>
      <c r="E385" s="115">
        <f t="shared" si="9"/>
        <v>-1.4204539393940364E-3</v>
      </c>
      <c r="F385" s="115">
        <f t="shared" si="10"/>
        <v>1.4204539393940364E-3</v>
      </c>
      <c r="G385" s="115">
        <v>2.4637123711480351E-2</v>
      </c>
      <c r="H385" s="115">
        <f t="shared" si="7"/>
        <v>1.7417692428258192E-8</v>
      </c>
    </row>
    <row r="386" spans="1:8" hidden="1" outlineLevel="1" x14ac:dyDescent="0.2">
      <c r="A386" s="124">
        <v>63</v>
      </c>
      <c r="B386" s="133">
        <v>1544.9141</v>
      </c>
      <c r="C386" s="133">
        <v>14896.724017141101</v>
      </c>
      <c r="D386" s="133">
        <f t="shared" si="8"/>
        <v>-13351.809917141101</v>
      </c>
      <c r="E386" s="115">
        <f t="shared" si="9"/>
        <v>-0.19917237951490027</v>
      </c>
      <c r="F386" s="115">
        <f t="shared" si="10"/>
        <v>0.19917237951490027</v>
      </c>
      <c r="G386" s="115">
        <v>1.6982509749738785E-2</v>
      </c>
      <c r="H386" s="115">
        <f t="shared" si="7"/>
        <v>2.3238941977987048E-4</v>
      </c>
    </row>
    <row r="387" spans="1:8" hidden="1" outlineLevel="1" x14ac:dyDescent="0.2">
      <c r="A387" s="124">
        <v>64</v>
      </c>
      <c r="B387" s="133">
        <v>2404.9515999999999</v>
      </c>
      <c r="C387" s="123">
        <v>-956.18015573215416</v>
      </c>
      <c r="D387" s="133">
        <f t="shared" si="8"/>
        <v>3361.131755732154</v>
      </c>
      <c r="E387" s="115">
        <f t="shared" si="9"/>
        <v>5.0138866101803348E-2</v>
      </c>
      <c r="F387" s="115">
        <f t="shared" si="10"/>
        <v>5.0138866101803348E-2</v>
      </c>
      <c r="G387" s="115">
        <v>8.7278809263466664E-2</v>
      </c>
      <c r="H387" s="115">
        <f t="shared" si="7"/>
        <v>8.7793084290043076E-5</v>
      </c>
    </row>
    <row r="388" spans="1:8" hidden="1" outlineLevel="1" x14ac:dyDescent="0.2">
      <c r="A388" s="124">
        <v>65</v>
      </c>
      <c r="B388" s="133">
        <v>1011.2338999999999</v>
      </c>
      <c r="C388" s="133">
        <v>-4059.2114026648069</v>
      </c>
      <c r="D388" s="133">
        <f t="shared" ref="D388:D419" si="11">B388 - C388</f>
        <v>5070.4453026648071</v>
      </c>
      <c r="E388" s="115">
        <f t="shared" ref="E388:E419" si="12">D388 /67036.4532956852</f>
        <v>7.5637135519387111E-2</v>
      </c>
      <c r="F388" s="115">
        <f t="shared" ref="F388:F419" si="13">ABS(E388)</f>
        <v>7.5637135519387111E-2</v>
      </c>
      <c r="G388" s="115">
        <v>1.6530149276779052E-2</v>
      </c>
      <c r="H388" s="115">
        <f t="shared" si="7"/>
        <v>3.2591441216342704E-5</v>
      </c>
    </row>
    <row r="389" spans="1:8" hidden="1" outlineLevel="1" x14ac:dyDescent="0.2">
      <c r="A389" s="124">
        <v>66</v>
      </c>
      <c r="B389" s="133">
        <v>52287.719499999999</v>
      </c>
      <c r="C389" s="133">
        <v>33983.694375349311</v>
      </c>
      <c r="D389" s="133">
        <f t="shared" si="11"/>
        <v>18304.025124650689</v>
      </c>
      <c r="E389" s="115">
        <f t="shared" si="12"/>
        <v>0.27304584632356776</v>
      </c>
      <c r="F389" s="115">
        <f t="shared" si="13"/>
        <v>0.27304584632356776</v>
      </c>
      <c r="G389" s="115">
        <v>2.6190289961814266E-2</v>
      </c>
      <c r="H389" s="115">
        <f t="shared" ref="H389:H452" si="14">(F389^2/3)*(G389/(1-G389)^2)</f>
        <v>6.8634424926826887E-4</v>
      </c>
    </row>
    <row r="390" spans="1:8" hidden="1" outlineLevel="1" x14ac:dyDescent="0.2">
      <c r="A390" s="124">
        <v>67</v>
      </c>
      <c r="B390" s="133">
        <v>4272.2191999999995</v>
      </c>
      <c r="C390" s="133">
        <v>30382.033562880715</v>
      </c>
      <c r="D390" s="133">
        <f t="shared" si="11"/>
        <v>-26109.814362880716</v>
      </c>
      <c r="E390" s="115">
        <f t="shared" si="12"/>
        <v>-0.38948681022421083</v>
      </c>
      <c r="F390" s="115">
        <f t="shared" si="13"/>
        <v>0.38948681022421083</v>
      </c>
      <c r="G390" s="115">
        <v>7.6779752399670012E-2</v>
      </c>
      <c r="H390" s="115">
        <f t="shared" si="14"/>
        <v>4.5551252331384158E-3</v>
      </c>
    </row>
    <row r="391" spans="1:8" hidden="1" outlineLevel="1" x14ac:dyDescent="0.2">
      <c r="A391" s="124">
        <v>68</v>
      </c>
      <c r="B391" s="133">
        <v>1563.4879000000001</v>
      </c>
      <c r="C391" s="133">
        <v>26030.755238541802</v>
      </c>
      <c r="D391" s="133">
        <f t="shared" si="11"/>
        <v>-24467.267338541802</v>
      </c>
      <c r="E391" s="115">
        <f t="shared" si="12"/>
        <v>-0.36498451418098271</v>
      </c>
      <c r="F391" s="115">
        <f t="shared" si="13"/>
        <v>0.36498451418098271</v>
      </c>
      <c r="G391" s="115">
        <v>1.3347666583756742E-2</v>
      </c>
      <c r="H391" s="115">
        <f t="shared" si="14"/>
        <v>6.0884210238731505E-4</v>
      </c>
    </row>
    <row r="392" spans="1:8" hidden="1" outlineLevel="1" x14ac:dyDescent="0.2">
      <c r="A392" s="124">
        <v>69</v>
      </c>
      <c r="B392" s="133">
        <v>1214.4014</v>
      </c>
      <c r="C392" s="133">
        <v>15037.39468459333</v>
      </c>
      <c r="D392" s="133">
        <f t="shared" si="11"/>
        <v>-13822.993284593329</v>
      </c>
      <c r="E392" s="115">
        <f t="shared" si="12"/>
        <v>-0.20620114288598626</v>
      </c>
      <c r="F392" s="115">
        <f t="shared" si="13"/>
        <v>0.20620114288598626</v>
      </c>
      <c r="G392" s="115">
        <v>1.1813985656660374E-2</v>
      </c>
      <c r="H392" s="115">
        <f t="shared" si="14"/>
        <v>1.7146674929516698E-4</v>
      </c>
    </row>
    <row r="393" spans="1:8" hidden="1" outlineLevel="1" x14ac:dyDescent="0.2">
      <c r="A393" s="124">
        <v>70</v>
      </c>
      <c r="B393" s="133">
        <v>4064.2968000000001</v>
      </c>
      <c r="C393" s="133">
        <v>46435.932322788423</v>
      </c>
      <c r="D393" s="133">
        <f t="shared" si="11"/>
        <v>-42371.63552278842</v>
      </c>
      <c r="E393" s="115">
        <f t="shared" si="12"/>
        <v>-0.63206857522570736</v>
      </c>
      <c r="F393" s="115">
        <f t="shared" si="13"/>
        <v>0.63206857522570736</v>
      </c>
      <c r="G393" s="115">
        <v>7.8397409833101075E-2</v>
      </c>
      <c r="H393" s="115">
        <f t="shared" si="14"/>
        <v>1.2291969784617463E-2</v>
      </c>
    </row>
    <row r="394" spans="1:8" hidden="1" outlineLevel="1" x14ac:dyDescent="0.2">
      <c r="A394" s="124">
        <v>71</v>
      </c>
      <c r="B394" s="123">
        <v>374.9058</v>
      </c>
      <c r="C394" s="133">
        <v>23701.741317335109</v>
      </c>
      <c r="D394" s="133">
        <f t="shared" si="11"/>
        <v>-23326.835517335108</v>
      </c>
      <c r="E394" s="115">
        <f t="shared" si="12"/>
        <v>-0.34797239965015481</v>
      </c>
      <c r="F394" s="115">
        <f t="shared" si="13"/>
        <v>0.34797239965015481</v>
      </c>
      <c r="G394" s="115">
        <v>9.7963227664881775E-2</v>
      </c>
      <c r="H394" s="115">
        <f t="shared" si="14"/>
        <v>4.8594032808748919E-3</v>
      </c>
    </row>
    <row r="395" spans="1:8" hidden="1" outlineLevel="1" x14ac:dyDescent="0.2">
      <c r="A395" s="124">
        <v>72</v>
      </c>
      <c r="B395" s="133">
        <v>2833.0971</v>
      </c>
      <c r="C395" s="133">
        <v>22932.321592619592</v>
      </c>
      <c r="D395" s="133">
        <f t="shared" si="11"/>
        <v>-20099.224492619593</v>
      </c>
      <c r="E395" s="115">
        <f t="shared" si="12"/>
        <v>-0.29982529660341201</v>
      </c>
      <c r="F395" s="115">
        <f t="shared" si="13"/>
        <v>0.29982529660341201</v>
      </c>
      <c r="G395" s="115">
        <v>3.6317401805094407E-2</v>
      </c>
      <c r="H395" s="115">
        <f t="shared" si="14"/>
        <v>1.1718230238693928E-3</v>
      </c>
    </row>
    <row r="396" spans="1:8" hidden="1" outlineLevel="1" x14ac:dyDescent="0.2">
      <c r="A396" s="124">
        <v>73</v>
      </c>
      <c r="B396" s="133">
        <v>3220.2809999999999</v>
      </c>
      <c r="C396" s="133">
        <v>-36283.839552773017</v>
      </c>
      <c r="D396" s="133">
        <f t="shared" si="11"/>
        <v>39504.12055277302</v>
      </c>
      <c r="E396" s="115">
        <f t="shared" si="12"/>
        <v>0.58929311755990077</v>
      </c>
      <c r="F396" s="115">
        <f t="shared" si="13"/>
        <v>0.58929311755990077</v>
      </c>
      <c r="G396" s="115">
        <v>7.4418325016850251E-2</v>
      </c>
      <c r="H396" s="115">
        <f t="shared" si="14"/>
        <v>1.0055226981604255E-2</v>
      </c>
    </row>
    <row r="397" spans="1:8" hidden="1" outlineLevel="1" x14ac:dyDescent="0.2">
      <c r="A397" s="124">
        <v>74</v>
      </c>
      <c r="B397" s="133">
        <v>4083.6496999999999</v>
      </c>
      <c r="C397" s="133">
        <v>10830.660279945636</v>
      </c>
      <c r="D397" s="133">
        <f t="shared" si="11"/>
        <v>-6747.010579945636</v>
      </c>
      <c r="E397" s="115">
        <f t="shared" si="12"/>
        <v>-0.10064689058333441</v>
      </c>
      <c r="F397" s="115">
        <f t="shared" si="13"/>
        <v>0.10064689058333441</v>
      </c>
      <c r="G397" s="115">
        <v>2.8189701822567477E-2</v>
      </c>
      <c r="H397" s="115">
        <f t="shared" si="14"/>
        <v>1.0078756617650135E-4</v>
      </c>
    </row>
    <row r="398" spans="1:8" hidden="1" outlineLevel="1" x14ac:dyDescent="0.2">
      <c r="A398" s="124">
        <v>75</v>
      </c>
      <c r="B398" s="133">
        <v>759109.37990000006</v>
      </c>
      <c r="C398" s="133">
        <v>47928.118456234442</v>
      </c>
      <c r="D398" s="133">
        <f t="shared" si="11"/>
        <v>711181.2614437656</v>
      </c>
      <c r="E398" s="115">
        <f t="shared" si="12"/>
        <v>10.608873627411024</v>
      </c>
      <c r="F398" s="115">
        <f t="shared" si="13"/>
        <v>10.608873627411024</v>
      </c>
      <c r="G398" s="115">
        <v>4.0447908146665087E-2</v>
      </c>
      <c r="H398" s="115">
        <f t="shared" si="14"/>
        <v>1.6480722637627294</v>
      </c>
    </row>
    <row r="399" spans="1:8" hidden="1" outlineLevel="1" x14ac:dyDescent="0.2">
      <c r="A399" s="124">
        <v>76</v>
      </c>
      <c r="B399" s="123">
        <v>719.44939999999997</v>
      </c>
      <c r="C399" s="133">
        <v>9744.8365247696911</v>
      </c>
      <c r="D399" s="133">
        <f t="shared" si="11"/>
        <v>-9025.3871247696916</v>
      </c>
      <c r="E399" s="115">
        <f t="shared" si="12"/>
        <v>-0.13463401897114699</v>
      </c>
      <c r="F399" s="115">
        <f t="shared" si="13"/>
        <v>0.13463401897114699</v>
      </c>
      <c r="G399" s="115">
        <v>2.8001016387466746E-2</v>
      </c>
      <c r="H399" s="115">
        <f t="shared" si="14"/>
        <v>1.7907317744341876E-4</v>
      </c>
    </row>
    <row r="400" spans="1:8" hidden="1" outlineLevel="1" x14ac:dyDescent="0.2">
      <c r="A400" s="124">
        <v>77</v>
      </c>
      <c r="B400" s="133">
        <v>1905.4384</v>
      </c>
      <c r="C400" s="133">
        <v>20596.955824215955</v>
      </c>
      <c r="D400" s="133">
        <f t="shared" si="11"/>
        <v>-18691.517424215956</v>
      </c>
      <c r="E400" s="115">
        <f t="shared" si="12"/>
        <v>-0.27882616852910136</v>
      </c>
      <c r="F400" s="115">
        <f t="shared" si="13"/>
        <v>0.27882616852910136</v>
      </c>
      <c r="G400" s="115">
        <v>2.3330621878475732E-2</v>
      </c>
      <c r="H400" s="115">
        <f t="shared" si="14"/>
        <v>6.3383611297919277E-4</v>
      </c>
    </row>
    <row r="401" spans="1:8" hidden="1" outlineLevel="1" x14ac:dyDescent="0.2">
      <c r="A401" s="124">
        <v>78</v>
      </c>
      <c r="B401" s="133">
        <v>1454.999</v>
      </c>
      <c r="C401" s="133">
        <v>-2383.1797931996425</v>
      </c>
      <c r="D401" s="133">
        <f t="shared" si="11"/>
        <v>3838.1787931996423</v>
      </c>
      <c r="E401" s="115">
        <f t="shared" si="12"/>
        <v>5.7255099345279448E-2</v>
      </c>
      <c r="F401" s="115">
        <f t="shared" si="13"/>
        <v>5.7255099345279448E-2</v>
      </c>
      <c r="G401" s="115">
        <v>1.9762030767407859E-2</v>
      </c>
      <c r="H401" s="115">
        <f t="shared" si="14"/>
        <v>2.2473753857779816E-5</v>
      </c>
    </row>
    <row r="402" spans="1:8" hidden="1" outlineLevel="1" x14ac:dyDescent="0.2">
      <c r="A402" s="124">
        <v>79</v>
      </c>
      <c r="B402" s="123">
        <v>305.15159999999997</v>
      </c>
      <c r="C402" s="123">
        <v>-371.62762286130419</v>
      </c>
      <c r="D402" s="123">
        <f t="shared" si="11"/>
        <v>676.77922286130411</v>
      </c>
      <c r="E402" s="115">
        <f t="shared" si="12"/>
        <v>1.0095689577671391E-2</v>
      </c>
      <c r="F402" s="115">
        <f t="shared" si="13"/>
        <v>1.0095689577671391E-2</v>
      </c>
      <c r="G402" s="115">
        <v>5.632540405100242E-2</v>
      </c>
      <c r="H402" s="115">
        <f t="shared" si="14"/>
        <v>2.1488718180415592E-6</v>
      </c>
    </row>
    <row r="403" spans="1:8" hidden="1" outlineLevel="1" x14ac:dyDescent="0.2">
      <c r="A403" s="124">
        <v>80</v>
      </c>
      <c r="B403" s="123">
        <v>343.18979999999999</v>
      </c>
      <c r="C403" s="133">
        <v>1777.045910154482</v>
      </c>
      <c r="D403" s="133">
        <f t="shared" si="11"/>
        <v>-1433.8561101544819</v>
      </c>
      <c r="E403" s="115">
        <f t="shared" si="12"/>
        <v>-2.1389200049561272E-2</v>
      </c>
      <c r="F403" s="115">
        <f t="shared" si="13"/>
        <v>2.1389200049561272E-2</v>
      </c>
      <c r="G403" s="115">
        <v>5.6617058896326955E-2</v>
      </c>
      <c r="H403" s="115">
        <f t="shared" si="14"/>
        <v>9.7015046835864199E-6</v>
      </c>
    </row>
    <row r="404" spans="1:8" hidden="1" outlineLevel="1" x14ac:dyDescent="0.2">
      <c r="A404" s="124">
        <v>81</v>
      </c>
      <c r="B404" s="123">
        <v>471.51530000000002</v>
      </c>
      <c r="C404" s="133">
        <v>1263.8820823029037</v>
      </c>
      <c r="D404" s="123">
        <f t="shared" si="11"/>
        <v>-792.36678230290363</v>
      </c>
      <c r="E404" s="115">
        <f t="shared" si="12"/>
        <v>-1.1819938904105242E-2</v>
      </c>
      <c r="F404" s="115">
        <f t="shared" si="13"/>
        <v>1.1819938904105242E-2</v>
      </c>
      <c r="G404" s="115">
        <v>3.9608766200573645E-2</v>
      </c>
      <c r="H404" s="115">
        <f t="shared" si="14"/>
        <v>1.9998809738066977E-6</v>
      </c>
    </row>
    <row r="405" spans="1:8" hidden="1" outlineLevel="1" x14ac:dyDescent="0.2">
      <c r="A405" s="124">
        <v>82</v>
      </c>
      <c r="B405" s="123">
        <v>759.31349999999998</v>
      </c>
      <c r="C405" s="133">
        <v>24578.933074794535</v>
      </c>
      <c r="D405" s="133">
        <f t="shared" si="11"/>
        <v>-23819.619574794535</v>
      </c>
      <c r="E405" s="115">
        <f t="shared" si="12"/>
        <v>-0.35532338606475294</v>
      </c>
      <c r="F405" s="115">
        <f t="shared" si="13"/>
        <v>0.35532338606475294</v>
      </c>
      <c r="G405" s="115">
        <v>2.1135530392202444E-2</v>
      </c>
      <c r="H405" s="115">
        <f t="shared" si="14"/>
        <v>9.2831282481060581E-4</v>
      </c>
    </row>
    <row r="406" spans="1:8" hidden="1" outlineLevel="1" x14ac:dyDescent="0.2">
      <c r="A406" s="124">
        <v>83</v>
      </c>
      <c r="B406" s="133">
        <v>4436.8191999999999</v>
      </c>
      <c r="C406" s="133">
        <v>19218.559734028866</v>
      </c>
      <c r="D406" s="133">
        <f t="shared" si="11"/>
        <v>-14781.740534028866</v>
      </c>
      <c r="E406" s="115">
        <f t="shared" si="12"/>
        <v>-0.22050302197267782</v>
      </c>
      <c r="F406" s="115">
        <f t="shared" si="13"/>
        <v>0.22050302197267782</v>
      </c>
      <c r="G406" s="115">
        <v>3.1693472452144239E-2</v>
      </c>
      <c r="H406" s="115">
        <f t="shared" si="14"/>
        <v>5.4783773426604621E-4</v>
      </c>
    </row>
    <row r="407" spans="1:8" hidden="1" outlineLevel="1" x14ac:dyDescent="0.2">
      <c r="A407" s="124">
        <v>84</v>
      </c>
      <c r="B407" s="133">
        <v>6727.3046000000004</v>
      </c>
      <c r="C407" s="133">
        <v>26680.061370449544</v>
      </c>
      <c r="D407" s="133">
        <f t="shared" si="11"/>
        <v>-19952.756770449545</v>
      </c>
      <c r="E407" s="115">
        <f t="shared" si="12"/>
        <v>-0.29764039995436037</v>
      </c>
      <c r="F407" s="115">
        <f t="shared" si="13"/>
        <v>0.29764039995436037</v>
      </c>
      <c r="G407" s="115">
        <v>3.349754061380527E-2</v>
      </c>
      <c r="H407" s="115">
        <f t="shared" si="14"/>
        <v>1.0589354795766052E-3</v>
      </c>
    </row>
    <row r="408" spans="1:8" hidden="1" outlineLevel="1" x14ac:dyDescent="0.2">
      <c r="A408" s="124">
        <v>85</v>
      </c>
      <c r="B408" s="133">
        <v>6236.2366000000002</v>
      </c>
      <c r="C408" s="133">
        <v>17243.298322040588</v>
      </c>
      <c r="D408" s="133">
        <f t="shared" si="11"/>
        <v>-11007.061722040587</v>
      </c>
      <c r="E408" s="115">
        <f t="shared" si="12"/>
        <v>-0.16419516816455826</v>
      </c>
      <c r="F408" s="115">
        <f t="shared" si="13"/>
        <v>0.16419516816455826</v>
      </c>
      <c r="G408" s="115">
        <v>3.4615383143883391E-2</v>
      </c>
      <c r="H408" s="115">
        <f t="shared" si="14"/>
        <v>3.3378582206400667E-4</v>
      </c>
    </row>
    <row r="409" spans="1:8" hidden="1" outlineLevel="1" x14ac:dyDescent="0.2">
      <c r="A409" s="124">
        <v>86</v>
      </c>
      <c r="B409" s="133">
        <v>5590.6315999999997</v>
      </c>
      <c r="C409" s="133">
        <v>-19505.017973711881</v>
      </c>
      <c r="D409" s="133">
        <f t="shared" si="11"/>
        <v>25095.649573711882</v>
      </c>
      <c r="E409" s="115">
        <f t="shared" si="12"/>
        <v>0.37435825345681228</v>
      </c>
      <c r="F409" s="115">
        <f t="shared" si="13"/>
        <v>0.37435825345681228</v>
      </c>
      <c r="G409" s="115">
        <v>3.8734594659376537E-2</v>
      </c>
      <c r="H409" s="115">
        <f t="shared" si="14"/>
        <v>1.9582401916778897E-3</v>
      </c>
    </row>
    <row r="410" spans="1:8" hidden="1" outlineLevel="1" x14ac:dyDescent="0.2">
      <c r="A410" s="124">
        <v>87</v>
      </c>
      <c r="B410" s="123">
        <v>599.29819999999995</v>
      </c>
      <c r="C410" s="133">
        <v>8783.3289964628984</v>
      </c>
      <c r="D410" s="133">
        <f t="shared" si="11"/>
        <v>-8184.0307964628983</v>
      </c>
      <c r="E410" s="115">
        <f t="shared" si="12"/>
        <v>-0.12208329042058171</v>
      </c>
      <c r="F410" s="115">
        <f t="shared" si="13"/>
        <v>0.12208329042058171</v>
      </c>
      <c r="G410" s="115">
        <v>1.8359991672785032E-2</v>
      </c>
      <c r="H410" s="115">
        <f t="shared" si="14"/>
        <v>9.4658403677017514E-5</v>
      </c>
    </row>
    <row r="411" spans="1:8" hidden="1" outlineLevel="1" x14ac:dyDescent="0.2">
      <c r="A411" s="124">
        <v>88</v>
      </c>
      <c r="B411" s="133">
        <v>11155.011</v>
      </c>
      <c r="C411" s="133">
        <v>42536.783549721687</v>
      </c>
      <c r="D411" s="133">
        <f t="shared" si="11"/>
        <v>-31381.772549721689</v>
      </c>
      <c r="E411" s="115">
        <f t="shared" si="12"/>
        <v>-0.46812996521911121</v>
      </c>
      <c r="F411" s="115">
        <f t="shared" si="13"/>
        <v>0.46812996521911121</v>
      </c>
      <c r="G411" s="115">
        <v>6.2021051867318509E-2</v>
      </c>
      <c r="H411" s="115">
        <f t="shared" si="14"/>
        <v>5.1494941978512719E-3</v>
      </c>
    </row>
    <row r="412" spans="1:8" hidden="1" outlineLevel="1" x14ac:dyDescent="0.2">
      <c r="A412" s="124">
        <v>89</v>
      </c>
      <c r="B412" s="123">
        <v>124.41030000000001</v>
      </c>
      <c r="C412" s="133">
        <v>-10721.570533742257</v>
      </c>
      <c r="D412" s="133">
        <f t="shared" si="11"/>
        <v>10845.980833742256</v>
      </c>
      <c r="E412" s="115">
        <f t="shared" si="12"/>
        <v>0.1617922831612626</v>
      </c>
      <c r="F412" s="115">
        <f t="shared" si="13"/>
        <v>0.1617922831612626</v>
      </c>
      <c r="G412" s="115">
        <v>0.12313570936981598</v>
      </c>
      <c r="H412" s="115">
        <f t="shared" si="14"/>
        <v>1.397377032256747E-3</v>
      </c>
    </row>
    <row r="413" spans="1:8" hidden="1" outlineLevel="1" x14ac:dyDescent="0.2">
      <c r="A413" s="124">
        <v>90</v>
      </c>
      <c r="B413" s="133">
        <v>178833.2904</v>
      </c>
      <c r="C413" s="133">
        <v>45238.869659305063</v>
      </c>
      <c r="D413" s="133">
        <f t="shared" si="11"/>
        <v>133594.42074069494</v>
      </c>
      <c r="E413" s="115">
        <f t="shared" si="12"/>
        <v>1.9928623036101722</v>
      </c>
      <c r="F413" s="115">
        <f t="shared" si="13"/>
        <v>1.9928623036101722</v>
      </c>
      <c r="G413" s="115">
        <v>3.5780145964171124E-2</v>
      </c>
      <c r="H413" s="115">
        <f t="shared" si="14"/>
        <v>5.0947549309795878E-2</v>
      </c>
    </row>
    <row r="414" spans="1:8" hidden="1" outlineLevel="1" x14ac:dyDescent="0.2">
      <c r="A414" s="124">
        <v>91</v>
      </c>
      <c r="B414" s="133">
        <v>7407.2659999999996</v>
      </c>
      <c r="C414" s="133">
        <v>22953.109703169685</v>
      </c>
      <c r="D414" s="133">
        <f t="shared" si="11"/>
        <v>-15545.843703169685</v>
      </c>
      <c r="E414" s="115">
        <f t="shared" si="12"/>
        <v>-0.2319013452964149</v>
      </c>
      <c r="F414" s="115">
        <f t="shared" si="13"/>
        <v>0.2319013452964149</v>
      </c>
      <c r="G414" s="115">
        <v>3.7898242303586835E-2</v>
      </c>
      <c r="H414" s="115">
        <f t="shared" si="14"/>
        <v>7.3394300106936219E-4</v>
      </c>
    </row>
    <row r="415" spans="1:8" hidden="1" outlineLevel="1" x14ac:dyDescent="0.2">
      <c r="A415" s="124">
        <v>92</v>
      </c>
      <c r="B415" s="133">
        <v>3202.2395999999999</v>
      </c>
      <c r="C415" s="133">
        <v>17761.994446935896</v>
      </c>
      <c r="D415" s="133">
        <f t="shared" si="11"/>
        <v>-14559.754846935895</v>
      </c>
      <c r="E415" s="115">
        <f t="shared" si="12"/>
        <v>-0.21719160443521007</v>
      </c>
      <c r="F415" s="115">
        <f t="shared" si="13"/>
        <v>0.21719160443521007</v>
      </c>
      <c r="G415" s="115">
        <v>2.0708562524226024E-2</v>
      </c>
      <c r="H415" s="115">
        <f t="shared" si="14"/>
        <v>3.3953992741965038E-4</v>
      </c>
    </row>
    <row r="416" spans="1:8" hidden="1" outlineLevel="1" x14ac:dyDescent="0.2">
      <c r="A416" s="124">
        <v>93</v>
      </c>
      <c r="B416" s="133">
        <v>3887.6603</v>
      </c>
      <c r="C416" s="133">
        <v>17310.871317236008</v>
      </c>
      <c r="D416" s="133">
        <f t="shared" si="11"/>
        <v>-13423.211017236008</v>
      </c>
      <c r="E416" s="115">
        <f t="shared" si="12"/>
        <v>-0.20023748807277655</v>
      </c>
      <c r="F416" s="115">
        <f t="shared" si="13"/>
        <v>0.20023748807277655</v>
      </c>
      <c r="G416" s="115">
        <v>2.5917810869050883E-2</v>
      </c>
      <c r="H416" s="115">
        <f t="shared" si="14"/>
        <v>3.6507041018516134E-4</v>
      </c>
    </row>
    <row r="417" spans="1:8" hidden="1" outlineLevel="1" x14ac:dyDescent="0.2">
      <c r="A417" s="124">
        <v>94</v>
      </c>
      <c r="B417" s="133">
        <v>4485.9957999999997</v>
      </c>
      <c r="C417" s="133">
        <v>1906.8472066000813</v>
      </c>
      <c r="D417" s="133">
        <f t="shared" si="11"/>
        <v>2579.1485933999184</v>
      </c>
      <c r="E417" s="115">
        <f t="shared" si="12"/>
        <v>3.8473822325053184E-2</v>
      </c>
      <c r="F417" s="115">
        <f t="shared" si="13"/>
        <v>3.8473822325053184E-2</v>
      </c>
      <c r="G417" s="115">
        <v>3.8723283845304247E-2</v>
      </c>
      <c r="H417" s="115">
        <f t="shared" si="14"/>
        <v>2.0676867697789965E-5</v>
      </c>
    </row>
    <row r="418" spans="1:8" hidden="1" outlineLevel="1" x14ac:dyDescent="0.2">
      <c r="A418" s="124">
        <v>95</v>
      </c>
      <c r="B418" s="133">
        <v>1403.5246</v>
      </c>
      <c r="C418" s="133">
        <v>39311.823289921085</v>
      </c>
      <c r="D418" s="133">
        <f t="shared" si="11"/>
        <v>-37908.298689921088</v>
      </c>
      <c r="E418" s="115">
        <f t="shared" si="12"/>
        <v>-0.56548783275742087</v>
      </c>
      <c r="F418" s="115">
        <f t="shared" si="13"/>
        <v>0.56548783275742087</v>
      </c>
      <c r="G418" s="115">
        <v>3.8689652091659033E-2</v>
      </c>
      <c r="H418" s="115">
        <f t="shared" si="14"/>
        <v>4.4626503911231654E-3</v>
      </c>
    </row>
    <row r="419" spans="1:8" hidden="1" outlineLevel="1" x14ac:dyDescent="0.2">
      <c r="A419" s="124">
        <v>96</v>
      </c>
      <c r="B419" s="133">
        <v>5177.2318999999998</v>
      </c>
      <c r="C419" s="133">
        <v>13268.105767450723</v>
      </c>
      <c r="D419" s="133">
        <f t="shared" si="11"/>
        <v>-8090.8738674507231</v>
      </c>
      <c r="E419" s="115">
        <f t="shared" si="12"/>
        <v>-0.12069364457220608</v>
      </c>
      <c r="F419" s="115">
        <f t="shared" si="13"/>
        <v>0.12069364457220608</v>
      </c>
      <c r="G419" s="115">
        <v>1.112571584528296E-2</v>
      </c>
      <c r="H419" s="115">
        <f t="shared" si="14"/>
        <v>5.5245046871666667E-5</v>
      </c>
    </row>
    <row r="420" spans="1:8" hidden="1" outlineLevel="1" x14ac:dyDescent="0.2">
      <c r="A420" s="124">
        <v>97</v>
      </c>
      <c r="B420" s="133">
        <v>1209.0925</v>
      </c>
      <c r="C420" s="133">
        <v>-1189.4947138625084</v>
      </c>
      <c r="D420" s="133">
        <f t="shared" ref="D420:D451" si="15">B420 - C420</f>
        <v>2398.5872138625082</v>
      </c>
      <c r="E420" s="115">
        <f t="shared" ref="E420:E451" si="16">D420 /67036.4532956852</f>
        <v>3.5780341828091505E-2</v>
      </c>
      <c r="F420" s="115">
        <f t="shared" ref="F420:F451" si="17">ABS(E420)</f>
        <v>3.5780341828091505E-2</v>
      </c>
      <c r="G420" s="115">
        <v>3.2070147085308115E-2</v>
      </c>
      <c r="H420" s="115">
        <f t="shared" si="14"/>
        <v>1.4607668292864801E-5</v>
      </c>
    </row>
    <row r="421" spans="1:8" hidden="1" outlineLevel="1" x14ac:dyDescent="0.2">
      <c r="A421" s="124">
        <v>98</v>
      </c>
      <c r="B421" s="133">
        <v>10635.886500000001</v>
      </c>
      <c r="C421" s="133">
        <v>22386.934680122795</v>
      </c>
      <c r="D421" s="133">
        <f t="shared" si="15"/>
        <v>-11751.048180122794</v>
      </c>
      <c r="E421" s="115">
        <f t="shared" si="16"/>
        <v>-0.17529340534009352</v>
      </c>
      <c r="F421" s="115">
        <f t="shared" si="17"/>
        <v>0.17529340534009352</v>
      </c>
      <c r="G421" s="115">
        <v>1.1532631687402879E-2</v>
      </c>
      <c r="H421" s="115">
        <f t="shared" si="14"/>
        <v>1.2089647826659393E-4</v>
      </c>
    </row>
    <row r="422" spans="1:8" hidden="1" outlineLevel="1" x14ac:dyDescent="0.2">
      <c r="A422" s="124">
        <v>99</v>
      </c>
      <c r="B422" s="133">
        <v>2059.2656000000002</v>
      </c>
      <c r="C422" s="133">
        <v>5206.7779399572919</v>
      </c>
      <c r="D422" s="133">
        <f t="shared" si="15"/>
        <v>-3147.5123399572917</v>
      </c>
      <c r="E422" s="115">
        <f t="shared" si="16"/>
        <v>-4.6952250383447434E-2</v>
      </c>
      <c r="F422" s="115">
        <f t="shared" si="17"/>
        <v>4.6952250383447434E-2</v>
      </c>
      <c r="G422" s="115">
        <v>3.1756130798064289E-2</v>
      </c>
      <c r="H422" s="115">
        <f t="shared" si="14"/>
        <v>2.4891418161675306E-5</v>
      </c>
    </row>
    <row r="423" spans="1:8" hidden="1" outlineLevel="1" x14ac:dyDescent="0.2">
      <c r="A423" s="124">
        <v>100</v>
      </c>
      <c r="B423" s="123">
        <v>684.58810000000005</v>
      </c>
      <c r="C423" s="133">
        <v>11788.304224715414</v>
      </c>
      <c r="D423" s="133">
        <f t="shared" si="15"/>
        <v>-11103.716124715413</v>
      </c>
      <c r="E423" s="115">
        <f t="shared" si="16"/>
        <v>-0.16563698672629659</v>
      </c>
      <c r="F423" s="115">
        <f t="shared" si="17"/>
        <v>0.16563698672629659</v>
      </c>
      <c r="G423" s="115">
        <v>4.141849183791118E-2</v>
      </c>
      <c r="H423" s="115">
        <f t="shared" si="14"/>
        <v>4.1222048980929082E-4</v>
      </c>
    </row>
    <row r="424" spans="1:8" hidden="1" outlineLevel="1" x14ac:dyDescent="0.2">
      <c r="A424" s="124">
        <v>101</v>
      </c>
      <c r="B424" s="133">
        <v>2532.3746999999998</v>
      </c>
      <c r="C424" s="133">
        <v>28315.742693906774</v>
      </c>
      <c r="D424" s="133">
        <f t="shared" si="15"/>
        <v>-25783.367993906773</v>
      </c>
      <c r="E424" s="115">
        <f t="shared" si="16"/>
        <v>-0.38461712585212676</v>
      </c>
      <c r="F424" s="115">
        <f t="shared" si="17"/>
        <v>0.38461712585212676</v>
      </c>
      <c r="G424" s="115">
        <v>1.5450898174656155E-2</v>
      </c>
      <c r="H424" s="115">
        <f t="shared" si="14"/>
        <v>7.8598625510054563E-4</v>
      </c>
    </row>
    <row r="425" spans="1:8" hidden="1" outlineLevel="1" x14ac:dyDescent="0.2">
      <c r="A425" s="124">
        <v>102</v>
      </c>
      <c r="B425" s="133">
        <v>1443.3649</v>
      </c>
      <c r="C425" s="123">
        <v>-214.37247523143924</v>
      </c>
      <c r="D425" s="133">
        <f t="shared" si="15"/>
        <v>1657.7373752314393</v>
      </c>
      <c r="E425" s="115">
        <f t="shared" si="16"/>
        <v>2.4728894410918058E-2</v>
      </c>
      <c r="F425" s="115">
        <f t="shared" si="17"/>
        <v>2.4728894410918058E-2</v>
      </c>
      <c r="G425" s="115">
        <v>1.7998717047405299E-2</v>
      </c>
      <c r="H425" s="115">
        <f t="shared" si="14"/>
        <v>3.8045700511130377E-6</v>
      </c>
    </row>
    <row r="426" spans="1:8" hidden="1" outlineLevel="1" x14ac:dyDescent="0.2">
      <c r="A426" s="124">
        <v>103</v>
      </c>
      <c r="B426" s="133">
        <v>5264.8521000000001</v>
      </c>
      <c r="C426" s="133">
        <v>25396.1188339285</v>
      </c>
      <c r="D426" s="133">
        <f t="shared" si="15"/>
        <v>-20131.2667339285</v>
      </c>
      <c r="E426" s="115">
        <f t="shared" si="16"/>
        <v>-0.30030327895083087</v>
      </c>
      <c r="F426" s="115">
        <f t="shared" si="17"/>
        <v>0.30030327895083087</v>
      </c>
      <c r="G426" s="115">
        <v>2.1793908505530906E-2</v>
      </c>
      <c r="H426" s="115">
        <f t="shared" si="14"/>
        <v>6.84657375744896E-4</v>
      </c>
    </row>
    <row r="427" spans="1:8" hidden="1" outlineLevel="1" x14ac:dyDescent="0.2">
      <c r="A427" s="124">
        <v>104</v>
      </c>
      <c r="B427" s="133">
        <v>19172.8344</v>
      </c>
      <c r="C427" s="133">
        <v>26130.182700747348</v>
      </c>
      <c r="D427" s="133">
        <f t="shared" si="15"/>
        <v>-6957.3483007473478</v>
      </c>
      <c r="E427" s="115">
        <f t="shared" si="16"/>
        <v>-0.10378455241448695</v>
      </c>
      <c r="F427" s="115">
        <f t="shared" si="17"/>
        <v>0.10378455241448695</v>
      </c>
      <c r="G427" s="115">
        <v>2.2953647553738153E-2</v>
      </c>
      <c r="H427" s="115">
        <f t="shared" si="14"/>
        <v>8.633075759975071E-5</v>
      </c>
    </row>
    <row r="428" spans="1:8" hidden="1" outlineLevel="1" x14ac:dyDescent="0.2">
      <c r="A428" s="124">
        <v>105</v>
      </c>
      <c r="B428" s="133">
        <v>5688.8769000000002</v>
      </c>
      <c r="C428" s="133">
        <v>9658.7123682050424</v>
      </c>
      <c r="D428" s="133">
        <f t="shared" si="15"/>
        <v>-3969.8354682050422</v>
      </c>
      <c r="E428" s="115">
        <f t="shared" si="16"/>
        <v>-5.9219055797818589E-2</v>
      </c>
      <c r="F428" s="115">
        <f t="shared" si="17"/>
        <v>5.9219055797818589E-2</v>
      </c>
      <c r="G428" s="115">
        <v>2.2544879301171779E-2</v>
      </c>
      <c r="H428" s="115">
        <f t="shared" si="14"/>
        <v>2.7583918743057953E-5</v>
      </c>
    </row>
    <row r="429" spans="1:8" hidden="1" outlineLevel="1" x14ac:dyDescent="0.2">
      <c r="A429" s="124">
        <v>106</v>
      </c>
      <c r="B429" s="133">
        <v>103894.19990000001</v>
      </c>
      <c r="C429" s="133">
        <v>23416.552897139285</v>
      </c>
      <c r="D429" s="133">
        <f t="shared" si="15"/>
        <v>80477.647002860729</v>
      </c>
      <c r="E429" s="115">
        <f t="shared" si="16"/>
        <v>1.2005057404795707</v>
      </c>
      <c r="F429" s="115">
        <f t="shared" si="17"/>
        <v>1.2005057404795707</v>
      </c>
      <c r="G429" s="115">
        <v>2.1422093911233356E-2</v>
      </c>
      <c r="H429" s="115">
        <f t="shared" si="14"/>
        <v>1.0746779391884478E-2</v>
      </c>
    </row>
    <row r="430" spans="1:8" hidden="1" outlineLevel="1" x14ac:dyDescent="0.2">
      <c r="A430" s="124">
        <v>107</v>
      </c>
      <c r="B430" s="133">
        <v>1118.7239</v>
      </c>
      <c r="C430" s="133">
        <v>9709.8089129125929</v>
      </c>
      <c r="D430" s="133">
        <f t="shared" si="15"/>
        <v>-8591.0850129125938</v>
      </c>
      <c r="E430" s="115">
        <f t="shared" si="16"/>
        <v>-0.12815542276705677</v>
      </c>
      <c r="F430" s="115">
        <f t="shared" si="17"/>
        <v>0.12815542276705677</v>
      </c>
      <c r="G430" s="115">
        <v>3.3830926117306433E-2</v>
      </c>
      <c r="H430" s="115">
        <f t="shared" si="14"/>
        <v>1.9840853171065856E-4</v>
      </c>
    </row>
    <row r="431" spans="1:8" hidden="1" outlineLevel="1" x14ac:dyDescent="0.2">
      <c r="A431" s="124">
        <v>108</v>
      </c>
      <c r="B431" s="133">
        <v>1346.6967</v>
      </c>
      <c r="C431" s="123">
        <v>-181.21071354670312</v>
      </c>
      <c r="D431" s="133">
        <f t="shared" si="15"/>
        <v>1527.9074135467031</v>
      </c>
      <c r="E431" s="115">
        <f t="shared" si="16"/>
        <v>2.2792187510389167E-2</v>
      </c>
      <c r="F431" s="115">
        <f t="shared" si="17"/>
        <v>2.2792187510389167E-2</v>
      </c>
      <c r="G431" s="115">
        <v>3.2696244292694888E-2</v>
      </c>
      <c r="H431" s="115">
        <f t="shared" si="14"/>
        <v>6.050940538445892E-6</v>
      </c>
    </row>
    <row r="432" spans="1:8" hidden="1" outlineLevel="1" x14ac:dyDescent="0.2">
      <c r="A432" s="124">
        <v>109</v>
      </c>
      <c r="B432" s="133">
        <v>30069.100900000001</v>
      </c>
      <c r="C432" s="133">
        <v>13963.506302622844</v>
      </c>
      <c r="D432" s="133">
        <f t="shared" si="15"/>
        <v>16105.594597377158</v>
      </c>
      <c r="E432" s="115">
        <f t="shared" si="16"/>
        <v>0.24025129322308275</v>
      </c>
      <c r="F432" s="115">
        <f t="shared" si="17"/>
        <v>0.24025129322308275</v>
      </c>
      <c r="G432" s="115">
        <v>1.5542797438065352E-2</v>
      </c>
      <c r="H432" s="115">
        <f t="shared" si="14"/>
        <v>3.0856432912870784E-4</v>
      </c>
    </row>
    <row r="433" spans="1:8" hidden="1" outlineLevel="1" x14ac:dyDescent="0.2">
      <c r="A433" s="124">
        <v>110</v>
      </c>
      <c r="B433" s="133">
        <v>11763.517900000001</v>
      </c>
      <c r="C433" s="123">
        <v>789.27215302843433</v>
      </c>
      <c r="D433" s="133">
        <f t="shared" si="15"/>
        <v>10974.245746971566</v>
      </c>
      <c r="E433" s="115">
        <f t="shared" si="16"/>
        <v>0.16370564383181535</v>
      </c>
      <c r="F433" s="115">
        <f t="shared" si="17"/>
        <v>0.16370564383181535</v>
      </c>
      <c r="G433" s="115">
        <v>3.1805478930399145E-2</v>
      </c>
      <c r="H433" s="115">
        <f t="shared" si="14"/>
        <v>3.0309777474131223E-4</v>
      </c>
    </row>
    <row r="434" spans="1:8" hidden="1" outlineLevel="1" x14ac:dyDescent="0.2">
      <c r="A434" s="124">
        <v>111</v>
      </c>
      <c r="B434" s="123">
        <v>388.22890000000001</v>
      </c>
      <c r="C434" s="133">
        <v>9915.4097168739117</v>
      </c>
      <c r="D434" s="133">
        <f t="shared" si="15"/>
        <v>-9527.1808168739117</v>
      </c>
      <c r="E434" s="115">
        <f t="shared" si="16"/>
        <v>-0.14211940442092463</v>
      </c>
      <c r="F434" s="115">
        <f t="shared" si="17"/>
        <v>0.14211940442092463</v>
      </c>
      <c r="G434" s="115">
        <v>3.9907553673694328E-2</v>
      </c>
      <c r="H434" s="115">
        <f t="shared" si="14"/>
        <v>2.9148385437896866E-4</v>
      </c>
    </row>
    <row r="435" spans="1:8" hidden="1" outlineLevel="1" x14ac:dyDescent="0.2">
      <c r="A435" s="124">
        <v>112</v>
      </c>
      <c r="B435" s="133">
        <v>2499.6136000000001</v>
      </c>
      <c r="C435" s="133">
        <v>-11857.247842284925</v>
      </c>
      <c r="D435" s="133">
        <f t="shared" si="15"/>
        <v>14356.861442284926</v>
      </c>
      <c r="E435" s="115">
        <f t="shared" si="16"/>
        <v>0.21416499138102529</v>
      </c>
      <c r="F435" s="115">
        <f t="shared" si="17"/>
        <v>0.21416499138102529</v>
      </c>
      <c r="G435" s="115">
        <v>8.6988960836610424E-2</v>
      </c>
      <c r="H435" s="115">
        <f t="shared" si="14"/>
        <v>1.5954668721711485E-3</v>
      </c>
    </row>
    <row r="436" spans="1:8" hidden="1" outlineLevel="1" x14ac:dyDescent="0.2">
      <c r="A436" s="124">
        <v>113</v>
      </c>
      <c r="B436" s="133">
        <v>12778.339900000001</v>
      </c>
      <c r="C436" s="123">
        <v>720.98527758291129</v>
      </c>
      <c r="D436" s="133">
        <f t="shared" si="15"/>
        <v>12057.35462241709</v>
      </c>
      <c r="E436" s="115">
        <f t="shared" si="16"/>
        <v>0.17986265725059114</v>
      </c>
      <c r="F436" s="115">
        <f t="shared" si="17"/>
        <v>0.17986265725059114</v>
      </c>
      <c r="G436" s="115">
        <v>2.5205484114857006E-2</v>
      </c>
      <c r="H436" s="115">
        <f t="shared" si="14"/>
        <v>2.8604189377037304E-4</v>
      </c>
    </row>
    <row r="437" spans="1:8" hidden="1" outlineLevel="1" x14ac:dyDescent="0.2">
      <c r="A437" s="124">
        <v>114</v>
      </c>
      <c r="B437" s="133">
        <v>1335.0657000000001</v>
      </c>
      <c r="C437" s="133">
        <v>16026.566981441107</v>
      </c>
      <c r="D437" s="133">
        <f t="shared" si="15"/>
        <v>-14691.501281441106</v>
      </c>
      <c r="E437" s="115">
        <f t="shared" si="16"/>
        <v>-0.21915689985327316</v>
      </c>
      <c r="F437" s="115">
        <f t="shared" si="17"/>
        <v>0.21915689985327316</v>
      </c>
      <c r="G437" s="115">
        <v>1.9959378968619525E-2</v>
      </c>
      <c r="H437" s="115">
        <f t="shared" si="14"/>
        <v>3.3269625521124526E-4</v>
      </c>
    </row>
    <row r="438" spans="1:8" hidden="1" outlineLevel="1" x14ac:dyDescent="0.2">
      <c r="A438" s="124">
        <v>115</v>
      </c>
      <c r="B438" s="133">
        <v>18277.499500000002</v>
      </c>
      <c r="C438" s="133">
        <v>40206.753624523044</v>
      </c>
      <c r="D438" s="133">
        <f t="shared" si="15"/>
        <v>-21929.254124523042</v>
      </c>
      <c r="E438" s="115">
        <f t="shared" si="16"/>
        <v>-0.32712431888061294</v>
      </c>
      <c r="F438" s="115">
        <f t="shared" si="17"/>
        <v>0.32712431888061294</v>
      </c>
      <c r="G438" s="115">
        <v>0.19533377923089995</v>
      </c>
      <c r="H438" s="115">
        <f t="shared" si="14"/>
        <v>1.0760940249636241E-2</v>
      </c>
    </row>
    <row r="439" spans="1:8" hidden="1" outlineLevel="1" x14ac:dyDescent="0.2">
      <c r="A439" s="124">
        <v>116</v>
      </c>
      <c r="B439" s="133">
        <v>14628.111500000001</v>
      </c>
      <c r="C439" s="133">
        <v>41095.149494667945</v>
      </c>
      <c r="D439" s="133">
        <f t="shared" si="15"/>
        <v>-26467.037994667946</v>
      </c>
      <c r="E439" s="115">
        <f t="shared" si="16"/>
        <v>-0.39481560693443629</v>
      </c>
      <c r="F439" s="115">
        <f t="shared" si="17"/>
        <v>0.39481560693443629</v>
      </c>
      <c r="G439" s="115">
        <v>3.9928368208831347E-2</v>
      </c>
      <c r="H439" s="115">
        <f t="shared" si="14"/>
        <v>2.2508246159761943E-3</v>
      </c>
    </row>
    <row r="440" spans="1:8" hidden="1" outlineLevel="1" x14ac:dyDescent="0.2">
      <c r="A440" s="124">
        <v>117</v>
      </c>
      <c r="B440" s="133">
        <v>13254.6572</v>
      </c>
      <c r="C440" s="133">
        <v>26492.806022832792</v>
      </c>
      <c r="D440" s="133">
        <f t="shared" si="15"/>
        <v>-13238.148822832793</v>
      </c>
      <c r="E440" s="115">
        <f t="shared" si="16"/>
        <v>-0.19747686776389861</v>
      </c>
      <c r="F440" s="115">
        <f t="shared" si="17"/>
        <v>0.19747686776389861</v>
      </c>
      <c r="G440" s="115">
        <v>4.6573353171801044E-2</v>
      </c>
      <c r="H440" s="115">
        <f t="shared" si="14"/>
        <v>6.6599986559369505E-4</v>
      </c>
    </row>
    <row r="441" spans="1:8" hidden="1" outlineLevel="1" x14ac:dyDescent="0.2">
      <c r="A441" s="124">
        <v>118</v>
      </c>
      <c r="B441" s="133">
        <v>7440.2691999999997</v>
      </c>
      <c r="C441" s="133">
        <v>9094.4037610088908</v>
      </c>
      <c r="D441" s="133">
        <f t="shared" si="15"/>
        <v>-1654.1345610088911</v>
      </c>
      <c r="E441" s="115">
        <f t="shared" si="16"/>
        <v>-2.4675150305354224E-2</v>
      </c>
      <c r="F441" s="115">
        <f t="shared" si="17"/>
        <v>2.4675150305354224E-2</v>
      </c>
      <c r="G441" s="115">
        <v>4.0780262313718812E-2</v>
      </c>
      <c r="H441" s="115">
        <f t="shared" si="14"/>
        <v>8.9952276877087523E-6</v>
      </c>
    </row>
    <row r="442" spans="1:8" hidden="1" outlineLevel="1" x14ac:dyDescent="0.2">
      <c r="A442" s="124">
        <v>119</v>
      </c>
      <c r="B442" s="133">
        <v>1708.3059000000001</v>
      </c>
      <c r="C442" s="133">
        <v>-9510.4608257073505</v>
      </c>
      <c r="D442" s="133">
        <f t="shared" si="15"/>
        <v>11218.76672570735</v>
      </c>
      <c r="E442" s="115">
        <f t="shared" si="16"/>
        <v>0.16735322610555597</v>
      </c>
      <c r="F442" s="115">
        <f t="shared" si="17"/>
        <v>0.16735322610555597</v>
      </c>
      <c r="G442" s="115">
        <v>3.629881650156689E-2</v>
      </c>
      <c r="H442" s="115">
        <f t="shared" si="14"/>
        <v>3.6488381799747437E-4</v>
      </c>
    </row>
    <row r="443" spans="1:8" hidden="1" outlineLevel="1" x14ac:dyDescent="0.2">
      <c r="A443" s="124">
        <v>120</v>
      </c>
      <c r="B443" s="133">
        <v>2961.8824</v>
      </c>
      <c r="C443" s="133">
        <v>6692.9706534859561</v>
      </c>
      <c r="D443" s="133">
        <f t="shared" si="15"/>
        <v>-3731.0882534859561</v>
      </c>
      <c r="E443" s="115">
        <f t="shared" si="16"/>
        <v>-5.5657602245584602E-2</v>
      </c>
      <c r="F443" s="115">
        <f t="shared" si="17"/>
        <v>5.5657602245584602E-2</v>
      </c>
      <c r="G443" s="115">
        <v>6.1795931182125452E-2</v>
      </c>
      <c r="H443" s="115">
        <f t="shared" si="14"/>
        <v>7.2492485038819598E-5</v>
      </c>
    </row>
    <row r="444" spans="1:8" hidden="1" outlineLevel="1" x14ac:dyDescent="0.2">
      <c r="A444" s="124">
        <v>121</v>
      </c>
      <c r="B444" s="133">
        <v>1498.6233999999999</v>
      </c>
      <c r="C444" s="133">
        <v>8639.4146323472141</v>
      </c>
      <c r="D444" s="133">
        <f t="shared" si="15"/>
        <v>-7140.7912323472137</v>
      </c>
      <c r="E444" s="115">
        <f t="shared" si="16"/>
        <v>-0.10652101776402945</v>
      </c>
      <c r="F444" s="115">
        <f t="shared" si="17"/>
        <v>0.10652101776402945</v>
      </c>
      <c r="G444" s="115">
        <v>9.5929635842153693E-2</v>
      </c>
      <c r="H444" s="115">
        <f t="shared" si="14"/>
        <v>4.4391282211556478E-4</v>
      </c>
    </row>
    <row r="445" spans="1:8" hidden="1" outlineLevel="1" x14ac:dyDescent="0.2">
      <c r="A445" s="124">
        <v>122</v>
      </c>
      <c r="B445" s="133">
        <v>11310.248799999999</v>
      </c>
      <c r="C445" s="133">
        <v>16043.432249989872</v>
      </c>
      <c r="D445" s="133">
        <f t="shared" si="15"/>
        <v>-4733.1834499898723</v>
      </c>
      <c r="E445" s="115">
        <f t="shared" si="16"/>
        <v>-7.0606113797707773E-2</v>
      </c>
      <c r="F445" s="115">
        <f t="shared" si="17"/>
        <v>7.0606113797707773E-2</v>
      </c>
      <c r="G445" s="115">
        <v>6.9781689038080588E-2</v>
      </c>
      <c r="H445" s="115">
        <f t="shared" si="14"/>
        <v>1.3400934076623393E-4</v>
      </c>
    </row>
    <row r="446" spans="1:8" hidden="1" outlineLevel="1" x14ac:dyDescent="0.2">
      <c r="A446" s="124">
        <v>123</v>
      </c>
      <c r="B446" s="133">
        <v>6079.7704000000003</v>
      </c>
      <c r="C446" s="133">
        <v>-7506.9249164948178</v>
      </c>
      <c r="D446" s="133">
        <f t="shared" si="15"/>
        <v>13586.695316494817</v>
      </c>
      <c r="E446" s="115">
        <f t="shared" si="16"/>
        <v>0.2026762253749681</v>
      </c>
      <c r="F446" s="115">
        <f t="shared" si="17"/>
        <v>0.2026762253749681</v>
      </c>
      <c r="G446" s="115">
        <v>4.594224969503332E-2</v>
      </c>
      <c r="H446" s="115">
        <f t="shared" si="14"/>
        <v>6.9111018014565186E-4</v>
      </c>
    </row>
    <row r="447" spans="1:8" hidden="1" outlineLevel="1" x14ac:dyDescent="0.2">
      <c r="A447" s="124">
        <v>124</v>
      </c>
      <c r="B447" s="133">
        <v>11136.6034</v>
      </c>
      <c r="C447" s="133">
        <v>70882.469531808631</v>
      </c>
      <c r="D447" s="133">
        <f t="shared" si="15"/>
        <v>-59745.866131808631</v>
      </c>
      <c r="E447" s="115">
        <f t="shared" si="16"/>
        <v>-0.89124443783266449</v>
      </c>
      <c r="F447" s="115">
        <f t="shared" si="17"/>
        <v>0.89124443783266449</v>
      </c>
      <c r="G447" s="115">
        <v>0.20809719486905243</v>
      </c>
      <c r="H447" s="115">
        <f t="shared" si="14"/>
        <v>8.7860743394035615E-2</v>
      </c>
    </row>
    <row r="448" spans="1:8" hidden="1" outlineLevel="1" x14ac:dyDescent="0.2">
      <c r="A448" s="124">
        <v>125</v>
      </c>
      <c r="B448" s="133">
        <v>8730.4277999999995</v>
      </c>
      <c r="C448" s="133">
        <v>18082.589561710745</v>
      </c>
      <c r="D448" s="133">
        <f t="shared" si="15"/>
        <v>-9352.1617617107458</v>
      </c>
      <c r="E448" s="115">
        <f t="shared" si="16"/>
        <v>-0.13950860020085068</v>
      </c>
      <c r="F448" s="115">
        <f t="shared" si="17"/>
        <v>0.13950860020085068</v>
      </c>
      <c r="G448" s="115">
        <v>1.3400848108458603E-2</v>
      </c>
      <c r="H448" s="115">
        <f t="shared" si="14"/>
        <v>8.9316463062464631E-5</v>
      </c>
    </row>
    <row r="449" spans="1:8" hidden="1" outlineLevel="1" x14ac:dyDescent="0.2">
      <c r="A449" s="124">
        <v>126</v>
      </c>
      <c r="B449" s="123">
        <v>789.97940000000006</v>
      </c>
      <c r="C449" s="133">
        <v>13616.757209027564</v>
      </c>
      <c r="D449" s="133">
        <f t="shared" si="15"/>
        <v>-12826.777809027564</v>
      </c>
      <c r="E449" s="115">
        <f t="shared" si="16"/>
        <v>-0.19134034064199454</v>
      </c>
      <c r="F449" s="115">
        <f t="shared" si="17"/>
        <v>0.19134034064199454</v>
      </c>
      <c r="G449" s="115">
        <v>5.1952892219836247E-2</v>
      </c>
      <c r="H449" s="115">
        <f t="shared" si="14"/>
        <v>7.054101840736455E-4</v>
      </c>
    </row>
    <row r="450" spans="1:8" hidden="1" outlineLevel="1" x14ac:dyDescent="0.2">
      <c r="A450" s="124">
        <v>127</v>
      </c>
      <c r="B450" s="133">
        <v>1637.1987999999999</v>
      </c>
      <c r="C450" s="133">
        <v>3445.3329652045122</v>
      </c>
      <c r="D450" s="133">
        <f t="shared" si="15"/>
        <v>-1808.1341652045123</v>
      </c>
      <c r="E450" s="115">
        <f t="shared" si="16"/>
        <v>-2.6972401974030041E-2</v>
      </c>
      <c r="F450" s="115">
        <f t="shared" si="17"/>
        <v>2.6972401974030041E-2</v>
      </c>
      <c r="G450" s="115">
        <v>3.6765183149822911E-2</v>
      </c>
      <c r="H450" s="115">
        <f t="shared" si="14"/>
        <v>9.6092696770128144E-6</v>
      </c>
    </row>
    <row r="451" spans="1:8" hidden="1" outlineLevel="1" x14ac:dyDescent="0.2">
      <c r="A451" s="124">
        <v>128</v>
      </c>
      <c r="B451" s="133">
        <v>11492.5267</v>
      </c>
      <c r="C451" s="133">
        <v>22413.100489642035</v>
      </c>
      <c r="D451" s="133">
        <f t="shared" si="15"/>
        <v>-10920.573789642034</v>
      </c>
      <c r="E451" s="115">
        <f t="shared" si="16"/>
        <v>-0.16290500545238326</v>
      </c>
      <c r="F451" s="115">
        <f t="shared" si="17"/>
        <v>0.16290500545238326</v>
      </c>
      <c r="G451" s="115">
        <v>2.7026472322710542E-2</v>
      </c>
      <c r="H451" s="115">
        <f t="shared" si="14"/>
        <v>2.5254275652080148E-4</v>
      </c>
    </row>
    <row r="452" spans="1:8" hidden="1" outlineLevel="1" x14ac:dyDescent="0.2">
      <c r="A452" s="124">
        <v>129</v>
      </c>
      <c r="B452" s="133">
        <v>49272.508399999999</v>
      </c>
      <c r="C452" s="133">
        <v>31500.443690690197</v>
      </c>
      <c r="D452" s="133">
        <f t="shared" ref="D452:D459" si="18">B452 - C452</f>
        <v>17772.064709309801</v>
      </c>
      <c r="E452" s="115">
        <f t="shared" ref="E452:E459" si="19">D452 /67036.4532956852</f>
        <v>0.26511045611140199</v>
      </c>
      <c r="F452" s="115">
        <f t="shared" ref="F452:F459" si="20">ABS(E452)</f>
        <v>0.26511045611140199</v>
      </c>
      <c r="G452" s="115">
        <v>0.10929373309974402</v>
      </c>
      <c r="H452" s="115">
        <f t="shared" si="14"/>
        <v>3.2274439100108952E-3</v>
      </c>
    </row>
    <row r="453" spans="1:8" hidden="1" outlineLevel="1" x14ac:dyDescent="0.2">
      <c r="A453" s="124">
        <v>130</v>
      </c>
      <c r="B453" s="133">
        <v>4154.2816999999995</v>
      </c>
      <c r="C453" s="133">
        <v>5814.5409153722339</v>
      </c>
      <c r="D453" s="133">
        <f t="shared" si="18"/>
        <v>-1660.2592153722344</v>
      </c>
      <c r="E453" s="115">
        <f t="shared" si="19"/>
        <v>-2.4766513348329196E-2</v>
      </c>
      <c r="F453" s="115">
        <f t="shared" si="20"/>
        <v>2.4766513348329196E-2</v>
      </c>
      <c r="G453" s="115">
        <v>3.147637953428542E-2</v>
      </c>
      <c r="H453" s="115">
        <f t="shared" ref="H453:H459" si="21">(F453^2/3)*(G453/(1-G453)^2)</f>
        <v>6.860769458012556E-6</v>
      </c>
    </row>
    <row r="454" spans="1:8" hidden="1" outlineLevel="1" x14ac:dyDescent="0.2">
      <c r="A454" s="124">
        <v>131</v>
      </c>
      <c r="B454" s="133">
        <v>25456.8783</v>
      </c>
      <c r="C454" s="133">
        <v>11972.884200770526</v>
      </c>
      <c r="D454" s="133">
        <f t="shared" si="18"/>
        <v>13483.994099229474</v>
      </c>
      <c r="E454" s="115">
        <f t="shared" si="19"/>
        <v>0.20114420492614829</v>
      </c>
      <c r="F454" s="115">
        <f t="shared" si="20"/>
        <v>0.20114420492614829</v>
      </c>
      <c r="G454" s="115">
        <v>4.6848645908670751E-2</v>
      </c>
      <c r="H454" s="115">
        <f t="shared" si="21"/>
        <v>6.9545190216304135E-4</v>
      </c>
    </row>
    <row r="455" spans="1:8" hidden="1" outlineLevel="1" x14ac:dyDescent="0.2">
      <c r="A455" s="124">
        <v>132</v>
      </c>
      <c r="B455" s="133">
        <v>1360.3652</v>
      </c>
      <c r="C455" s="133">
        <v>-9995.0175555037004</v>
      </c>
      <c r="D455" s="133">
        <f t="shared" si="18"/>
        <v>11355.382755503701</v>
      </c>
      <c r="E455" s="115">
        <f t="shared" si="19"/>
        <v>0.16939116252790462</v>
      </c>
      <c r="F455" s="115">
        <f t="shared" si="20"/>
        <v>0.16939116252790462</v>
      </c>
      <c r="G455" s="115">
        <v>3.9522315347450106E-2</v>
      </c>
      <c r="H455" s="115">
        <f t="shared" si="21"/>
        <v>4.0975858681503171E-4</v>
      </c>
    </row>
    <row r="456" spans="1:8" hidden="1" outlineLevel="1" x14ac:dyDescent="0.2">
      <c r="A456" s="124">
        <v>133</v>
      </c>
      <c r="B456" s="133">
        <v>1797.1029000000001</v>
      </c>
      <c r="C456" s="133">
        <v>-16337.301117827172</v>
      </c>
      <c r="D456" s="133">
        <f t="shared" si="18"/>
        <v>18134.404017827172</v>
      </c>
      <c r="E456" s="115">
        <f t="shared" si="19"/>
        <v>0.27051556468597349</v>
      </c>
      <c r="F456" s="115">
        <f t="shared" si="20"/>
        <v>0.27051556468597349</v>
      </c>
      <c r="G456" s="115">
        <v>6.8384852697709678E-2</v>
      </c>
      <c r="H456" s="115">
        <f t="shared" si="21"/>
        <v>1.9219854477608249E-3</v>
      </c>
    </row>
    <row r="457" spans="1:8" hidden="1" outlineLevel="1" x14ac:dyDescent="0.2">
      <c r="A457" s="124">
        <v>134</v>
      </c>
      <c r="B457" s="133">
        <v>5616.1094999999996</v>
      </c>
      <c r="C457" s="133">
        <v>-1993.4001269040036</v>
      </c>
      <c r="D457" s="133">
        <f t="shared" si="18"/>
        <v>7609.5096269040032</v>
      </c>
      <c r="E457" s="115">
        <f t="shared" si="19"/>
        <v>0.1135130105010163</v>
      </c>
      <c r="F457" s="115">
        <f t="shared" si="20"/>
        <v>0.1135130105010163</v>
      </c>
      <c r="G457" s="115">
        <v>1.4635600239497636E-2</v>
      </c>
      <c r="H457" s="115">
        <f t="shared" si="21"/>
        <v>6.474210746496432E-5</v>
      </c>
    </row>
    <row r="458" spans="1:8" hidden="1" outlineLevel="1" x14ac:dyDescent="0.2">
      <c r="A458" s="124">
        <v>135</v>
      </c>
      <c r="B458" s="133">
        <v>2858.7084</v>
      </c>
      <c r="C458" s="133">
        <v>20261.893195134842</v>
      </c>
      <c r="D458" s="133">
        <f t="shared" si="18"/>
        <v>-17403.184795134843</v>
      </c>
      <c r="E458" s="115">
        <f t="shared" si="19"/>
        <v>-0.25960777964151333</v>
      </c>
      <c r="F458" s="115">
        <f t="shared" si="20"/>
        <v>0.25960777964151333</v>
      </c>
      <c r="G458" s="115">
        <v>3.9933729332947102E-2</v>
      </c>
      <c r="H458" s="115">
        <f t="shared" si="21"/>
        <v>9.7331092115101811E-4</v>
      </c>
    </row>
    <row r="459" spans="1:8" hidden="1" outlineLevel="1" x14ac:dyDescent="0.2">
      <c r="A459" s="124">
        <v>136</v>
      </c>
      <c r="B459" s="133">
        <v>2202.7654000000002</v>
      </c>
      <c r="C459" s="133">
        <v>3780.8171586977387</v>
      </c>
      <c r="D459" s="133">
        <f t="shared" si="18"/>
        <v>-1578.0517586977385</v>
      </c>
      <c r="E459" s="115">
        <f t="shared" si="19"/>
        <v>-2.3540203592473018E-2</v>
      </c>
      <c r="F459" s="115">
        <f t="shared" si="20"/>
        <v>2.3540203592473018E-2</v>
      </c>
      <c r="G459" s="115">
        <v>3.9891659313701831E-2</v>
      </c>
      <c r="H459" s="115">
        <f t="shared" si="21"/>
        <v>7.9935701544010794E-6</v>
      </c>
    </row>
    <row r="460" spans="1:8" collapsed="1" x14ac:dyDescent="0.2">
      <c r="A460" s="138"/>
    </row>
    <row r="463" spans="1:8" x14ac:dyDescent="0.2">
      <c r="A463" s="117" t="s">
        <v>659</v>
      </c>
    </row>
  </sheetData>
  <sortState xmlns:xlrd2="http://schemas.microsoft.com/office/spreadsheetml/2017/richdata2" ref="A324:F459">
    <sortCondition ref="A324"/>
    <sortCondition descending="1" ref="F324"/>
  </sortState>
  <dataValidations count="1">
    <dataValidation type="decimal" allowBlank="1" showInputMessage="1" showErrorMessage="1" error="Please enter a confidence level between 0 and 1." sqref="I10" xr:uid="{00000000-0002-0000-1000-000000000000}">
      <formula1>0</formula1>
      <formula2>1</formula2>
    </dataValidation>
  </dataValidations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Z36"/>
  <sheetViews>
    <sheetView showGridLines="0" showRowColHeaders="0" zoomScale="115" zoomScaleNormal="115" workbookViewId="0">
      <selection activeCell="H46" sqref="H46"/>
    </sheetView>
  </sheetViews>
  <sheetFormatPr defaultRowHeight="11.25" outlineLevelRow="1" x14ac:dyDescent="0.2"/>
  <cols>
    <col min="1" max="1" width="15.7109375" style="115" customWidth="1"/>
    <col min="2" max="10" width="10.7109375" style="115" customWidth="1"/>
    <col min="11" max="77" width="9.140625" style="115"/>
    <col min="78" max="78" width="9.140625" style="115" customWidth="1"/>
    <col min="79" max="16384" width="9.140625" style="115"/>
  </cols>
  <sheetData>
    <row r="1" spans="1:78" x14ac:dyDescent="0.2">
      <c r="A1" s="116" t="s">
        <v>618</v>
      </c>
      <c r="B1" s="115" t="s">
        <v>794</v>
      </c>
      <c r="M1" s="117" t="s">
        <v>660</v>
      </c>
      <c r="N1" s="117" t="s">
        <v>661</v>
      </c>
      <c r="O1" s="117" t="s">
        <v>665</v>
      </c>
      <c r="Q1" s="117" t="s">
        <v>635</v>
      </c>
      <c r="R1" s="117" t="s">
        <v>795</v>
      </c>
      <c r="U1" s="117" t="s">
        <v>666</v>
      </c>
      <c r="Z1" s="140" t="s">
        <v>796</v>
      </c>
      <c r="BZ1" s="118" t="s">
        <v>796</v>
      </c>
    </row>
    <row r="2" spans="1:78" x14ac:dyDescent="0.2">
      <c r="A2" s="116" t="s">
        <v>619</v>
      </c>
      <c r="C2" s="115" t="s">
        <v>718</v>
      </c>
      <c r="Q2" s="117" t="s">
        <v>804</v>
      </c>
      <c r="R2" s="117" t="s">
        <v>663</v>
      </c>
      <c r="S2" s="117" t="s">
        <v>662</v>
      </c>
    </row>
    <row r="3" spans="1:78" hidden="1" outlineLevel="1" x14ac:dyDescent="0.2">
      <c r="A3" s="116" t="s">
        <v>621</v>
      </c>
    </row>
    <row r="4" spans="1:78" hidden="1" outlineLevel="1" x14ac:dyDescent="0.2">
      <c r="A4" s="115" t="s">
        <v>797</v>
      </c>
    </row>
    <row r="5" spans="1:78" hidden="1" outlineLevel="1" x14ac:dyDescent="0.2">
      <c r="A5" s="116" t="s">
        <v>623</v>
      </c>
    </row>
    <row r="6" spans="1:78" hidden="1" outlineLevel="1" x14ac:dyDescent="0.2">
      <c r="A6" s="115" t="s">
        <v>798</v>
      </c>
    </row>
    <row r="7" spans="1:78" collapsed="1" x14ac:dyDescent="0.2">
      <c r="A7" s="138"/>
      <c r="J7" s="117" t="s">
        <v>664</v>
      </c>
      <c r="K7" s="117" t="s">
        <v>813</v>
      </c>
    </row>
    <row r="8" spans="1:78" hidden="1" x14ac:dyDescent="0.2">
      <c r="A8" s="119" t="s">
        <v>799</v>
      </c>
    </row>
    <row r="9" spans="1:78" ht="12" outlineLevel="1" thickBot="1" x14ac:dyDescent="0.25">
      <c r="A9" s="120"/>
      <c r="B9" s="125" t="s">
        <v>624</v>
      </c>
      <c r="C9" s="125" t="s">
        <v>625</v>
      </c>
      <c r="D9" s="125" t="s">
        <v>626</v>
      </c>
      <c r="E9" s="125" t="s">
        <v>627</v>
      </c>
      <c r="F9" s="125" t="s">
        <v>628</v>
      </c>
      <c r="G9" s="125" t="s">
        <v>629</v>
      </c>
      <c r="H9" s="125" t="str">
        <f>"t("&amp;TEXT((1-I10)/2,"0.00%") &amp; ",128)"</f>
        <v>t(2.50%,128)</v>
      </c>
      <c r="I9" s="125" t="s">
        <v>630</v>
      </c>
    </row>
    <row r="10" spans="1:78" outlineLevel="1" x14ac:dyDescent="0.2">
      <c r="B10" s="126">
        <f xml:space="preserve"> 1 - C26 / C27</f>
        <v>0.978061753952151</v>
      </c>
      <c r="C10" s="126">
        <f>1-D10^2/E10^2</f>
        <v>0.97686200612140917</v>
      </c>
      <c r="D10" s="149">
        <f xml:space="preserve"> SQRT(D26)</f>
        <v>10304.535714315063</v>
      </c>
      <c r="E10" s="149">
        <f xml:space="preserve"> SQRT(C27 / B27)</f>
        <v>67743.179756151963</v>
      </c>
      <c r="F10" s="127">
        <v>136</v>
      </c>
      <c r="G10" s="127">
        <v>0</v>
      </c>
      <c r="H10" s="128">
        <f>TINV(1 - $I$10, F10 - 7 - 1)</f>
        <v>1.9786708498378349</v>
      </c>
      <c r="I10" s="129">
        <v>0.95</v>
      </c>
    </row>
    <row r="11" spans="1:78" x14ac:dyDescent="0.2">
      <c r="A11" s="138"/>
    </row>
    <row r="12" spans="1:78" hidden="1" x14ac:dyDescent="0.2">
      <c r="A12" s="119" t="s">
        <v>800</v>
      </c>
    </row>
    <row r="13" spans="1:78" ht="12" outlineLevel="1" thickBot="1" x14ac:dyDescent="0.25">
      <c r="A13" s="130" t="s">
        <v>631</v>
      </c>
      <c r="B13" s="122" t="s">
        <v>632</v>
      </c>
      <c r="C13" s="122" t="s">
        <v>633</v>
      </c>
      <c r="D13" s="122" t="s">
        <v>634</v>
      </c>
      <c r="E13" s="122" t="s">
        <v>534</v>
      </c>
      <c r="F13" s="122" t="str">
        <f>IF($I$10&gt;99%,("Lower"&amp;TEXT($I$10,"0.0%")),("Lower"&amp;TEXT($I$10,"0%")))</f>
        <v>Lower95%</v>
      </c>
      <c r="G13" s="122" t="str">
        <f>IF($I$10&gt;99%,("Upper"&amp;TEXT($I$10,"0.0%")),("Upper"&amp;TEXT($I$10,"0%")))</f>
        <v>Upper95%</v>
      </c>
      <c r="H13" s="125" t="s">
        <v>637</v>
      </c>
      <c r="I13" s="125" t="s">
        <v>636</v>
      </c>
    </row>
    <row r="14" spans="1:78" outlineLevel="1" x14ac:dyDescent="0.2">
      <c r="A14" s="131" t="s">
        <v>638</v>
      </c>
      <c r="B14" s="150">
        <v>-4037.7490123780394</v>
      </c>
      <c r="C14" s="150">
        <v>5583.5127495105162</v>
      </c>
      <c r="D14" s="132">
        <f>B14 / C14</f>
        <v>-0.72315568953111331</v>
      </c>
      <c r="E14" s="132">
        <f>TDIST(ABS(D14),$F$10 - 8,2)</f>
        <v>0.47090361453415497</v>
      </c>
      <c r="F14" s="150">
        <f>B14 - $H$10 * C14</f>
        <v>-15085.682929532399</v>
      </c>
      <c r="G14" s="150">
        <f>B14 + $H$10 * C14</f>
        <v>7010.1849047763208</v>
      </c>
      <c r="H14" s="126">
        <v>0</v>
      </c>
      <c r="I14" s="126">
        <v>0</v>
      </c>
    </row>
    <row r="15" spans="1:78" outlineLevel="1" x14ac:dyDescent="0.2">
      <c r="A15" s="131" t="s">
        <v>639</v>
      </c>
      <c r="B15" s="150">
        <v>-14147.81728786454</v>
      </c>
      <c r="C15" s="150">
        <v>14898.318222406862</v>
      </c>
      <c r="D15" s="132">
        <f t="shared" ref="D15:D21" si="0">B15 / C15</f>
        <v>-0.94962512390065745</v>
      </c>
      <c r="E15" s="132">
        <f t="shared" ref="E15:E21" si="1">TDIST(ABS(D15),$F$10 - 8,2)</f>
        <v>0.34409231732527534</v>
      </c>
      <c r="F15" s="150">
        <f t="shared" ref="F15:F21" si="2">B15 - $H$10 * C15</f>
        <v>-43626.68526614883</v>
      </c>
      <c r="G15" s="150">
        <f t="shared" ref="G15:G21" si="3">B15 + $H$10 * C15</f>
        <v>15331.050690419748</v>
      </c>
      <c r="H15" s="126">
        <v>18.076905749797859</v>
      </c>
      <c r="I15" s="126">
        <f>B15*0.253096619773069/$E$10</f>
        <v>-5.2857937073736545E-2</v>
      </c>
    </row>
    <row r="16" spans="1:78" outlineLevel="1" x14ac:dyDescent="0.2">
      <c r="A16" s="131" t="s">
        <v>640</v>
      </c>
      <c r="B16" s="150">
        <v>9334.8741997258003</v>
      </c>
      <c r="C16" s="150">
        <v>10885.949380832966</v>
      </c>
      <c r="D16" s="132">
        <f t="shared" si="0"/>
        <v>0.8575158558207</v>
      </c>
      <c r="E16" s="132">
        <f t="shared" si="1"/>
        <v>0.39276259179442841</v>
      </c>
      <c r="F16" s="150">
        <f t="shared" si="2"/>
        <v>-12204.836512938618</v>
      </c>
      <c r="G16" s="150">
        <f t="shared" si="3"/>
        <v>30874.584912390219</v>
      </c>
      <c r="H16" s="126">
        <v>2.4931804926912648</v>
      </c>
      <c r="I16" s="126">
        <f>B16*0.12863883376025/$E$10</f>
        <v>1.7726173094824698E-2</v>
      </c>
    </row>
    <row r="17" spans="1:9" outlineLevel="1" x14ac:dyDescent="0.2">
      <c r="A17" s="131" t="s">
        <v>641</v>
      </c>
      <c r="B17" s="150">
        <v>7903.5071561087925</v>
      </c>
      <c r="C17" s="150">
        <v>13251.087621115546</v>
      </c>
      <c r="D17" s="132">
        <f t="shared" si="0"/>
        <v>0.59644214739887391</v>
      </c>
      <c r="E17" s="132">
        <f t="shared" si="1"/>
        <v>0.55193327635862133</v>
      </c>
      <c r="F17" s="150">
        <f t="shared" si="2"/>
        <v>-18316.033648439519</v>
      </c>
      <c r="G17" s="150">
        <f t="shared" si="3"/>
        <v>34123.047960657103</v>
      </c>
      <c r="H17" s="126">
        <v>12.964849499192272</v>
      </c>
      <c r="I17" s="126">
        <f>B17*0.240987079578956/$E$10</f>
        <v>2.8115643742115181E-2</v>
      </c>
    </row>
    <row r="18" spans="1:9" outlineLevel="1" x14ac:dyDescent="0.2">
      <c r="A18" s="131" t="s">
        <v>642</v>
      </c>
      <c r="B18" s="150">
        <v>-5629.4962660062047</v>
      </c>
      <c r="C18" s="150">
        <v>13111.592638318532</v>
      </c>
      <c r="D18" s="132">
        <f t="shared" si="0"/>
        <v>-0.42935259058873165</v>
      </c>
      <c r="E18" s="132">
        <f t="shared" si="1"/>
        <v>0.66838847854644623</v>
      </c>
      <c r="F18" s="150">
        <f t="shared" si="2"/>
        <v>-31573.022414395436</v>
      </c>
      <c r="G18" s="150">
        <f t="shared" si="3"/>
        <v>20314.029882383027</v>
      </c>
      <c r="H18" s="126">
        <v>2.0757310265657867</v>
      </c>
      <c r="I18" s="162">
        <f>B18*0.097452197173445/$E$10</f>
        <v>-8.0983322908191116E-3</v>
      </c>
    </row>
    <row r="19" spans="1:9" outlineLevel="1" x14ac:dyDescent="0.2">
      <c r="A19" s="131" t="s">
        <v>513</v>
      </c>
      <c r="B19" s="132">
        <v>6.6827264016561925</v>
      </c>
      <c r="C19" s="132">
        <v>9.1522511568215684E-2</v>
      </c>
      <c r="D19" s="132">
        <f t="shared" si="0"/>
        <v>73.017296915800515</v>
      </c>
      <c r="E19" s="132">
        <f t="shared" si="1"/>
        <v>3.436229526985828E-106</v>
      </c>
      <c r="F19" s="132">
        <f t="shared" si="2"/>
        <v>6.5016334759122181</v>
      </c>
      <c r="G19" s="132">
        <f t="shared" si="3"/>
        <v>6.8638193274001669</v>
      </c>
      <c r="H19" s="126">
        <v>1.0803484562566765</v>
      </c>
      <c r="I19" s="126">
        <f>B19*10071.9959585066/$E$10</f>
        <v>0.99358184176723785</v>
      </c>
    </row>
    <row r="20" spans="1:9" outlineLevel="1" x14ac:dyDescent="0.2">
      <c r="A20" s="131" t="s">
        <v>643</v>
      </c>
      <c r="B20" s="150">
        <v>7775.4669882552917</v>
      </c>
      <c r="C20" s="150">
        <v>4445.7823153147874</v>
      </c>
      <c r="D20" s="132">
        <f t="shared" si="0"/>
        <v>1.748953600690353</v>
      </c>
      <c r="E20" s="132">
        <f t="shared" si="1"/>
        <v>8.2696140948227928E-2</v>
      </c>
      <c r="F20" s="150">
        <f t="shared" si="2"/>
        <v>-1021.2728837826362</v>
      </c>
      <c r="G20" s="150">
        <f t="shared" si="3"/>
        <v>16572.20686029322</v>
      </c>
      <c r="H20" s="126">
        <v>1.1061145519275237</v>
      </c>
      <c r="I20" s="126">
        <f>B20*0.209803825894689/$E$10</f>
        <v>2.4080988346368105E-2</v>
      </c>
    </row>
    <row r="21" spans="1:9" outlineLevel="1" x14ac:dyDescent="0.2">
      <c r="A21" s="131" t="s">
        <v>644</v>
      </c>
      <c r="B21" s="150">
        <v>-5975.494779974425</v>
      </c>
      <c r="C21" s="150">
        <v>11837.875469363982</v>
      </c>
      <c r="D21" s="132">
        <f t="shared" si="0"/>
        <v>-0.50477763475708137</v>
      </c>
      <c r="E21" s="132">
        <f t="shared" si="1"/>
        <v>0.61458295634800697</v>
      </c>
      <c r="F21" s="150">
        <f t="shared" si="2"/>
        <v>-29398.753895215315</v>
      </c>
      <c r="G21" s="150">
        <f t="shared" si="3"/>
        <v>17447.764335266464</v>
      </c>
      <c r="H21" s="126">
        <v>5.3984955042914153</v>
      </c>
      <c r="I21" s="126">
        <f>B21*0.174070088268844/$E$10</f>
        <v>-1.5354385600798508E-2</v>
      </c>
    </row>
    <row r="22" spans="1:9" x14ac:dyDescent="0.2">
      <c r="A22" s="138"/>
    </row>
    <row r="23" spans="1:9" hidden="1" x14ac:dyDescent="0.2">
      <c r="A23" s="119" t="s">
        <v>801</v>
      </c>
    </row>
    <row r="24" spans="1:9" ht="12" hidden="1" outlineLevel="1" thickBot="1" x14ac:dyDescent="0.25">
      <c r="A24" s="130" t="s">
        <v>645</v>
      </c>
      <c r="B24" s="122" t="s">
        <v>646</v>
      </c>
      <c r="C24" s="122" t="s">
        <v>647</v>
      </c>
      <c r="D24" s="122" t="s">
        <v>648</v>
      </c>
      <c r="E24" s="122" t="s">
        <v>649</v>
      </c>
      <c r="F24" s="122" t="s">
        <v>534</v>
      </c>
    </row>
    <row r="25" spans="1:9" hidden="1" outlineLevel="1" x14ac:dyDescent="0.2">
      <c r="A25" s="115" t="s">
        <v>523</v>
      </c>
      <c r="B25" s="124">
        <v>7</v>
      </c>
      <c r="C25" s="133">
        <f>C27 - C26</f>
        <v>605942202064.2207</v>
      </c>
      <c r="D25" s="133">
        <f>C25/B25</f>
        <v>86563171723.460098</v>
      </c>
      <c r="E25" s="123">
        <f>D25/D26</f>
        <v>815.22277339519246</v>
      </c>
      <c r="F25" s="123">
        <f>FDIST(E25,7,128)</f>
        <v>6.8599416584060996E-103</v>
      </c>
    </row>
    <row r="26" spans="1:9" hidden="1" outlineLevel="1" x14ac:dyDescent="0.2">
      <c r="A26" s="115" t="s">
        <v>524</v>
      </c>
      <c r="B26" s="124">
        <v>128</v>
      </c>
      <c r="C26" s="133">
        <v>13591482404.812115</v>
      </c>
      <c r="D26" s="133">
        <f>C26/B26</f>
        <v>106183456.28759465</v>
      </c>
    </row>
    <row r="27" spans="1:9" hidden="1" outlineLevel="1" x14ac:dyDescent="0.2">
      <c r="A27" s="115" t="s">
        <v>525</v>
      </c>
      <c r="B27" s="124">
        <f>B25 + B26</f>
        <v>135</v>
      </c>
      <c r="C27" s="133">
        <v>619533684469.03284</v>
      </c>
    </row>
    <row r="28" spans="1:9" collapsed="1" x14ac:dyDescent="0.2">
      <c r="A28" s="138"/>
    </row>
    <row r="29" spans="1:9" hidden="1" x14ac:dyDescent="0.2">
      <c r="A29" s="119" t="s">
        <v>802</v>
      </c>
    </row>
    <row r="30" spans="1:9" ht="12" outlineLevel="1" thickBot="1" x14ac:dyDescent="0.25">
      <c r="A30" s="120"/>
      <c r="B30" s="122" t="s">
        <v>652</v>
      </c>
      <c r="C30" s="122" t="s">
        <v>653</v>
      </c>
      <c r="D30" s="122" t="s">
        <v>654</v>
      </c>
      <c r="E30" s="122" t="s">
        <v>655</v>
      </c>
      <c r="F30" s="122" t="s">
        <v>656</v>
      </c>
      <c r="G30" s="125" t="s">
        <v>650</v>
      </c>
      <c r="H30" s="125" t="s">
        <v>657</v>
      </c>
      <c r="I30" s="134"/>
    </row>
    <row r="31" spans="1:9" outlineLevel="1" x14ac:dyDescent="0.2">
      <c r="A31" s="115" t="s">
        <v>651</v>
      </c>
      <c r="B31" s="151">
        <v>-1.9059263970976806E-12</v>
      </c>
      <c r="C31" s="150">
        <v>9996.8680407224783</v>
      </c>
      <c r="D31" s="150">
        <v>3508.9051512036021</v>
      </c>
      <c r="E31" s="150">
        <v>-84937.724295642518</v>
      </c>
      <c r="F31" s="150">
        <v>59652.078342891851</v>
      </c>
      <c r="G31" s="129">
        <v>1.2187998204846424</v>
      </c>
      <c r="H31" s="128" t="s">
        <v>803</v>
      </c>
      <c r="I31" s="128"/>
    </row>
    <row r="32" spans="1:9" outlineLevel="1" x14ac:dyDescent="0.2"/>
    <row r="33" spans="1:1" x14ac:dyDescent="0.2">
      <c r="A33" s="138"/>
    </row>
    <row r="36" spans="1:1" x14ac:dyDescent="0.2">
      <c r="A36" s="117" t="s">
        <v>659</v>
      </c>
    </row>
  </sheetData>
  <dataValidations count="1">
    <dataValidation type="decimal" allowBlank="1" showInputMessage="1" showErrorMessage="1" error="Please enter a confidence level between 0 and 1." sqref="I10" xr:uid="{00000000-0002-0000-1100-000000000000}">
      <formula1>0</formula1>
      <formula2>1</formula2>
    </dataValidation>
  </dataValidation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Z33"/>
  <sheetViews>
    <sheetView showGridLines="0" zoomScale="115" zoomScaleNormal="115" workbookViewId="0">
      <selection activeCell="H46" sqref="H46"/>
    </sheetView>
  </sheetViews>
  <sheetFormatPr defaultRowHeight="11.25" outlineLevelRow="1" x14ac:dyDescent="0.2"/>
  <cols>
    <col min="1" max="1" width="15.7109375" style="115" customWidth="1"/>
    <col min="2" max="2" width="10.7109375" style="115" customWidth="1"/>
    <col min="3" max="4" width="12.5703125" style="115" bestFit="1" customWidth="1"/>
    <col min="5" max="10" width="10.7109375" style="115" customWidth="1"/>
    <col min="11" max="77" width="9.140625" style="115"/>
    <col min="78" max="78" width="9.140625" style="115" customWidth="1"/>
    <col min="79" max="16384" width="9.140625" style="115"/>
  </cols>
  <sheetData>
    <row r="1" spans="1:78" x14ac:dyDescent="0.2">
      <c r="A1" s="116" t="s">
        <v>618</v>
      </c>
      <c r="B1" s="115" t="s">
        <v>816</v>
      </c>
      <c r="M1" s="117" t="s">
        <v>660</v>
      </c>
      <c r="N1" s="117" t="s">
        <v>661</v>
      </c>
      <c r="O1" s="117" t="s">
        <v>665</v>
      </c>
      <c r="Q1" s="117" t="s">
        <v>635</v>
      </c>
      <c r="R1" s="117" t="s">
        <v>795</v>
      </c>
      <c r="U1" s="117" t="s">
        <v>666</v>
      </c>
      <c r="Z1" s="140" t="s">
        <v>817</v>
      </c>
      <c r="BZ1" s="118" t="s">
        <v>817</v>
      </c>
    </row>
    <row r="2" spans="1:78" x14ac:dyDescent="0.2">
      <c r="A2" s="116" t="s">
        <v>619</v>
      </c>
      <c r="C2" s="115" t="s">
        <v>718</v>
      </c>
      <c r="Q2" s="117" t="s">
        <v>828</v>
      </c>
      <c r="R2" s="117" t="s">
        <v>663</v>
      </c>
      <c r="S2" s="117" t="s">
        <v>662</v>
      </c>
    </row>
    <row r="3" spans="1:78" hidden="1" outlineLevel="1" x14ac:dyDescent="0.2">
      <c r="A3" s="116" t="s">
        <v>621</v>
      </c>
    </row>
    <row r="4" spans="1:78" hidden="1" outlineLevel="1" x14ac:dyDescent="0.2">
      <c r="A4" s="115" t="s">
        <v>818</v>
      </c>
    </row>
    <row r="5" spans="1:78" hidden="1" outlineLevel="1" x14ac:dyDescent="0.2">
      <c r="A5" s="116" t="s">
        <v>623</v>
      </c>
    </row>
    <row r="6" spans="1:78" hidden="1" outlineLevel="1" x14ac:dyDescent="0.2">
      <c r="A6" s="115" t="s">
        <v>819</v>
      </c>
    </row>
    <row r="7" spans="1:78" collapsed="1" x14ac:dyDescent="0.2">
      <c r="A7" s="138"/>
      <c r="J7" s="117" t="s">
        <v>664</v>
      </c>
      <c r="K7" s="117" t="s">
        <v>834</v>
      </c>
    </row>
    <row r="8" spans="1:78" hidden="1" x14ac:dyDescent="0.2">
      <c r="A8" s="119" t="s">
        <v>820</v>
      </c>
    </row>
    <row r="9" spans="1:78" ht="12" outlineLevel="1" thickBot="1" x14ac:dyDescent="0.25">
      <c r="A9" s="120"/>
      <c r="B9" s="125" t="s">
        <v>624</v>
      </c>
      <c r="C9" s="125" t="s">
        <v>625</v>
      </c>
      <c r="D9" s="125" t="s">
        <v>626</v>
      </c>
      <c r="E9" s="125" t="s">
        <v>627</v>
      </c>
      <c r="F9" s="125" t="s">
        <v>628</v>
      </c>
      <c r="G9" s="125" t="s">
        <v>629</v>
      </c>
      <c r="H9" s="125" t="str">
        <f>"t("&amp;TEXT((1-I10)/2,"0.00%") &amp; ",131)"</f>
        <v>t(2.50%,131)</v>
      </c>
      <c r="I9" s="125" t="s">
        <v>630</v>
      </c>
    </row>
    <row r="10" spans="1:78" outlineLevel="1" x14ac:dyDescent="0.2">
      <c r="B10" s="126">
        <f xml:space="preserve"> 1 - C23 / C24</f>
        <v>0.98690241700413484</v>
      </c>
      <c r="C10" s="126">
        <f>1-D10^2/E10^2</f>
        <v>0.98650249080578778</v>
      </c>
      <c r="D10" s="149">
        <f xml:space="preserve"> SQRT(D23)</f>
        <v>7870.3200566690266</v>
      </c>
      <c r="E10" s="149">
        <f xml:space="preserve"> SQRT(C24 / B24)</f>
        <v>67743.179756151963</v>
      </c>
      <c r="F10" s="127">
        <v>136</v>
      </c>
      <c r="G10" s="127">
        <v>0</v>
      </c>
      <c r="H10" s="128">
        <f>TINV(1 - $I$10, F10 - 4 - 1)</f>
        <v>1.9782385392303834</v>
      </c>
      <c r="I10" s="129">
        <v>0.95</v>
      </c>
    </row>
    <row r="11" spans="1:78" x14ac:dyDescent="0.2">
      <c r="A11" s="138"/>
    </row>
    <row r="12" spans="1:78" hidden="1" x14ac:dyDescent="0.2">
      <c r="A12" s="119" t="s">
        <v>821</v>
      </c>
    </row>
    <row r="13" spans="1:78" ht="12" outlineLevel="1" thickBot="1" x14ac:dyDescent="0.25">
      <c r="A13" s="130" t="s">
        <v>631</v>
      </c>
      <c r="B13" s="122" t="s">
        <v>632</v>
      </c>
      <c r="C13" s="122" t="s">
        <v>633</v>
      </c>
      <c r="D13" s="122" t="s">
        <v>634</v>
      </c>
      <c r="E13" s="122" t="s">
        <v>534</v>
      </c>
      <c r="F13" s="122" t="str">
        <f>IF($I$10&gt;99%,("Lower"&amp;TEXT($I$10,"0.0%")),("Lower"&amp;TEXT($I$10,"0%")))</f>
        <v>Lower95%</v>
      </c>
      <c r="G13" s="122" t="str">
        <f>IF($I$10&gt;99%,("Upper"&amp;TEXT($I$10,"0.0%")),("Upper"&amp;TEXT($I$10,"0%")))</f>
        <v>Upper95%</v>
      </c>
      <c r="H13" s="125" t="s">
        <v>637</v>
      </c>
      <c r="I13" s="125" t="s">
        <v>636</v>
      </c>
    </row>
    <row r="14" spans="1:78" outlineLevel="1" x14ac:dyDescent="0.2">
      <c r="A14" s="131" t="s">
        <v>638</v>
      </c>
      <c r="B14" s="150">
        <v>-2061.3635552957217</v>
      </c>
      <c r="C14" s="150">
        <v>1087.1000963973793</v>
      </c>
      <c r="D14" s="132">
        <f>B14 / C14</f>
        <v>-1.8962040037775965</v>
      </c>
      <c r="E14" s="132">
        <f>TDIST(ABS(D14),$F$10 - 5,2)</f>
        <v>6.0135354685475068E-2</v>
      </c>
      <c r="F14" s="150">
        <f>B14 - $H$10 * C14</f>
        <v>-4211.9068619900827</v>
      </c>
      <c r="G14" s="132">
        <f>B14 + $H$10 * C14</f>
        <v>89.179751398638928</v>
      </c>
      <c r="H14" s="126">
        <v>0</v>
      </c>
      <c r="I14" s="126">
        <v>0</v>
      </c>
      <c r="K14" s="115" t="s">
        <v>699</v>
      </c>
    </row>
    <row r="15" spans="1:78" outlineLevel="1" x14ac:dyDescent="0.2">
      <c r="A15" s="131" t="s">
        <v>643</v>
      </c>
      <c r="B15" s="150">
        <v>3973.7811896227954</v>
      </c>
      <c r="C15" s="150">
        <v>3276.8611226003309</v>
      </c>
      <c r="D15" s="132">
        <f t="shared" ref="D15:D18" si="0">B15 / C15</f>
        <v>1.2126791587888315</v>
      </c>
      <c r="E15" s="132">
        <f t="shared" ref="E15:E18" si="1">TDIST(ABS(D15),$F$10 - 5,2)</f>
        <v>0.22743487589107833</v>
      </c>
      <c r="F15" s="150">
        <f t="shared" ref="F15:F18" si="2">B15 - $H$10 * C15</f>
        <v>-2508.6317708109177</v>
      </c>
      <c r="G15" s="150">
        <f t="shared" ref="G15:G18" si="3">B15 + $H$10 * C15</f>
        <v>10456.194150056508</v>
      </c>
      <c r="H15" s="126">
        <v>1.0301295835355271</v>
      </c>
      <c r="I15" s="126">
        <f>B15*0.209803825894689/$E$10</f>
        <v>1.2306987948487891E-2</v>
      </c>
      <c r="K15" s="115" t="s">
        <v>543</v>
      </c>
      <c r="L15" s="115" t="s">
        <v>544</v>
      </c>
      <c r="M15" s="115" t="s">
        <v>545</v>
      </c>
      <c r="N15" s="115" t="s">
        <v>508</v>
      </c>
      <c r="O15" s="115" t="s">
        <v>509</v>
      </c>
      <c r="P15" s="115" t="s">
        <v>511</v>
      </c>
    </row>
    <row r="16" spans="1:78" outlineLevel="1" x14ac:dyDescent="0.2">
      <c r="A16" s="131" t="s">
        <v>822</v>
      </c>
      <c r="B16" s="132">
        <v>-10.89818077276716</v>
      </c>
      <c r="C16" s="132">
        <v>1.8242743750866917</v>
      </c>
      <c r="D16" s="132">
        <f t="shared" si="0"/>
        <v>-5.9739811738841455</v>
      </c>
      <c r="E16" s="132">
        <f t="shared" si="1"/>
        <v>2.052858490976672E-8</v>
      </c>
      <c r="F16" s="132">
        <f t="shared" si="2"/>
        <v>-14.507030647694078</v>
      </c>
      <c r="G16" s="132">
        <f t="shared" si="3"/>
        <v>-7.2893308978402427</v>
      </c>
      <c r="H16" s="126">
        <v>124.95385381414509</v>
      </c>
      <c r="I16" s="126">
        <f>B16*4150.59328751347/$E$10</f>
        <v>-0.66772649474647539</v>
      </c>
      <c r="K16" s="115">
        <v>130.10118946520222</v>
      </c>
      <c r="L16" s="115">
        <v>0.95186293134429523</v>
      </c>
      <c r="M16" s="115">
        <v>0.67130058594359487</v>
      </c>
      <c r="N16" s="115">
        <v>0.57708077788152901</v>
      </c>
      <c r="O16" s="115">
        <v>0.98189943482007602</v>
      </c>
      <c r="P16" s="115">
        <v>1.1489536082332299</v>
      </c>
    </row>
    <row r="17" spans="1:17" outlineLevel="1" x14ac:dyDescent="0.2">
      <c r="A17" s="131" t="s">
        <v>823</v>
      </c>
      <c r="B17" s="132">
        <v>-10.06744192232377</v>
      </c>
      <c r="C17" s="132">
        <v>1.2853065019182581</v>
      </c>
      <c r="D17" s="132">
        <f t="shared" si="0"/>
        <v>-7.8327168712665793</v>
      </c>
      <c r="E17" s="132">
        <f t="shared" si="1"/>
        <v>1.4351946836925817E-12</v>
      </c>
      <c r="F17" s="132">
        <f t="shared" si="2"/>
        <v>-12.610084779141859</v>
      </c>
      <c r="G17" s="132">
        <f t="shared" si="3"/>
        <v>-7.5247990655056807</v>
      </c>
      <c r="H17" s="126">
        <v>165.67509169662276</v>
      </c>
      <c r="I17" s="126">
        <f>B17*6783.39981049621/$E$10</f>
        <v>-1.0080938608712253</v>
      </c>
    </row>
    <row r="18" spans="1:17" outlineLevel="1" x14ac:dyDescent="0.2">
      <c r="A18" s="131" t="s">
        <v>824</v>
      </c>
      <c r="B18" s="132">
        <v>17.8881520207226</v>
      </c>
      <c r="C18" s="132">
        <v>1.1821692201897767</v>
      </c>
      <c r="D18" s="132">
        <f t="shared" si="0"/>
        <v>15.131634046309351</v>
      </c>
      <c r="E18" s="132">
        <f t="shared" si="1"/>
        <v>1.5310418189134733E-30</v>
      </c>
      <c r="F18" s="132">
        <f t="shared" si="2"/>
        <v>15.549539309451255</v>
      </c>
      <c r="G18" s="132">
        <f t="shared" si="3"/>
        <v>20.226764731993946</v>
      </c>
      <c r="H18" s="126">
        <v>308.98639795745902</v>
      </c>
      <c r="I18" s="126">
        <f>B18*10071.9959585066/$E$10</f>
        <v>2.6595945969233603</v>
      </c>
    </row>
    <row r="19" spans="1:17" x14ac:dyDescent="0.2">
      <c r="A19" s="138"/>
    </row>
    <row r="20" spans="1:17" hidden="1" x14ac:dyDescent="0.2">
      <c r="A20" s="119" t="s">
        <v>825</v>
      </c>
    </row>
    <row r="21" spans="1:17" ht="12" outlineLevel="1" thickBot="1" x14ac:dyDescent="0.25">
      <c r="A21" s="130" t="s">
        <v>645</v>
      </c>
      <c r="B21" s="122" t="s">
        <v>646</v>
      </c>
      <c r="C21" s="122" t="s">
        <v>647</v>
      </c>
      <c r="D21" s="122" t="s">
        <v>648</v>
      </c>
      <c r="E21" s="122" t="s">
        <v>649</v>
      </c>
      <c r="F21" s="122" t="s">
        <v>534</v>
      </c>
    </row>
    <row r="22" spans="1:17" outlineLevel="1" x14ac:dyDescent="0.2">
      <c r="A22" s="115" t="s">
        <v>523</v>
      </c>
      <c r="B22" s="124">
        <v>4</v>
      </c>
      <c r="C22" s="133">
        <f>C24 - C23</f>
        <v>611419290617.96558</v>
      </c>
      <c r="D22" s="133">
        <f>C22/B22</f>
        <v>152854822654.49139</v>
      </c>
      <c r="E22" s="123">
        <f>D22/D23</f>
        <v>2467.7113454512219</v>
      </c>
      <c r="F22" s="123">
        <f>FDIST(E22,4,131)</f>
        <v>3.1131743590959203E-122</v>
      </c>
    </row>
    <row r="23" spans="1:17" outlineLevel="1" x14ac:dyDescent="0.2">
      <c r="A23" s="115" t="s">
        <v>524</v>
      </c>
      <c r="B23" s="124">
        <v>131</v>
      </c>
      <c r="C23" s="133">
        <v>8114393851.0672855</v>
      </c>
      <c r="D23" s="133">
        <f>C23/B23</f>
        <v>61941937.794406757</v>
      </c>
      <c r="K23" s="115" t="s">
        <v>700</v>
      </c>
    </row>
    <row r="24" spans="1:17" outlineLevel="1" x14ac:dyDescent="0.2">
      <c r="A24" s="115" t="s">
        <v>525</v>
      </c>
      <c r="B24" s="124">
        <f>B22 + B23</f>
        <v>135</v>
      </c>
      <c r="C24" s="133">
        <v>619533684469.03284</v>
      </c>
    </row>
    <row r="25" spans="1:17" x14ac:dyDescent="0.2">
      <c r="A25" s="138"/>
      <c r="K25" s="115" t="s">
        <v>546</v>
      </c>
      <c r="L25" s="115" t="s">
        <v>547</v>
      </c>
      <c r="M25" s="115" t="s">
        <v>548</v>
      </c>
      <c r="N25" s="115" t="s">
        <v>549</v>
      </c>
      <c r="O25" s="115" t="s">
        <v>550</v>
      </c>
      <c r="P25" s="115" t="s">
        <v>551</v>
      </c>
      <c r="Q25" s="115" t="s">
        <v>552</v>
      </c>
    </row>
    <row r="26" spans="1:17" hidden="1" x14ac:dyDescent="0.2">
      <c r="A26" s="119" t="s">
        <v>826</v>
      </c>
      <c r="K26" s="115">
        <f>B14+B15*M16+B16*L16</f>
        <v>595.86451141301018</v>
      </c>
      <c r="L26" s="115">
        <f>H10</f>
        <v>1.9782385392303834</v>
      </c>
      <c r="M26" s="115">
        <f>D10*1.1</f>
        <v>8657.3520623359291</v>
      </c>
      <c r="N26" s="115">
        <f>M26*L26</f>
        <v>17126.307497398575</v>
      </c>
      <c r="O26" s="115">
        <f>K26-N26</f>
        <v>-16530.442985985566</v>
      </c>
      <c r="P26" s="115">
        <f>K26+N26</f>
        <v>17722.172008811584</v>
      </c>
      <c r="Q26" s="115">
        <f>P26-O26</f>
        <v>34252.61499479715</v>
      </c>
    </row>
    <row r="27" spans="1:17" ht="12" outlineLevel="1" thickBot="1" x14ac:dyDescent="0.25">
      <c r="A27" s="120"/>
      <c r="B27" s="122" t="s">
        <v>652</v>
      </c>
      <c r="C27" s="122" t="s">
        <v>653</v>
      </c>
      <c r="D27" s="122" t="s">
        <v>654</v>
      </c>
      <c r="E27" s="122" t="s">
        <v>655</v>
      </c>
      <c r="F27" s="122" t="s">
        <v>656</v>
      </c>
      <c r="G27" s="125" t="s">
        <v>650</v>
      </c>
      <c r="H27" s="125" t="s">
        <v>657</v>
      </c>
      <c r="I27" s="134"/>
      <c r="K27" s="115">
        <f>B15+B16*M16+B17*L16</f>
        <v>3956.882409704996</v>
      </c>
      <c r="L27" s="115">
        <f>H11</f>
        <v>0</v>
      </c>
      <c r="M27" s="115">
        <f>D11*1.1</f>
        <v>0</v>
      </c>
      <c r="N27" s="115">
        <f>M27*L27</f>
        <v>0</v>
      </c>
      <c r="O27" s="115">
        <f>K27-N27</f>
        <v>3956.882409704996</v>
      </c>
      <c r="P27" s="115">
        <f>K27+N27</f>
        <v>3956.882409704996</v>
      </c>
      <c r="Q27" s="115">
        <f>P27-O27</f>
        <v>0</v>
      </c>
    </row>
    <row r="28" spans="1:17" outlineLevel="1" x14ac:dyDescent="0.2">
      <c r="A28" s="115" t="s">
        <v>651</v>
      </c>
      <c r="B28" s="151">
        <v>-1.8233362532234476E-11</v>
      </c>
      <c r="C28" s="150">
        <v>7724.2903020026633</v>
      </c>
      <c r="D28" s="150">
        <v>2903.6887924584803</v>
      </c>
      <c r="E28" s="150">
        <v>-26383.030903639592</v>
      </c>
      <c r="F28" s="150">
        <v>74148.236523957894</v>
      </c>
      <c r="G28" s="129">
        <v>0.94912691896956003</v>
      </c>
      <c r="H28" s="128" t="s">
        <v>827</v>
      </c>
      <c r="I28" s="128"/>
    </row>
    <row r="29" spans="1:17" outlineLevel="1" x14ac:dyDescent="0.2"/>
    <row r="30" spans="1:17" x14ac:dyDescent="0.2">
      <c r="A30" s="138"/>
    </row>
    <row r="33" spans="1:1" x14ac:dyDescent="0.2">
      <c r="A33" s="117" t="s">
        <v>659</v>
      </c>
    </row>
  </sheetData>
  <dataValidations disablePrompts="1" count="1">
    <dataValidation type="decimal" allowBlank="1" showInputMessage="1" showErrorMessage="1" error="Please enter a confidence level between 0 and 1." sqref="I10" xr:uid="{00000000-0002-0000-1200-000000000000}">
      <formula1>0</formula1>
      <formula2>1</formula2>
    </dataValidation>
  </dataValidation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Z211"/>
  <sheetViews>
    <sheetView showGridLines="0" topLeftCell="B1" zoomScale="115" zoomScaleNormal="115" workbookViewId="0">
      <selection activeCell="H46" sqref="H46"/>
    </sheetView>
  </sheetViews>
  <sheetFormatPr defaultRowHeight="11.25" outlineLevelRow="1" x14ac:dyDescent="0.2"/>
  <cols>
    <col min="1" max="1" width="15.7109375" style="115" customWidth="1"/>
    <col min="2" max="10" width="10.7109375" style="115" customWidth="1"/>
    <col min="11" max="77" width="9.140625" style="115"/>
    <col min="78" max="78" width="9.140625" style="115" customWidth="1"/>
    <col min="79" max="16384" width="9.140625" style="115"/>
  </cols>
  <sheetData>
    <row r="1" spans="1:78" x14ac:dyDescent="0.2">
      <c r="A1" s="116" t="s">
        <v>618</v>
      </c>
      <c r="B1" s="115" t="s">
        <v>866</v>
      </c>
      <c r="M1" s="117" t="s">
        <v>660</v>
      </c>
      <c r="N1" s="117" t="s">
        <v>661</v>
      </c>
      <c r="O1" s="117" t="s">
        <v>665</v>
      </c>
      <c r="Q1" s="117" t="s">
        <v>635</v>
      </c>
      <c r="R1" s="117" t="s">
        <v>705</v>
      </c>
      <c r="U1" s="117" t="s">
        <v>666</v>
      </c>
      <c r="Z1" s="140" t="s">
        <v>867</v>
      </c>
      <c r="BZ1" s="118" t="s">
        <v>867</v>
      </c>
    </row>
    <row r="2" spans="1:78" x14ac:dyDescent="0.2">
      <c r="A2" s="116" t="s">
        <v>619</v>
      </c>
      <c r="C2" s="115" t="s">
        <v>718</v>
      </c>
      <c r="Q2" s="117" t="s">
        <v>876</v>
      </c>
      <c r="R2" s="117" t="s">
        <v>663</v>
      </c>
      <c r="S2" s="117" t="s">
        <v>662</v>
      </c>
    </row>
    <row r="3" spans="1:78" ht="11.25" hidden="1" customHeight="1" outlineLevel="1" x14ac:dyDescent="0.2">
      <c r="A3" s="116" t="s">
        <v>621</v>
      </c>
      <c r="AA3" s="136" t="s">
        <v>875</v>
      </c>
    </row>
    <row r="4" spans="1:78" hidden="1" outlineLevel="1" x14ac:dyDescent="0.2">
      <c r="A4" s="115" t="s">
        <v>837</v>
      </c>
    </row>
    <row r="5" spans="1:78" hidden="1" outlineLevel="1" x14ac:dyDescent="0.2">
      <c r="A5" s="116" t="s">
        <v>623</v>
      </c>
    </row>
    <row r="6" spans="1:78" hidden="1" outlineLevel="1" x14ac:dyDescent="0.2">
      <c r="A6" s="115" t="s">
        <v>868</v>
      </c>
    </row>
    <row r="7" spans="1:78" collapsed="1" x14ac:dyDescent="0.2">
      <c r="A7" s="138"/>
      <c r="J7" s="117" t="s">
        <v>664</v>
      </c>
      <c r="K7" s="117" t="s">
        <v>881</v>
      </c>
    </row>
    <row r="8" spans="1:78" hidden="1" x14ac:dyDescent="0.2">
      <c r="A8" s="119" t="s">
        <v>869</v>
      </c>
    </row>
    <row r="9" spans="1:78" ht="12" outlineLevel="1" thickBot="1" x14ac:dyDescent="0.25">
      <c r="A9" s="120"/>
      <c r="B9" s="125" t="s">
        <v>624</v>
      </c>
      <c r="C9" s="125" t="s">
        <v>625</v>
      </c>
      <c r="D9" s="125" t="s">
        <v>626</v>
      </c>
      <c r="E9" s="125" t="s">
        <v>627</v>
      </c>
      <c r="F9" s="125" t="s">
        <v>628</v>
      </c>
      <c r="G9" s="125" t="s">
        <v>629</v>
      </c>
      <c r="H9" s="125" t="str">
        <f>"t("&amp;TEXT((1-I10)/2,"0.00%") &amp; ",122)"</f>
        <v>t(2.50%,122)</v>
      </c>
      <c r="I9" s="125" t="s">
        <v>630</v>
      </c>
    </row>
    <row r="10" spans="1:78" outlineLevel="1" x14ac:dyDescent="0.2">
      <c r="B10" s="126">
        <f xml:space="preserve"> 1 - C22 / C23</f>
        <v>0.75188340219990002</v>
      </c>
      <c r="C10" s="126">
        <f>1-D10^2/E10^2</f>
        <v>0.7457821743851436</v>
      </c>
      <c r="D10" s="149">
        <f xml:space="preserve"> SQRT(D22)</f>
        <v>2252.1567654029786</v>
      </c>
      <c r="E10" s="149">
        <f xml:space="preserve"> SQRT(C23 / B23)</f>
        <v>4466.7908433297034</v>
      </c>
      <c r="F10" s="127">
        <v>126</v>
      </c>
      <c r="G10" s="127">
        <v>0</v>
      </c>
      <c r="H10" s="128">
        <f>TINV(1 - $I$10, F10 - 3 - 1)</f>
        <v>1.9795998784866402</v>
      </c>
      <c r="I10" s="129">
        <v>0.95</v>
      </c>
    </row>
    <row r="11" spans="1:78" x14ac:dyDescent="0.2">
      <c r="A11" s="138"/>
    </row>
    <row r="12" spans="1:78" hidden="1" x14ac:dyDescent="0.2">
      <c r="A12" s="119" t="s">
        <v>870</v>
      </c>
    </row>
    <row r="13" spans="1:78" ht="12" outlineLevel="1" thickBot="1" x14ac:dyDescent="0.25">
      <c r="A13" s="130" t="s">
        <v>631</v>
      </c>
      <c r="B13" s="122" t="s">
        <v>632</v>
      </c>
      <c r="C13" s="122" t="s">
        <v>633</v>
      </c>
      <c r="D13" s="122" t="s">
        <v>634</v>
      </c>
      <c r="E13" s="122" t="s">
        <v>534</v>
      </c>
      <c r="F13" s="122" t="str">
        <f>IF($I$10&gt;99%,("Lower"&amp;TEXT($I$10,"0.0%")),("Lower"&amp;TEXT($I$10,"0%")))</f>
        <v>Lower95%</v>
      </c>
      <c r="G13" s="122" t="str">
        <f>IF($I$10&gt;99%,("Upper"&amp;TEXT($I$10,"0.0%")),("Upper"&amp;TEXT($I$10,"0%")))</f>
        <v>Upper95%</v>
      </c>
      <c r="H13" s="125" t="s">
        <v>637</v>
      </c>
      <c r="I13" s="125" t="s">
        <v>636</v>
      </c>
    </row>
    <row r="14" spans="1:78" outlineLevel="1" x14ac:dyDescent="0.2">
      <c r="A14" s="131" t="s">
        <v>638</v>
      </c>
      <c r="B14" s="132">
        <v>699.80127088278937</v>
      </c>
      <c r="C14" s="132">
        <v>295.26841045707249</v>
      </c>
      <c r="D14" s="132">
        <f>B14 / C14</f>
        <v>2.3700512689437523</v>
      </c>
      <c r="E14" s="132">
        <f>TDIST(ABS(D14),$F$10 - 4,2)</f>
        <v>1.9353472611541116E-2</v>
      </c>
      <c r="F14" s="132">
        <f>B14 - $H$10 * C14</f>
        <v>115.28796142102522</v>
      </c>
      <c r="G14" s="150">
        <f>B14 + $H$10 * C14</f>
        <v>1284.3145803445536</v>
      </c>
      <c r="H14" s="126">
        <v>0</v>
      </c>
      <c r="I14" s="126">
        <v>0</v>
      </c>
      <c r="K14" s="115" t="s">
        <v>699</v>
      </c>
    </row>
    <row r="15" spans="1:78" outlineLevel="1" x14ac:dyDescent="0.2">
      <c r="A15" s="131" t="s">
        <v>822</v>
      </c>
      <c r="B15" s="132">
        <v>-3.2883880861837564</v>
      </c>
      <c r="C15" s="132">
        <v>1.5198210010782163</v>
      </c>
      <c r="D15" s="132">
        <f t="shared" ref="D15:D17" si="0">B15 / C15</f>
        <v>-2.1636680134376709</v>
      </c>
      <c r="E15" s="132">
        <f t="shared" ref="E15:E17" si="1">TDIST(ABS(D15),$F$10 - 4,2)</f>
        <v>3.2439030672483778E-2</v>
      </c>
      <c r="F15" s="132">
        <f t="shared" ref="F15:F17" si="2">B15 - $H$10 * C15</f>
        <v>-6.297025555239637</v>
      </c>
      <c r="G15" s="132">
        <f t="shared" ref="G15:G17" si="3">B15 + $H$10 * C15</f>
        <v>-0.27975061712787586</v>
      </c>
      <c r="H15" s="126">
        <v>4.4015486234061916</v>
      </c>
      <c r="I15" s="126">
        <f>B15*278.069861861276/$E$10</f>
        <v>-0.20471108967120469</v>
      </c>
      <c r="K15" s="115" t="s">
        <v>543</v>
      </c>
      <c r="L15" s="115" t="s">
        <v>544</v>
      </c>
      <c r="M15" s="115" t="s">
        <v>545</v>
      </c>
      <c r="N15" s="115" t="s">
        <v>508</v>
      </c>
      <c r="O15" s="115" t="s">
        <v>509</v>
      </c>
      <c r="P15" s="115" t="s">
        <v>511</v>
      </c>
      <c r="Q15" s="115" t="s">
        <v>814</v>
      </c>
      <c r="R15" s="115" t="s">
        <v>865</v>
      </c>
      <c r="S15" s="115" t="s">
        <v>815</v>
      </c>
    </row>
    <row r="16" spans="1:78" outlineLevel="1" x14ac:dyDescent="0.2">
      <c r="A16" s="131" t="s">
        <v>823</v>
      </c>
      <c r="B16" s="132">
        <v>-1.1816488422370848</v>
      </c>
      <c r="C16" s="132">
        <v>1.6518486387147255</v>
      </c>
      <c r="D16" s="132">
        <f t="shared" si="0"/>
        <v>-0.715349345298674</v>
      </c>
      <c r="E16" s="132">
        <f t="shared" si="1"/>
        <v>0.47575999638015709</v>
      </c>
      <c r="F16" s="132">
        <f t="shared" si="2"/>
        <v>-4.4516482067150775</v>
      </c>
      <c r="G16" s="132">
        <f t="shared" si="3"/>
        <v>2.0883505222409076</v>
      </c>
      <c r="H16" s="126">
        <v>29.674163076540449</v>
      </c>
      <c r="I16" s="126">
        <f>B16*664.297472915475/$E$10</f>
        <v>-0.17573384725272936</v>
      </c>
      <c r="K16" s="115">
        <v>130.10118946520222</v>
      </c>
      <c r="L16" s="115">
        <v>0.95186293134429523</v>
      </c>
      <c r="M16" s="115">
        <v>0.67130058594359487</v>
      </c>
      <c r="N16" s="115">
        <v>0.57708077788152901</v>
      </c>
      <c r="O16" s="115">
        <v>0.98189943482007602</v>
      </c>
      <c r="P16" s="115">
        <v>1.1489536082332299</v>
      </c>
      <c r="Q16" s="115">
        <v>66.654879999999991</v>
      </c>
      <c r="R16" s="115">
        <v>44.745459999999994</v>
      </c>
      <c r="S16" s="115">
        <v>-76.583364882352939</v>
      </c>
    </row>
    <row r="17" spans="1:17" outlineLevel="1" x14ac:dyDescent="0.2">
      <c r="A17" s="131" t="s">
        <v>824</v>
      </c>
      <c r="B17" s="132">
        <v>6.5144598473454316</v>
      </c>
      <c r="C17" s="132">
        <v>1.3362345148336381</v>
      </c>
      <c r="D17" s="132">
        <f t="shared" si="0"/>
        <v>4.8752369251264893</v>
      </c>
      <c r="E17" s="132">
        <f t="shared" si="1"/>
        <v>3.310062987825819E-6</v>
      </c>
      <c r="F17" s="132">
        <f t="shared" si="2"/>
        <v>3.869250164151107</v>
      </c>
      <c r="G17" s="132">
        <f t="shared" si="3"/>
        <v>9.1596695305397553</v>
      </c>
      <c r="H17" s="126">
        <v>30.417662598604863</v>
      </c>
      <c r="I17" s="126">
        <f>B17*831.426465006076/$E$10</f>
        <v>1.2125694961497093</v>
      </c>
    </row>
    <row r="18" spans="1:17" x14ac:dyDescent="0.2">
      <c r="A18" s="138"/>
    </row>
    <row r="19" spans="1:17" hidden="1" x14ac:dyDescent="0.2">
      <c r="A19" s="119" t="s">
        <v>871</v>
      </c>
    </row>
    <row r="20" spans="1:17" ht="12" outlineLevel="1" thickBot="1" x14ac:dyDescent="0.25">
      <c r="A20" s="130" t="s">
        <v>645</v>
      </c>
      <c r="B20" s="122" t="s">
        <v>646</v>
      </c>
      <c r="C20" s="122" t="s">
        <v>647</v>
      </c>
      <c r="D20" s="122" t="s">
        <v>648</v>
      </c>
      <c r="E20" s="122" t="s">
        <v>649</v>
      </c>
      <c r="F20" s="122" t="s">
        <v>534</v>
      </c>
    </row>
    <row r="21" spans="1:17" outlineLevel="1" x14ac:dyDescent="0.2">
      <c r="A21" s="115" t="s">
        <v>523</v>
      </c>
      <c r="B21" s="124">
        <v>3</v>
      </c>
      <c r="C21" s="133">
        <f>C23 - C22</f>
        <v>1875217923.0508103</v>
      </c>
      <c r="D21" s="133">
        <f>C21/B21</f>
        <v>625072641.01693678</v>
      </c>
      <c r="E21" s="123">
        <f>D21/D22</f>
        <v>123.23476930026762</v>
      </c>
      <c r="F21" s="123">
        <f>FDIST(E21,3,122)</f>
        <v>9.1412726522192525E-37</v>
      </c>
    </row>
    <row r="22" spans="1:17" outlineLevel="1" x14ac:dyDescent="0.2">
      <c r="A22" s="115" t="s">
        <v>524</v>
      </c>
      <c r="B22" s="124">
        <v>122</v>
      </c>
      <c r="C22" s="133">
        <v>618809631.70594978</v>
      </c>
      <c r="D22" s="133">
        <f>C22/B22</f>
        <v>5072210.0959504079</v>
      </c>
    </row>
    <row r="23" spans="1:17" outlineLevel="1" x14ac:dyDescent="0.2">
      <c r="A23" s="115" t="s">
        <v>525</v>
      </c>
      <c r="B23" s="124">
        <f>B21 + B22</f>
        <v>125</v>
      </c>
      <c r="C23" s="133">
        <v>2494027554.7567601</v>
      </c>
      <c r="K23" s="115" t="s">
        <v>700</v>
      </c>
    </row>
    <row r="24" spans="1:17" x14ac:dyDescent="0.2">
      <c r="A24" s="138"/>
      <c r="K24" s="115" t="s">
        <v>718</v>
      </c>
      <c r="L24" s="115" t="s">
        <v>547</v>
      </c>
      <c r="M24" s="115" t="s">
        <v>548</v>
      </c>
      <c r="N24" s="115" t="s">
        <v>549</v>
      </c>
      <c r="O24" s="115" t="s">
        <v>550</v>
      </c>
      <c r="P24" s="115" t="s">
        <v>551</v>
      </c>
      <c r="Q24" s="115" t="s">
        <v>552</v>
      </c>
    </row>
    <row r="25" spans="1:17" hidden="1" x14ac:dyDescent="0.2">
      <c r="A25" s="119" t="s">
        <v>872</v>
      </c>
      <c r="K25" s="115" t="s">
        <v>546</v>
      </c>
      <c r="L25" s="115" t="s">
        <v>547</v>
      </c>
      <c r="M25" s="115" t="s">
        <v>548</v>
      </c>
      <c r="N25" s="115" t="s">
        <v>549</v>
      </c>
      <c r="O25" s="115" t="s">
        <v>550</v>
      </c>
      <c r="P25" s="115" t="s">
        <v>551</v>
      </c>
      <c r="Q25" s="115" t="s">
        <v>552</v>
      </c>
    </row>
    <row r="26" spans="1:17" ht="12" outlineLevel="1" thickBot="1" x14ac:dyDescent="0.25">
      <c r="A26" s="120"/>
      <c r="B26" s="122" t="s">
        <v>652</v>
      </c>
      <c r="C26" s="122" t="s">
        <v>653</v>
      </c>
      <c r="D26" s="122" t="s">
        <v>654</v>
      </c>
      <c r="E26" s="122" t="s">
        <v>655</v>
      </c>
      <c r="F26" s="122" t="s">
        <v>656</v>
      </c>
      <c r="G26" s="125" t="s">
        <v>650</v>
      </c>
      <c r="H26" s="125" t="s">
        <v>657</v>
      </c>
      <c r="I26" s="134"/>
      <c r="K26" s="115">
        <f>B14+B15*S16+Q16*B17</f>
        <v>1385.8576349514101</v>
      </c>
      <c r="L26" s="115">
        <f>H10</f>
        <v>1.9795998784866402</v>
      </c>
      <c r="M26" s="115">
        <f>D10*1.1</f>
        <v>2477.3724419432765</v>
      </c>
      <c r="N26" s="115">
        <f>M26*L26</f>
        <v>4904.206185037061</v>
      </c>
      <c r="O26" s="115">
        <f>K26-N26</f>
        <v>-3518.3485500856509</v>
      </c>
      <c r="P26" s="115">
        <f>K26+N26</f>
        <v>6290.0638199884706</v>
      </c>
      <c r="Q26" s="115">
        <f>P26-O26</f>
        <v>9808.412370074122</v>
      </c>
    </row>
    <row r="27" spans="1:17" outlineLevel="1" x14ac:dyDescent="0.2">
      <c r="A27" s="115" t="s">
        <v>873</v>
      </c>
      <c r="B27" s="151">
        <v>2.9829260754576395E-12</v>
      </c>
      <c r="C27" s="150">
        <v>2216.1199320483138</v>
      </c>
      <c r="D27" s="150">
        <v>1514.4742340179002</v>
      </c>
      <c r="E27" s="150">
        <v>-8827.1937090210795</v>
      </c>
      <c r="F27" s="150">
        <v>9571.3020440207547</v>
      </c>
      <c r="G27" s="129">
        <v>1.0549976865173205</v>
      </c>
      <c r="H27" s="128" t="s">
        <v>874</v>
      </c>
      <c r="I27" s="128"/>
    </row>
    <row r="28" spans="1:17" outlineLevel="1" x14ac:dyDescent="0.2"/>
    <row r="29" spans="1:17" x14ac:dyDescent="0.2">
      <c r="A29" s="138"/>
    </row>
    <row r="30" spans="1:17" hidden="1" x14ac:dyDescent="0.2">
      <c r="A30" s="119" t="s">
        <v>658</v>
      </c>
    </row>
    <row r="31" spans="1:17" outlineLevel="1" x14ac:dyDescent="0.2"/>
    <row r="32" spans="1:17" outlineLevel="1" x14ac:dyDescent="0.2"/>
    <row r="33" spans="3:3" outlineLevel="1" x14ac:dyDescent="0.2">
      <c r="C33" s="135" t="b">
        <v>0</v>
      </c>
    </row>
    <row r="34" spans="3:3" outlineLevel="1" x14ac:dyDescent="0.2"/>
    <row r="35" spans="3:3" outlineLevel="1" x14ac:dyDescent="0.2"/>
    <row r="36" spans="3:3" outlineLevel="1" x14ac:dyDescent="0.2"/>
    <row r="37" spans="3:3" outlineLevel="1" x14ac:dyDescent="0.2"/>
    <row r="38" spans="3:3" outlineLevel="1" x14ac:dyDescent="0.2"/>
    <row r="39" spans="3:3" outlineLevel="1" x14ac:dyDescent="0.2"/>
    <row r="40" spans="3:3" outlineLevel="1" x14ac:dyDescent="0.2"/>
    <row r="41" spans="3:3" outlineLevel="1" x14ac:dyDescent="0.2"/>
    <row r="42" spans="3:3" outlineLevel="1" x14ac:dyDescent="0.2"/>
    <row r="43" spans="3:3" outlineLevel="1" x14ac:dyDescent="0.2"/>
    <row r="44" spans="3:3" outlineLevel="1" x14ac:dyDescent="0.2"/>
    <row r="45" spans="3:3" outlineLevel="1" x14ac:dyDescent="0.2"/>
    <row r="46" spans="3:3" outlineLevel="1" x14ac:dyDescent="0.2"/>
    <row r="47" spans="3:3" outlineLevel="1" x14ac:dyDescent="0.2"/>
    <row r="48" spans="3:3" outlineLevel="1" x14ac:dyDescent="0.2"/>
    <row r="49" spans="1:1" outlineLevel="1" x14ac:dyDescent="0.2"/>
    <row r="50" spans="1:1" outlineLevel="1" x14ac:dyDescent="0.2"/>
    <row r="51" spans="1:1" x14ac:dyDescent="0.2">
      <c r="A51" s="139"/>
    </row>
    <row r="52" spans="1:1" hidden="1" x14ac:dyDescent="0.2">
      <c r="A52" s="119" t="s">
        <v>685</v>
      </c>
    </row>
    <row r="53" spans="1:1" outlineLevel="1" x14ac:dyDescent="0.2"/>
    <row r="54" spans="1:1" outlineLevel="1" x14ac:dyDescent="0.2"/>
    <row r="55" spans="1:1" outlineLevel="1" x14ac:dyDescent="0.2"/>
    <row r="56" spans="1:1" outlineLevel="1" x14ac:dyDescent="0.2"/>
    <row r="57" spans="1:1" outlineLevel="1" x14ac:dyDescent="0.2"/>
    <row r="58" spans="1:1" outlineLevel="1" x14ac:dyDescent="0.2"/>
    <row r="59" spans="1:1" outlineLevel="1" x14ac:dyDescent="0.2"/>
    <row r="60" spans="1:1" outlineLevel="1" x14ac:dyDescent="0.2"/>
    <row r="61" spans="1:1" outlineLevel="1" x14ac:dyDescent="0.2"/>
    <row r="62" spans="1:1" outlineLevel="1" x14ac:dyDescent="0.2"/>
    <row r="63" spans="1:1" outlineLevel="1" x14ac:dyDescent="0.2"/>
    <row r="64" spans="1:1" outlineLevel="1" x14ac:dyDescent="0.2"/>
    <row r="65" spans="1:1" outlineLevel="1" x14ac:dyDescent="0.2"/>
    <row r="66" spans="1:1" outlineLevel="1" x14ac:dyDescent="0.2"/>
    <row r="67" spans="1:1" outlineLevel="1" x14ac:dyDescent="0.2"/>
    <row r="68" spans="1:1" outlineLevel="1" x14ac:dyDescent="0.2"/>
    <row r="69" spans="1:1" outlineLevel="1" x14ac:dyDescent="0.2"/>
    <row r="70" spans="1:1" outlineLevel="1" x14ac:dyDescent="0.2"/>
    <row r="71" spans="1:1" outlineLevel="1" x14ac:dyDescent="0.2"/>
    <row r="72" spans="1:1" outlineLevel="1" x14ac:dyDescent="0.2"/>
    <row r="73" spans="1:1" x14ac:dyDescent="0.2">
      <c r="A73" s="139"/>
    </row>
    <row r="74" spans="1:1" hidden="1" x14ac:dyDescent="0.2">
      <c r="A74" s="119" t="s">
        <v>686</v>
      </c>
    </row>
    <row r="75" spans="1:1" outlineLevel="1" x14ac:dyDescent="0.2"/>
    <row r="76" spans="1:1" outlineLevel="1" x14ac:dyDescent="0.2"/>
    <row r="77" spans="1:1" outlineLevel="1" x14ac:dyDescent="0.2"/>
    <row r="78" spans="1:1" outlineLevel="1" x14ac:dyDescent="0.2"/>
    <row r="79" spans="1:1" outlineLevel="1" x14ac:dyDescent="0.2"/>
    <row r="80" spans="1:1" outlineLevel="1" x14ac:dyDescent="0.2"/>
    <row r="81" spans="1:1" outlineLevel="1" x14ac:dyDescent="0.2"/>
    <row r="82" spans="1:1" outlineLevel="1" x14ac:dyDescent="0.2"/>
    <row r="83" spans="1:1" outlineLevel="1" x14ac:dyDescent="0.2"/>
    <row r="84" spans="1:1" outlineLevel="1" x14ac:dyDescent="0.2"/>
    <row r="85" spans="1:1" outlineLevel="1" x14ac:dyDescent="0.2"/>
    <row r="86" spans="1:1" outlineLevel="1" x14ac:dyDescent="0.2"/>
    <row r="87" spans="1:1" outlineLevel="1" x14ac:dyDescent="0.2"/>
    <row r="88" spans="1:1" outlineLevel="1" x14ac:dyDescent="0.2"/>
    <row r="89" spans="1:1" outlineLevel="1" x14ac:dyDescent="0.2"/>
    <row r="90" spans="1:1" outlineLevel="1" x14ac:dyDescent="0.2"/>
    <row r="91" spans="1:1" outlineLevel="1" x14ac:dyDescent="0.2"/>
    <row r="92" spans="1:1" outlineLevel="1" x14ac:dyDescent="0.2"/>
    <row r="93" spans="1:1" outlineLevel="1" x14ac:dyDescent="0.2"/>
    <row r="94" spans="1:1" outlineLevel="1" x14ac:dyDescent="0.2"/>
    <row r="95" spans="1:1" x14ac:dyDescent="0.2">
      <c r="A95" s="139"/>
    </row>
    <row r="96" spans="1:1" hidden="1" x14ac:dyDescent="0.2">
      <c r="A96" s="119" t="s">
        <v>687</v>
      </c>
    </row>
    <row r="97" outlineLevel="1" x14ac:dyDescent="0.2"/>
    <row r="98" outlineLevel="1" x14ac:dyDescent="0.2"/>
    <row r="99" outlineLevel="1" x14ac:dyDescent="0.2"/>
    <row r="100" outlineLevel="1" x14ac:dyDescent="0.2"/>
    <row r="101" outlineLevel="1" x14ac:dyDescent="0.2"/>
    <row r="102" outlineLevel="1" x14ac:dyDescent="0.2"/>
    <row r="103" outlineLevel="1" x14ac:dyDescent="0.2"/>
    <row r="104" outlineLevel="1" x14ac:dyDescent="0.2"/>
    <row r="105" outlineLevel="1" x14ac:dyDescent="0.2"/>
    <row r="106" outlineLevel="1" x14ac:dyDescent="0.2"/>
    <row r="107" outlineLevel="1" x14ac:dyDescent="0.2"/>
    <row r="108" outlineLevel="1" x14ac:dyDescent="0.2"/>
    <row r="109" outlineLevel="1" x14ac:dyDescent="0.2"/>
    <row r="110" outlineLevel="1" x14ac:dyDescent="0.2"/>
    <row r="111" outlineLevel="1" x14ac:dyDescent="0.2"/>
    <row r="112" outlineLevel="1" x14ac:dyDescent="0.2"/>
    <row r="113" spans="1:1" outlineLevel="1" x14ac:dyDescent="0.2"/>
    <row r="114" spans="1:1" outlineLevel="1" x14ac:dyDescent="0.2"/>
    <row r="115" spans="1:1" outlineLevel="1" x14ac:dyDescent="0.2"/>
    <row r="116" spans="1:1" outlineLevel="1" x14ac:dyDescent="0.2"/>
    <row r="117" spans="1:1" x14ac:dyDescent="0.2">
      <c r="A117" s="139"/>
    </row>
    <row r="118" spans="1:1" hidden="1" x14ac:dyDescent="0.2">
      <c r="A118" s="119" t="s">
        <v>688</v>
      </c>
    </row>
    <row r="119" spans="1:1" outlineLevel="1" x14ac:dyDescent="0.2"/>
    <row r="120" spans="1:1" outlineLevel="1" x14ac:dyDescent="0.2"/>
    <row r="121" spans="1:1" outlineLevel="1" x14ac:dyDescent="0.2"/>
    <row r="122" spans="1:1" outlineLevel="1" x14ac:dyDescent="0.2"/>
    <row r="123" spans="1:1" outlineLevel="1" x14ac:dyDescent="0.2"/>
    <row r="124" spans="1:1" outlineLevel="1" x14ac:dyDescent="0.2"/>
    <row r="125" spans="1:1" outlineLevel="1" x14ac:dyDescent="0.2"/>
    <row r="126" spans="1:1" outlineLevel="1" x14ac:dyDescent="0.2"/>
    <row r="127" spans="1:1" outlineLevel="1" x14ac:dyDescent="0.2"/>
    <row r="128" spans="1:1" outlineLevel="1" x14ac:dyDescent="0.2"/>
    <row r="129" spans="1:1" outlineLevel="1" x14ac:dyDescent="0.2"/>
    <row r="130" spans="1:1" outlineLevel="1" x14ac:dyDescent="0.2"/>
    <row r="131" spans="1:1" outlineLevel="1" x14ac:dyDescent="0.2"/>
    <row r="132" spans="1:1" outlineLevel="1" x14ac:dyDescent="0.2"/>
    <row r="133" spans="1:1" outlineLevel="1" x14ac:dyDescent="0.2"/>
    <row r="134" spans="1:1" outlineLevel="1" x14ac:dyDescent="0.2"/>
    <row r="135" spans="1:1" outlineLevel="1" x14ac:dyDescent="0.2"/>
    <row r="136" spans="1:1" outlineLevel="1" x14ac:dyDescent="0.2"/>
    <row r="137" spans="1:1" outlineLevel="1" x14ac:dyDescent="0.2"/>
    <row r="138" spans="1:1" outlineLevel="1" x14ac:dyDescent="0.2"/>
    <row r="139" spans="1:1" x14ac:dyDescent="0.2">
      <c r="A139" s="139"/>
    </row>
    <row r="140" spans="1:1" hidden="1" x14ac:dyDescent="0.2">
      <c r="A140" s="119" t="s">
        <v>689</v>
      </c>
    </row>
    <row r="141" spans="1:1" hidden="1" outlineLevel="1" x14ac:dyDescent="0.2"/>
    <row r="142" spans="1:1" hidden="1" outlineLevel="1" x14ac:dyDescent="0.2">
      <c r="A142" s="148" t="s">
        <v>853</v>
      </c>
    </row>
    <row r="143" spans="1:1" hidden="1" outlineLevel="1" x14ac:dyDescent="0.2"/>
    <row r="144" spans="1:1" hidden="1" outlineLevel="1" x14ac:dyDescent="0.2"/>
    <row r="145" hidden="1" outlineLevel="1" x14ac:dyDescent="0.2"/>
    <row r="146" hidden="1" outlineLevel="1" x14ac:dyDescent="0.2"/>
    <row r="147" hidden="1" outlineLevel="1" x14ac:dyDescent="0.2"/>
    <row r="148" hidden="1" outlineLevel="1" x14ac:dyDescent="0.2"/>
    <row r="149" hidden="1" outlineLevel="1" x14ac:dyDescent="0.2"/>
    <row r="150" hidden="1" outlineLevel="1" x14ac:dyDescent="0.2"/>
    <row r="151" hidden="1" outlineLevel="1" x14ac:dyDescent="0.2"/>
    <row r="152" hidden="1" outlineLevel="1" x14ac:dyDescent="0.2"/>
    <row r="153" hidden="1" outlineLevel="1" x14ac:dyDescent="0.2"/>
    <row r="154" hidden="1" outlineLevel="1" x14ac:dyDescent="0.2"/>
    <row r="155" hidden="1" outlineLevel="1" x14ac:dyDescent="0.2"/>
    <row r="156" hidden="1" outlineLevel="1" x14ac:dyDescent="0.2"/>
    <row r="157" hidden="1" outlineLevel="1" x14ac:dyDescent="0.2"/>
    <row r="158" hidden="1" outlineLevel="1" x14ac:dyDescent="0.2"/>
    <row r="159" hidden="1" outlineLevel="1" x14ac:dyDescent="0.2"/>
    <row r="160" hidden="1" outlineLevel="1" x14ac:dyDescent="0.2"/>
    <row r="161" spans="1:1" hidden="1" outlineLevel="1" x14ac:dyDescent="0.2"/>
    <row r="162" spans="1:1" hidden="1" outlineLevel="1" x14ac:dyDescent="0.2"/>
    <row r="163" spans="1:1" hidden="1" outlineLevel="1" x14ac:dyDescent="0.2"/>
    <row r="164" spans="1:1" hidden="1" outlineLevel="1" x14ac:dyDescent="0.2">
      <c r="A164" s="148" t="s">
        <v>854</v>
      </c>
    </row>
    <row r="165" spans="1:1" hidden="1" outlineLevel="1" x14ac:dyDescent="0.2"/>
    <row r="166" spans="1:1" hidden="1" outlineLevel="1" x14ac:dyDescent="0.2"/>
    <row r="167" spans="1:1" hidden="1" outlineLevel="1" x14ac:dyDescent="0.2"/>
    <row r="168" spans="1:1" hidden="1" outlineLevel="1" x14ac:dyDescent="0.2"/>
    <row r="169" spans="1:1" hidden="1" outlineLevel="1" x14ac:dyDescent="0.2"/>
    <row r="170" spans="1:1" hidden="1" outlineLevel="1" x14ac:dyDescent="0.2"/>
    <row r="171" spans="1:1" hidden="1" outlineLevel="1" x14ac:dyDescent="0.2"/>
    <row r="172" spans="1:1" hidden="1" outlineLevel="1" x14ac:dyDescent="0.2"/>
    <row r="173" spans="1:1" hidden="1" outlineLevel="1" x14ac:dyDescent="0.2"/>
    <row r="174" spans="1:1" hidden="1" outlineLevel="1" x14ac:dyDescent="0.2"/>
    <row r="175" spans="1:1" hidden="1" outlineLevel="1" x14ac:dyDescent="0.2"/>
    <row r="176" spans="1:1" hidden="1" outlineLevel="1" x14ac:dyDescent="0.2"/>
    <row r="177" spans="1:1" hidden="1" outlineLevel="1" x14ac:dyDescent="0.2"/>
    <row r="178" spans="1:1" hidden="1" outlineLevel="1" x14ac:dyDescent="0.2"/>
    <row r="179" spans="1:1" hidden="1" outlineLevel="1" x14ac:dyDescent="0.2"/>
    <row r="180" spans="1:1" hidden="1" outlineLevel="1" x14ac:dyDescent="0.2"/>
    <row r="181" spans="1:1" hidden="1" outlineLevel="1" x14ac:dyDescent="0.2"/>
    <row r="182" spans="1:1" hidden="1" outlineLevel="1" x14ac:dyDescent="0.2"/>
    <row r="183" spans="1:1" hidden="1" outlineLevel="1" x14ac:dyDescent="0.2"/>
    <row r="184" spans="1:1" hidden="1" outlineLevel="1" x14ac:dyDescent="0.2"/>
    <row r="185" spans="1:1" hidden="1" outlineLevel="1" x14ac:dyDescent="0.2"/>
    <row r="186" spans="1:1" hidden="1" outlineLevel="1" x14ac:dyDescent="0.2">
      <c r="A186" s="148" t="s">
        <v>855</v>
      </c>
    </row>
    <row r="187" spans="1:1" hidden="1" outlineLevel="1" x14ac:dyDescent="0.2"/>
    <row r="188" spans="1:1" hidden="1" outlineLevel="1" x14ac:dyDescent="0.2"/>
    <row r="189" spans="1:1" hidden="1" outlineLevel="1" x14ac:dyDescent="0.2"/>
    <row r="190" spans="1:1" hidden="1" outlineLevel="1" x14ac:dyDescent="0.2"/>
    <row r="191" spans="1:1" hidden="1" outlineLevel="1" x14ac:dyDescent="0.2"/>
    <row r="192" spans="1:1" hidden="1" outlineLevel="1" x14ac:dyDescent="0.2"/>
    <row r="193" spans="1:1" hidden="1" outlineLevel="1" x14ac:dyDescent="0.2"/>
    <row r="194" spans="1:1" hidden="1" outlineLevel="1" x14ac:dyDescent="0.2"/>
    <row r="195" spans="1:1" hidden="1" outlineLevel="1" x14ac:dyDescent="0.2"/>
    <row r="196" spans="1:1" hidden="1" outlineLevel="1" x14ac:dyDescent="0.2"/>
    <row r="197" spans="1:1" hidden="1" outlineLevel="1" x14ac:dyDescent="0.2"/>
    <row r="198" spans="1:1" hidden="1" outlineLevel="1" x14ac:dyDescent="0.2"/>
    <row r="199" spans="1:1" hidden="1" outlineLevel="1" x14ac:dyDescent="0.2"/>
    <row r="200" spans="1:1" hidden="1" outlineLevel="1" x14ac:dyDescent="0.2"/>
    <row r="201" spans="1:1" hidden="1" outlineLevel="1" x14ac:dyDescent="0.2"/>
    <row r="202" spans="1:1" hidden="1" outlineLevel="1" x14ac:dyDescent="0.2"/>
    <row r="203" spans="1:1" hidden="1" outlineLevel="1" x14ac:dyDescent="0.2"/>
    <row r="204" spans="1:1" hidden="1" outlineLevel="1" x14ac:dyDescent="0.2"/>
    <row r="205" spans="1:1" hidden="1" outlineLevel="1" x14ac:dyDescent="0.2"/>
    <row r="206" spans="1:1" hidden="1" outlineLevel="1" x14ac:dyDescent="0.2"/>
    <row r="207" spans="1:1" hidden="1" outlineLevel="1" x14ac:dyDescent="0.2"/>
    <row r="208" spans="1:1" collapsed="1" x14ac:dyDescent="0.2">
      <c r="A208" s="139"/>
    </row>
    <row r="211" spans="1:1" x14ac:dyDescent="0.2">
      <c r="A211" s="117" t="s">
        <v>659</v>
      </c>
    </row>
  </sheetData>
  <dataValidations count="1">
    <dataValidation type="decimal" allowBlank="1" showInputMessage="1" showErrorMessage="1" error="Please enter a confidence level between 0 and 1." sqref="I10" xr:uid="{00000000-0002-0000-1300-000000000000}">
      <formula1>0</formula1>
      <formula2>1</formula2>
    </dataValidation>
  </dataValidations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Z391"/>
  <sheetViews>
    <sheetView showGridLines="0" topLeftCell="D1" zoomScale="115" zoomScaleNormal="115" workbookViewId="0">
      <selection activeCell="E20" sqref="E20"/>
    </sheetView>
  </sheetViews>
  <sheetFormatPr defaultRowHeight="11.25" outlineLevelRow="1" x14ac:dyDescent="0.2"/>
  <cols>
    <col min="1" max="1" width="15.7109375" style="115" customWidth="1"/>
    <col min="2" max="10" width="10.7109375" style="115" customWidth="1"/>
    <col min="11" max="77" width="9.140625" style="115"/>
    <col min="78" max="78" width="9.140625" style="115" customWidth="1"/>
    <col min="79" max="16384" width="9.140625" style="115"/>
  </cols>
  <sheetData>
    <row r="1" spans="1:78" x14ac:dyDescent="0.2">
      <c r="A1" s="116" t="s">
        <v>618</v>
      </c>
      <c r="B1" s="115" t="s">
        <v>835</v>
      </c>
      <c r="M1" s="117" t="s">
        <v>660</v>
      </c>
      <c r="N1" s="117" t="s">
        <v>661</v>
      </c>
      <c r="O1" s="117" t="s">
        <v>665</v>
      </c>
      <c r="Q1" s="117" t="s">
        <v>635</v>
      </c>
      <c r="R1" s="117" t="s">
        <v>705</v>
      </c>
      <c r="T1" s="135">
        <v>1</v>
      </c>
      <c r="U1" s="117" t="s">
        <v>666</v>
      </c>
      <c r="Z1" s="140" t="s">
        <v>836</v>
      </c>
      <c r="AP1" s="138"/>
      <c r="BZ1" s="118" t="s">
        <v>836</v>
      </c>
    </row>
    <row r="2" spans="1:78" x14ac:dyDescent="0.2">
      <c r="A2" s="116" t="s">
        <v>619</v>
      </c>
      <c r="C2" s="115" t="s">
        <v>718</v>
      </c>
      <c r="Q2" s="117" t="s">
        <v>857</v>
      </c>
      <c r="R2" s="117" t="s">
        <v>663</v>
      </c>
      <c r="S2" s="117" t="s">
        <v>662</v>
      </c>
      <c r="AA2" s="140" t="str">
        <f>"Forecasts and " &amp; TEXT($I$10, "0.0%") &amp; " confidence limits for means and forecasts
Model 12 for EV    (3 variables, n=136)"</f>
        <v>Forecasts and 95.0% confidence limits for means and forecasts
Model 12 for EV    (3 variables, n=136)</v>
      </c>
    </row>
    <row r="3" spans="1:78" ht="11.25" hidden="1" customHeight="1" outlineLevel="1" x14ac:dyDescent="0.2">
      <c r="A3" s="116" t="s">
        <v>621</v>
      </c>
      <c r="AA3" s="140" t="str">
        <f>IF($A$45 &lt;&gt; "","Actual and Predicted -vs- Observation # with " &amp; TEXT($I$10, "0.0%") &amp; " confidence limits
Model 12 for EV    (3 variables, n=136)","Actual and Predicted -vs- Observation #
Model 12 for EV    (3 variables, n=136)")</f>
        <v>Actual and Predicted -vs- Observation #
Model 12 for EV    (3 variables, n=136)</v>
      </c>
    </row>
    <row r="4" spans="1:78" hidden="1" outlineLevel="1" x14ac:dyDescent="0.2">
      <c r="A4" s="115" t="s">
        <v>837</v>
      </c>
    </row>
    <row r="5" spans="1:78" hidden="1" outlineLevel="1" x14ac:dyDescent="0.2">
      <c r="A5" s="116" t="s">
        <v>623</v>
      </c>
    </row>
    <row r="6" spans="1:78" hidden="1" outlineLevel="1" x14ac:dyDescent="0.2">
      <c r="A6" s="115" t="s">
        <v>838</v>
      </c>
    </row>
    <row r="7" spans="1:78" collapsed="1" x14ac:dyDescent="0.2">
      <c r="A7" s="138"/>
      <c r="J7" s="117" t="s">
        <v>664</v>
      </c>
      <c r="K7" s="117" t="s">
        <v>864</v>
      </c>
    </row>
    <row r="8" spans="1:78" hidden="1" x14ac:dyDescent="0.2">
      <c r="A8" s="119" t="s">
        <v>839</v>
      </c>
    </row>
    <row r="9" spans="1:78" ht="13.5" outlineLevel="1" thickBot="1" x14ac:dyDescent="0.25">
      <c r="A9" s="120"/>
      <c r="B9" s="125" t="s">
        <v>624</v>
      </c>
      <c r="C9" s="125" t="s">
        <v>625</v>
      </c>
      <c r="D9" s="125" t="s">
        <v>626</v>
      </c>
      <c r="E9" s="125" t="s">
        <v>627</v>
      </c>
      <c r="F9" s="125" t="s">
        <v>628</v>
      </c>
      <c r="G9" s="125" t="s">
        <v>629</v>
      </c>
      <c r="H9" s="125" t="str">
        <f>"t("&amp;TEXT((1-I10)/2,"0.00%") &amp; ",132)"</f>
        <v>t(2.50%,132)</v>
      </c>
      <c r="I9" s="125" t="s">
        <v>630</v>
      </c>
      <c r="M9"/>
      <c r="N9"/>
      <c r="O9"/>
      <c r="P9"/>
    </row>
    <row r="10" spans="1:78" ht="12.75" outlineLevel="1" x14ac:dyDescent="0.2">
      <c r="B10" s="126">
        <f xml:space="preserve"> 1 - C22 / C23</f>
        <v>0.98675538506292571</v>
      </c>
      <c r="C10" s="126">
        <f>1-D10^2/E10^2</f>
        <v>0.98645437108708312</v>
      </c>
      <c r="D10" s="149">
        <f xml:space="preserve"> SQRT(D22)</f>
        <v>7884.3367408729364</v>
      </c>
      <c r="E10" s="149">
        <f xml:space="preserve"> SQRT(C23 / B23)</f>
        <v>67743.179756151963</v>
      </c>
      <c r="F10" s="127">
        <v>136</v>
      </c>
      <c r="G10" s="127">
        <v>0</v>
      </c>
      <c r="H10" s="128">
        <f>TINV(1 - $I$10, F10 - 3 - 1)</f>
        <v>1.978098841924135</v>
      </c>
      <c r="I10" s="129">
        <v>0.95</v>
      </c>
      <c r="M10"/>
      <c r="N10"/>
      <c r="O10"/>
      <c r="P10"/>
    </row>
    <row r="11" spans="1:78" ht="12.75" x14ac:dyDescent="0.2">
      <c r="A11" s="138"/>
      <c r="M11"/>
      <c r="N11"/>
      <c r="O11"/>
      <c r="P11"/>
    </row>
    <row r="12" spans="1:78" ht="12.75" hidden="1" x14ac:dyDescent="0.2">
      <c r="A12" s="119" t="s">
        <v>840</v>
      </c>
      <c r="M12"/>
      <c r="N12"/>
      <c r="O12"/>
      <c r="P12"/>
    </row>
    <row r="13" spans="1:78" ht="13.5" outlineLevel="1" thickBot="1" x14ac:dyDescent="0.25">
      <c r="A13" s="130" t="s">
        <v>631</v>
      </c>
      <c r="B13" s="122" t="s">
        <v>632</v>
      </c>
      <c r="C13" s="122" t="s">
        <v>633</v>
      </c>
      <c r="D13" s="122" t="s">
        <v>634</v>
      </c>
      <c r="E13" s="122" t="s">
        <v>534</v>
      </c>
      <c r="F13" s="122" t="str">
        <f>IF($I$10&gt;99%,("Lower"&amp;TEXT($I$10,"0.0%")),("Lower"&amp;TEXT($I$10,"0%")))</f>
        <v>Lower95%</v>
      </c>
      <c r="G13" s="122" t="str">
        <f>IF($I$10&gt;99%,("Upper"&amp;TEXT($I$10,"0.0%")),("Upper"&amp;TEXT($I$10,"0%")))</f>
        <v>Upper95%</v>
      </c>
      <c r="H13" s="125" t="s">
        <v>637</v>
      </c>
      <c r="I13" s="125" t="s">
        <v>636</v>
      </c>
      <c r="M13"/>
      <c r="N13"/>
      <c r="O13"/>
      <c r="P13"/>
    </row>
    <row r="14" spans="1:78" outlineLevel="1" x14ac:dyDescent="0.2">
      <c r="A14" s="131" t="s">
        <v>638</v>
      </c>
      <c r="B14" s="150">
        <v>-1174.7678916270563</v>
      </c>
      <c r="C14" s="132">
        <v>805.9651585928608</v>
      </c>
      <c r="D14" s="132">
        <f>B14 / C14</f>
        <v>-1.4575914096312679</v>
      </c>
      <c r="E14" s="132">
        <f>TDIST(ABS(D14),$F$10 - 4,2)</f>
        <v>0.14732818887578369</v>
      </c>
      <c r="F14" s="150">
        <f>B14 - $H$10 * C14</f>
        <v>-2769.0466384707961</v>
      </c>
      <c r="G14" s="132">
        <f>B14 + $H$10 * C14</f>
        <v>419.51085521668347</v>
      </c>
      <c r="H14" s="126">
        <v>0</v>
      </c>
      <c r="I14" s="126">
        <v>0</v>
      </c>
      <c r="K14" s="115" t="s">
        <v>699</v>
      </c>
    </row>
    <row r="15" spans="1:78" outlineLevel="1" x14ac:dyDescent="0.2">
      <c r="A15" s="131" t="s">
        <v>822</v>
      </c>
      <c r="B15" s="132">
        <v>-10.883533584023464</v>
      </c>
      <c r="C15" s="132">
        <v>1.8274832686713403</v>
      </c>
      <c r="D15" s="132">
        <f t="shared" ref="D15:D17" si="0">B15 / C15</f>
        <v>-5.9554764580341502</v>
      </c>
      <c r="E15" s="132">
        <f t="shared" ref="E15:E17" si="1">TDIST(ABS(D15),$F$10 - 4,2)</f>
        <v>2.2129814796800149E-8</v>
      </c>
      <c r="F15" s="132">
        <f t="shared" ref="F15:F17" si="2">B15 - $H$10 * C15</f>
        <v>-14.498476121417976</v>
      </c>
      <c r="G15" s="132">
        <f t="shared" ref="G15:G17" si="3">B15 + $H$10 * C15</f>
        <v>-7.2685910466289529</v>
      </c>
      <c r="H15" s="126">
        <v>124.94837626771773</v>
      </c>
      <c r="I15" s="126">
        <f>B15*4150.59328751347/$E$10</f>
        <v>-0.66682906826753885</v>
      </c>
      <c r="K15" s="115" t="s">
        <v>543</v>
      </c>
      <c r="L15" s="115" t="s">
        <v>544</v>
      </c>
      <c r="M15" s="115" t="s">
        <v>545</v>
      </c>
      <c r="N15" s="115" t="s">
        <v>508</v>
      </c>
      <c r="O15" s="115" t="s">
        <v>509</v>
      </c>
      <c r="P15" s="115" t="s">
        <v>511</v>
      </c>
      <c r="Q15" s="115" t="s">
        <v>814</v>
      </c>
      <c r="R15" s="115" t="s">
        <v>865</v>
      </c>
      <c r="S15" s="115" t="s">
        <v>815</v>
      </c>
    </row>
    <row r="16" spans="1:78" outlineLevel="1" x14ac:dyDescent="0.2">
      <c r="A16" s="131" t="s">
        <v>823</v>
      </c>
      <c r="B16" s="132">
        <v>-10.299341652214764</v>
      </c>
      <c r="C16" s="132">
        <v>1.27326484540859</v>
      </c>
      <c r="D16" s="132">
        <f t="shared" si="0"/>
        <v>-8.0889232820291301</v>
      </c>
      <c r="E16" s="132">
        <f t="shared" si="1"/>
        <v>3.4264774442855409E-13</v>
      </c>
      <c r="F16" s="132">
        <f t="shared" si="2"/>
        <v>-12.817985368380208</v>
      </c>
      <c r="G16" s="132">
        <f t="shared" si="3"/>
        <v>-7.7806979360493198</v>
      </c>
      <c r="H16" s="126">
        <v>162.00774077615708</v>
      </c>
      <c r="I16" s="126">
        <f>B16*6783.39981049621/$E$10</f>
        <v>-1.0313149229686807</v>
      </c>
      <c r="K16" s="115">
        <v>130.10118946520222</v>
      </c>
      <c r="L16" s="115">
        <v>0.95186293134429523</v>
      </c>
      <c r="M16" s="115">
        <v>0.67130058594359487</v>
      </c>
      <c r="N16" s="115">
        <v>0.57708077788152901</v>
      </c>
      <c r="O16" s="115">
        <v>0.98189943482007602</v>
      </c>
      <c r="P16" s="115">
        <v>1.1489536082332299</v>
      </c>
      <c r="Q16" s="115">
        <v>66.654879999999991</v>
      </c>
      <c r="R16" s="115">
        <v>44.745459999999994</v>
      </c>
      <c r="S16" s="115">
        <v>-76.583364882352939</v>
      </c>
    </row>
    <row r="17" spans="1:17" outlineLevel="1" x14ac:dyDescent="0.2">
      <c r="A17" s="131" t="s">
        <v>824</v>
      </c>
      <c r="B17" s="132">
        <v>18.03092051230886</v>
      </c>
      <c r="C17" s="132">
        <v>1.1783873005067176</v>
      </c>
      <c r="D17" s="132">
        <f t="shared" si="0"/>
        <v>15.301353387426524</v>
      </c>
      <c r="E17" s="132">
        <f t="shared" si="1"/>
        <v>4.9425187113403325E-31</v>
      </c>
      <c r="F17" s="132">
        <f t="shared" si="2"/>
        <v>15.699953957838414</v>
      </c>
      <c r="G17" s="132">
        <f t="shared" si="3"/>
        <v>20.361887066779307</v>
      </c>
      <c r="H17" s="126">
        <v>305.92194484478819</v>
      </c>
      <c r="I17" s="126">
        <f>B17*10071.9959585066/$E$10</f>
        <v>2.6808212897865382</v>
      </c>
    </row>
    <row r="18" spans="1:17" x14ac:dyDescent="0.2">
      <c r="A18" s="138"/>
    </row>
    <row r="19" spans="1:17" hidden="1" x14ac:dyDescent="0.2">
      <c r="A19" s="119" t="s">
        <v>841</v>
      </c>
    </row>
    <row r="20" spans="1:17" ht="12" outlineLevel="1" thickBot="1" x14ac:dyDescent="0.25">
      <c r="A20" s="130" t="s">
        <v>645</v>
      </c>
      <c r="B20" s="122" t="s">
        <v>646</v>
      </c>
      <c r="C20" s="122" t="s">
        <v>647</v>
      </c>
      <c r="D20" s="122" t="s">
        <v>648</v>
      </c>
      <c r="E20" s="122" t="s">
        <v>649</v>
      </c>
      <c r="F20" s="122" t="s">
        <v>534</v>
      </c>
    </row>
    <row r="21" spans="1:17" outlineLevel="1" x14ac:dyDescent="0.2">
      <c r="A21" s="115" t="s">
        <v>523</v>
      </c>
      <c r="B21" s="124">
        <v>3</v>
      </c>
      <c r="C21" s="133">
        <f>C23 - C22</f>
        <v>611328199377.6936</v>
      </c>
      <c r="D21" s="133">
        <f>C21/B21</f>
        <v>203776066459.2312</v>
      </c>
      <c r="E21" s="123">
        <f>D21/D22</f>
        <v>3278.1048863289616</v>
      </c>
      <c r="F21" s="123">
        <f>FDIST(E21,3,132)</f>
        <v>1.0385482407966717E-123</v>
      </c>
    </row>
    <row r="22" spans="1:17" outlineLevel="1" x14ac:dyDescent="0.2">
      <c r="A22" s="115" t="s">
        <v>524</v>
      </c>
      <c r="B22" s="124">
        <v>132</v>
      </c>
      <c r="C22" s="133">
        <v>8205485091.3392124</v>
      </c>
      <c r="D22" s="133">
        <f>C22/B22</f>
        <v>62162765.843478881</v>
      </c>
    </row>
    <row r="23" spans="1:17" outlineLevel="1" x14ac:dyDescent="0.2">
      <c r="A23" s="115" t="s">
        <v>525</v>
      </c>
      <c r="B23" s="124">
        <f>B21 + B22</f>
        <v>135</v>
      </c>
      <c r="C23" s="133">
        <v>619533684469.03284</v>
      </c>
      <c r="K23" s="115" t="s">
        <v>700</v>
      </c>
    </row>
    <row r="24" spans="1:17" x14ac:dyDescent="0.2">
      <c r="A24" s="138"/>
      <c r="K24" s="115" t="s">
        <v>718</v>
      </c>
      <c r="L24" s="115" t="s">
        <v>547</v>
      </c>
      <c r="M24" s="115" t="s">
        <v>548</v>
      </c>
      <c r="N24" s="115" t="s">
        <v>549</v>
      </c>
      <c r="O24" s="115" t="s">
        <v>550</v>
      </c>
      <c r="P24" s="115" t="s">
        <v>551</v>
      </c>
      <c r="Q24" s="115" t="s">
        <v>552</v>
      </c>
    </row>
    <row r="25" spans="1:17" hidden="1" x14ac:dyDescent="0.2">
      <c r="A25" s="119" t="s">
        <v>842</v>
      </c>
      <c r="K25" s="115" t="s">
        <v>546</v>
      </c>
      <c r="L25" s="115" t="s">
        <v>547</v>
      </c>
      <c r="M25" s="115" t="s">
        <v>548</v>
      </c>
      <c r="N25" s="115" t="s">
        <v>549</v>
      </c>
      <c r="O25" s="115" t="s">
        <v>550</v>
      </c>
      <c r="P25" s="115" t="s">
        <v>551</v>
      </c>
      <c r="Q25" s="115" t="s">
        <v>552</v>
      </c>
    </row>
    <row r="26" spans="1:17" ht="12" outlineLevel="1" thickBot="1" x14ac:dyDescent="0.25">
      <c r="A26" s="120"/>
      <c r="B26" s="122" t="s">
        <v>652</v>
      </c>
      <c r="C26" s="122" t="s">
        <v>653</v>
      </c>
      <c r="D26" s="122" t="s">
        <v>654</v>
      </c>
      <c r="E26" s="122" t="s">
        <v>655</v>
      </c>
      <c r="F26" s="122" t="s">
        <v>656</v>
      </c>
      <c r="G26" s="125" t="s">
        <v>650</v>
      </c>
      <c r="H26" s="125" t="s">
        <v>657</v>
      </c>
      <c r="I26" s="125" t="s">
        <v>669</v>
      </c>
      <c r="K26" s="115">
        <f>B15*S16+B16*R16+Q16*B17</f>
        <v>1574.4976867865873</v>
      </c>
      <c r="L26" s="115">
        <f>H10</f>
        <v>1.978098841924135</v>
      </c>
      <c r="M26" s="115">
        <f>D10*1.1</f>
        <v>8672.7704149602305</v>
      </c>
      <c r="N26" s="115">
        <f>M26*L26</f>
        <v>17155.597114106731</v>
      </c>
      <c r="O26" s="115">
        <f>K26-N26</f>
        <v>-15581.099427320143</v>
      </c>
      <c r="P26" s="115">
        <f>K26+N26</f>
        <v>18730.094800893319</v>
      </c>
      <c r="Q26" s="115">
        <f>P26-O26</f>
        <v>34311.194228213462</v>
      </c>
    </row>
    <row r="27" spans="1:17" outlineLevel="1" x14ac:dyDescent="0.2">
      <c r="A27" s="115" t="s">
        <v>651</v>
      </c>
      <c r="B27" s="151">
        <v>-1.123995014709448E-11</v>
      </c>
      <c r="C27" s="150">
        <v>7767.525294521005</v>
      </c>
      <c r="D27" s="150">
        <v>2966.9318888024745</v>
      </c>
      <c r="E27" s="150">
        <v>-25793.703478432581</v>
      </c>
      <c r="F27" s="150">
        <v>74532.081028548651</v>
      </c>
      <c r="G27" s="129">
        <v>0.87273718842314063</v>
      </c>
      <c r="H27" s="128" t="s">
        <v>843</v>
      </c>
      <c r="I27" s="126">
        <v>0.12823350996818986</v>
      </c>
    </row>
    <row r="28" spans="1:17" outlineLevel="1" x14ac:dyDescent="0.2"/>
    <row r="29" spans="1:17" x14ac:dyDescent="0.2">
      <c r="A29" s="138"/>
    </row>
    <row r="30" spans="1:17" hidden="1" x14ac:dyDescent="0.2">
      <c r="A30" s="119" t="s">
        <v>844</v>
      </c>
    </row>
    <row r="31" spans="1:17" ht="12" outlineLevel="1" thickBot="1" x14ac:dyDescent="0.25">
      <c r="A31" s="121" t="s">
        <v>671</v>
      </c>
      <c r="B31" s="141">
        <v>1</v>
      </c>
    </row>
    <row r="32" spans="1:17" outlineLevel="1" x14ac:dyDescent="0.2">
      <c r="A32" s="115" t="s">
        <v>672</v>
      </c>
      <c r="B32" s="123">
        <v>-3.4425817720821331E-2</v>
      </c>
    </row>
    <row r="33" spans="1:702" outlineLevel="1" x14ac:dyDescent="0.2">
      <c r="A33" s="135" t="s">
        <v>673</v>
      </c>
      <c r="B33" s="135">
        <f>B32/0.086066296582387</f>
        <v>-0.39999185613693977</v>
      </c>
      <c r="C33" s="135"/>
      <c r="D33" s="135"/>
      <c r="E33" s="135"/>
      <c r="F33" s="135"/>
      <c r="G33" s="135"/>
      <c r="H33" s="135"/>
      <c r="I33" s="135"/>
      <c r="J33" s="135"/>
      <c r="K33" s="135"/>
      <c r="L33" s="135"/>
      <c r="M33" s="135"/>
      <c r="N33" s="135"/>
      <c r="O33" s="135"/>
      <c r="P33" s="135"/>
      <c r="Q33" s="135"/>
      <c r="R33" s="135"/>
      <c r="S33" s="135"/>
      <c r="T33" s="135"/>
      <c r="U33" s="135"/>
      <c r="V33" s="135"/>
      <c r="W33" s="135"/>
      <c r="X33" s="135"/>
      <c r="Y33" s="135"/>
      <c r="Z33" s="135"/>
      <c r="AA33" s="135"/>
      <c r="AB33" s="135"/>
      <c r="AC33" s="135"/>
      <c r="AD33" s="135"/>
      <c r="AE33" s="135"/>
      <c r="AF33" s="135"/>
      <c r="AG33" s="135"/>
      <c r="AH33" s="135"/>
      <c r="AI33" s="135"/>
      <c r="AJ33" s="135"/>
      <c r="AK33" s="135"/>
      <c r="AL33" s="135"/>
      <c r="AM33" s="135"/>
      <c r="AN33" s="135"/>
      <c r="AO33" s="135"/>
      <c r="AP33" s="135"/>
      <c r="AQ33" s="135"/>
      <c r="AR33" s="135"/>
      <c r="AS33" s="135"/>
      <c r="AT33" s="135"/>
      <c r="AU33" s="135"/>
      <c r="AV33" s="135"/>
      <c r="AW33" s="135"/>
      <c r="AX33" s="135"/>
      <c r="AY33" s="135"/>
      <c r="AZ33" s="135"/>
      <c r="BA33" s="135"/>
      <c r="BB33" s="135"/>
      <c r="BC33" s="135"/>
      <c r="BD33" s="135"/>
      <c r="BE33" s="135"/>
      <c r="BF33" s="135"/>
      <c r="BG33" s="135"/>
      <c r="BH33" s="135"/>
      <c r="BI33" s="135"/>
      <c r="BJ33" s="135"/>
      <c r="BK33" s="135"/>
      <c r="BL33" s="135"/>
      <c r="BM33" s="135"/>
      <c r="BN33" s="135"/>
      <c r="BO33" s="135"/>
      <c r="BP33" s="135"/>
      <c r="BQ33" s="135"/>
      <c r="BR33" s="135"/>
      <c r="BS33" s="135"/>
      <c r="BT33" s="135"/>
      <c r="BU33" s="135"/>
      <c r="BV33" s="135"/>
      <c r="BW33" s="135"/>
      <c r="BX33" s="135"/>
      <c r="BY33" s="135"/>
      <c r="BZ33" s="135"/>
      <c r="CA33" s="135"/>
      <c r="CB33" s="135"/>
      <c r="CC33" s="135"/>
      <c r="CD33" s="135"/>
      <c r="CE33" s="135"/>
      <c r="CF33" s="135"/>
      <c r="CG33" s="135"/>
      <c r="CH33" s="135"/>
      <c r="CI33" s="135"/>
      <c r="CJ33" s="135"/>
      <c r="CK33" s="135"/>
      <c r="CL33" s="135"/>
      <c r="CM33" s="135"/>
      <c r="CN33" s="135"/>
      <c r="CO33" s="135"/>
      <c r="CP33" s="135"/>
      <c r="CQ33" s="135"/>
      <c r="CR33" s="135"/>
      <c r="CS33" s="135"/>
      <c r="CT33" s="135"/>
      <c r="CU33" s="135"/>
      <c r="CV33" s="135"/>
      <c r="CW33" s="135"/>
      <c r="CX33" s="135"/>
      <c r="CY33" s="135"/>
      <c r="CZ33" s="135"/>
      <c r="DA33" s="135"/>
      <c r="DB33" s="135"/>
      <c r="DC33" s="135"/>
      <c r="DD33" s="135"/>
      <c r="DE33" s="135"/>
      <c r="DF33" s="135"/>
      <c r="DG33" s="135"/>
      <c r="DH33" s="135"/>
      <c r="DI33" s="135"/>
      <c r="DJ33" s="135"/>
      <c r="DK33" s="135"/>
      <c r="DL33" s="135"/>
      <c r="DM33" s="135"/>
      <c r="DN33" s="135"/>
      <c r="DO33" s="135"/>
      <c r="DP33" s="135"/>
      <c r="DQ33" s="135"/>
      <c r="DR33" s="135"/>
      <c r="DS33" s="135"/>
      <c r="DT33" s="135"/>
      <c r="DU33" s="135"/>
      <c r="DV33" s="135"/>
      <c r="DW33" s="135"/>
      <c r="DX33" s="135"/>
      <c r="DY33" s="135"/>
      <c r="DZ33" s="135"/>
      <c r="EA33" s="135"/>
      <c r="EB33" s="135"/>
      <c r="EC33" s="135"/>
      <c r="ED33" s="135"/>
      <c r="EE33" s="135"/>
      <c r="EF33" s="135"/>
      <c r="EG33" s="135"/>
      <c r="EH33" s="135"/>
      <c r="EI33" s="135"/>
      <c r="EJ33" s="135"/>
      <c r="EK33" s="135"/>
      <c r="EL33" s="135"/>
      <c r="EM33" s="135"/>
      <c r="EN33" s="135"/>
      <c r="EO33" s="135"/>
      <c r="EP33" s="135"/>
      <c r="EQ33" s="135"/>
      <c r="ER33" s="135"/>
      <c r="ES33" s="135"/>
      <c r="ET33" s="135"/>
      <c r="EU33" s="135"/>
      <c r="EV33" s="135"/>
      <c r="EW33" s="135"/>
      <c r="EX33" s="135"/>
      <c r="EY33" s="135"/>
      <c r="EZ33" s="135"/>
      <c r="FA33" s="135"/>
      <c r="FB33" s="135"/>
      <c r="FC33" s="135"/>
      <c r="FD33" s="135"/>
      <c r="FE33" s="135"/>
      <c r="FF33" s="135"/>
      <c r="FG33" s="135"/>
      <c r="FH33" s="135"/>
      <c r="FI33" s="135"/>
      <c r="FJ33" s="135"/>
      <c r="FK33" s="135"/>
      <c r="FL33" s="135"/>
      <c r="FM33" s="135"/>
      <c r="FN33" s="135"/>
      <c r="FO33" s="135"/>
      <c r="FP33" s="135"/>
      <c r="FQ33" s="135"/>
      <c r="FR33" s="135"/>
      <c r="FS33" s="135"/>
      <c r="FT33" s="135"/>
      <c r="FU33" s="135"/>
      <c r="FV33" s="135"/>
      <c r="FW33" s="135"/>
      <c r="FX33" s="135"/>
      <c r="FY33" s="135"/>
      <c r="FZ33" s="135"/>
      <c r="GA33" s="135"/>
      <c r="GB33" s="135"/>
      <c r="GC33" s="135"/>
      <c r="GD33" s="135"/>
      <c r="GE33" s="135"/>
      <c r="GF33" s="135"/>
      <c r="GG33" s="135"/>
      <c r="GH33" s="135"/>
      <c r="GI33" s="135"/>
      <c r="GJ33" s="135"/>
      <c r="GK33" s="135"/>
      <c r="GL33" s="135"/>
      <c r="GM33" s="135"/>
      <c r="GN33" s="135"/>
      <c r="GO33" s="135"/>
      <c r="GP33" s="135"/>
      <c r="GQ33" s="135"/>
      <c r="GR33" s="135"/>
      <c r="GS33" s="135"/>
      <c r="GT33" s="135"/>
      <c r="GU33" s="135"/>
      <c r="GV33" s="135"/>
      <c r="GW33" s="135"/>
      <c r="GX33" s="135"/>
      <c r="GY33" s="135"/>
      <c r="GZ33" s="135"/>
      <c r="HA33" s="135"/>
      <c r="HB33" s="135"/>
      <c r="HC33" s="135"/>
      <c r="HD33" s="135"/>
      <c r="HE33" s="135"/>
      <c r="HF33" s="135"/>
      <c r="HG33" s="135"/>
      <c r="HH33" s="135"/>
      <c r="HI33" s="135"/>
      <c r="HJ33" s="135"/>
      <c r="HK33" s="135"/>
      <c r="HL33" s="135"/>
      <c r="HM33" s="135"/>
      <c r="HN33" s="135"/>
      <c r="HO33" s="135"/>
      <c r="HP33" s="135"/>
      <c r="HQ33" s="135"/>
      <c r="HR33" s="135"/>
      <c r="HS33" s="135"/>
      <c r="HT33" s="135"/>
      <c r="HU33" s="135"/>
      <c r="HV33" s="135"/>
      <c r="HW33" s="135"/>
      <c r="HX33" s="135"/>
      <c r="HY33" s="135"/>
      <c r="HZ33" s="135"/>
      <c r="IA33" s="135"/>
      <c r="IB33" s="135"/>
      <c r="IC33" s="135"/>
      <c r="ID33" s="135"/>
      <c r="IE33" s="135"/>
      <c r="IF33" s="135"/>
      <c r="IG33" s="135"/>
      <c r="IH33" s="135"/>
      <c r="II33" s="135"/>
      <c r="IJ33" s="135"/>
      <c r="IK33" s="135"/>
      <c r="IL33" s="135"/>
      <c r="IM33" s="135"/>
      <c r="IN33" s="135"/>
      <c r="IO33" s="135"/>
      <c r="IP33" s="135"/>
      <c r="IQ33" s="135"/>
      <c r="IR33" s="135"/>
      <c r="IS33" s="135"/>
      <c r="IT33" s="135"/>
      <c r="IU33" s="135"/>
      <c r="IV33" s="135"/>
      <c r="IW33" s="135"/>
      <c r="IX33" s="135"/>
      <c r="IY33" s="135"/>
      <c r="IZ33" s="135"/>
      <c r="JA33" s="135"/>
      <c r="JB33" s="135"/>
      <c r="JC33" s="135"/>
      <c r="JD33" s="135"/>
      <c r="JE33" s="135"/>
      <c r="JF33" s="135"/>
      <c r="JG33" s="135"/>
      <c r="JH33" s="135"/>
      <c r="JI33" s="135"/>
      <c r="JJ33" s="135"/>
      <c r="JK33" s="135"/>
      <c r="JL33" s="135"/>
      <c r="JM33" s="135"/>
      <c r="JN33" s="135"/>
      <c r="JO33" s="135"/>
      <c r="JP33" s="135"/>
      <c r="JQ33" s="135"/>
      <c r="JR33" s="135"/>
      <c r="JS33" s="135"/>
      <c r="JT33" s="135"/>
      <c r="JU33" s="135"/>
      <c r="JV33" s="135"/>
      <c r="JW33" s="135"/>
      <c r="JX33" s="135"/>
      <c r="JY33" s="135"/>
      <c r="JZ33" s="135"/>
      <c r="KA33" s="135"/>
      <c r="KB33" s="135"/>
      <c r="KC33" s="135"/>
      <c r="KD33" s="135"/>
      <c r="KE33" s="135"/>
      <c r="KF33" s="135"/>
      <c r="KG33" s="135"/>
      <c r="KH33" s="135"/>
      <c r="KI33" s="135"/>
      <c r="KJ33" s="135"/>
      <c r="KK33" s="135"/>
      <c r="KL33" s="135"/>
      <c r="KM33" s="135"/>
      <c r="KN33" s="135"/>
      <c r="KO33" s="135"/>
      <c r="KP33" s="135"/>
      <c r="KQ33" s="135"/>
      <c r="KR33" s="135"/>
      <c r="KS33" s="135"/>
      <c r="KT33" s="135"/>
      <c r="KU33" s="135"/>
      <c r="KV33" s="135"/>
      <c r="KW33" s="135"/>
      <c r="KX33" s="135"/>
      <c r="KY33" s="135"/>
      <c r="KZ33" s="135"/>
      <c r="LA33" s="135"/>
      <c r="LB33" s="135"/>
      <c r="LC33" s="135"/>
      <c r="LD33" s="135"/>
      <c r="LE33" s="135"/>
      <c r="LF33" s="135"/>
      <c r="LG33" s="135"/>
      <c r="LH33" s="135"/>
      <c r="LI33" s="135"/>
      <c r="LJ33" s="135"/>
      <c r="LK33" s="135"/>
      <c r="LL33" s="135"/>
      <c r="LM33" s="135"/>
      <c r="LN33" s="135"/>
      <c r="LO33" s="135"/>
      <c r="LP33" s="135"/>
      <c r="LQ33" s="135"/>
      <c r="LR33" s="135"/>
      <c r="LS33" s="135"/>
      <c r="LT33" s="135"/>
      <c r="LU33" s="135"/>
      <c r="LV33" s="135"/>
      <c r="LW33" s="135"/>
      <c r="LX33" s="135"/>
      <c r="LY33" s="135"/>
      <c r="LZ33" s="135"/>
      <c r="MA33" s="135"/>
      <c r="MB33" s="135"/>
      <c r="MC33" s="135"/>
      <c r="MD33" s="135"/>
      <c r="ME33" s="135"/>
      <c r="MF33" s="135"/>
      <c r="MG33" s="135"/>
      <c r="MH33" s="135"/>
      <c r="MI33" s="135"/>
      <c r="MJ33" s="135"/>
      <c r="MK33" s="135"/>
      <c r="ML33" s="135"/>
      <c r="MM33" s="135"/>
      <c r="MN33" s="135"/>
      <c r="MO33" s="135"/>
      <c r="MP33" s="135"/>
      <c r="MQ33" s="135"/>
      <c r="MR33" s="135"/>
      <c r="MS33" s="135"/>
      <c r="MT33" s="135"/>
      <c r="MU33" s="135"/>
      <c r="MV33" s="135"/>
      <c r="MW33" s="135"/>
      <c r="MX33" s="135"/>
      <c r="MY33" s="135"/>
      <c r="MZ33" s="135"/>
      <c r="NA33" s="135"/>
      <c r="NB33" s="135"/>
      <c r="NC33" s="135"/>
      <c r="ND33" s="135"/>
      <c r="NE33" s="135"/>
      <c r="NF33" s="135"/>
      <c r="NG33" s="135"/>
      <c r="NH33" s="135"/>
      <c r="NI33" s="135"/>
      <c r="NJ33" s="135"/>
      <c r="NK33" s="135"/>
      <c r="NL33" s="135"/>
      <c r="NM33" s="135"/>
      <c r="NN33" s="135"/>
      <c r="NO33" s="135"/>
      <c r="NP33" s="135"/>
      <c r="NQ33" s="135"/>
      <c r="NR33" s="135"/>
      <c r="NS33" s="135"/>
      <c r="NT33" s="135"/>
      <c r="NU33" s="135"/>
      <c r="NV33" s="135"/>
      <c r="NW33" s="135"/>
      <c r="NX33" s="135"/>
      <c r="NY33" s="135"/>
      <c r="NZ33" s="135"/>
      <c r="OA33" s="135"/>
      <c r="OB33" s="135"/>
      <c r="OC33" s="135"/>
      <c r="OD33" s="135"/>
      <c r="OE33" s="135"/>
      <c r="OF33" s="135"/>
      <c r="OG33" s="135"/>
      <c r="OH33" s="135"/>
      <c r="OI33" s="135"/>
      <c r="OJ33" s="135"/>
      <c r="OK33" s="135"/>
      <c r="OL33" s="135"/>
      <c r="OM33" s="135"/>
      <c r="ON33" s="135"/>
      <c r="OO33" s="135"/>
      <c r="OP33" s="135"/>
      <c r="OQ33" s="135"/>
      <c r="OR33" s="135"/>
      <c r="OS33" s="135"/>
      <c r="OT33" s="135"/>
      <c r="OU33" s="135"/>
      <c r="OV33" s="135"/>
      <c r="OW33" s="135"/>
      <c r="OX33" s="135"/>
      <c r="OY33" s="135"/>
      <c r="OZ33" s="135"/>
      <c r="PA33" s="135"/>
      <c r="PB33" s="135"/>
      <c r="PC33" s="135"/>
      <c r="PD33" s="135"/>
      <c r="PE33" s="135"/>
      <c r="PF33" s="135"/>
      <c r="PG33" s="135"/>
      <c r="PH33" s="135"/>
      <c r="PI33" s="135"/>
      <c r="PJ33" s="135"/>
      <c r="PK33" s="135"/>
      <c r="PL33" s="135"/>
      <c r="PM33" s="135"/>
      <c r="PN33" s="135"/>
      <c r="PO33" s="135"/>
      <c r="PP33" s="135"/>
      <c r="PQ33" s="135"/>
      <c r="PR33" s="135"/>
      <c r="PS33" s="135"/>
      <c r="PT33" s="135"/>
      <c r="PU33" s="135"/>
      <c r="PV33" s="135"/>
      <c r="PW33" s="135"/>
      <c r="PX33" s="135"/>
      <c r="PY33" s="135"/>
      <c r="PZ33" s="135"/>
      <c r="QA33" s="135"/>
      <c r="QB33" s="135"/>
      <c r="QC33" s="135"/>
      <c r="QD33" s="135"/>
      <c r="QE33" s="135"/>
      <c r="QF33" s="135"/>
      <c r="QG33" s="135"/>
      <c r="QH33" s="135"/>
      <c r="QI33" s="135"/>
      <c r="QJ33" s="135"/>
      <c r="QK33" s="135"/>
      <c r="QL33" s="135"/>
      <c r="QM33" s="135"/>
      <c r="QN33" s="135"/>
      <c r="QO33" s="135"/>
      <c r="QP33" s="135"/>
      <c r="QQ33" s="135"/>
      <c r="QR33" s="135"/>
      <c r="QS33" s="135"/>
      <c r="QT33" s="135"/>
      <c r="QU33" s="135"/>
      <c r="QV33" s="135"/>
      <c r="QW33" s="135"/>
      <c r="QX33" s="135"/>
      <c r="QY33" s="135"/>
      <c r="QZ33" s="135"/>
      <c r="RA33" s="135"/>
      <c r="RB33" s="135"/>
      <c r="RC33" s="135"/>
      <c r="RD33" s="135"/>
      <c r="RE33" s="135"/>
      <c r="RF33" s="135"/>
      <c r="RG33" s="135"/>
      <c r="RH33" s="135"/>
      <c r="RI33" s="135"/>
      <c r="RJ33" s="135"/>
      <c r="RK33" s="135"/>
      <c r="RL33" s="135"/>
      <c r="RM33" s="135"/>
      <c r="RN33" s="135"/>
      <c r="RO33" s="135"/>
      <c r="RP33" s="135"/>
      <c r="RQ33" s="135"/>
      <c r="RR33" s="135"/>
      <c r="RS33" s="135"/>
      <c r="RT33" s="135"/>
      <c r="RU33" s="135"/>
      <c r="RV33" s="135"/>
      <c r="RW33" s="135"/>
      <c r="RX33" s="135"/>
      <c r="RY33" s="135"/>
      <c r="RZ33" s="135"/>
      <c r="SA33" s="135"/>
      <c r="SB33" s="135"/>
      <c r="SC33" s="135"/>
      <c r="SD33" s="135"/>
      <c r="SE33" s="135"/>
      <c r="SF33" s="135"/>
      <c r="SG33" s="135"/>
      <c r="SH33" s="135"/>
      <c r="SI33" s="135"/>
      <c r="SJ33" s="135"/>
      <c r="SK33" s="135"/>
      <c r="SL33" s="135"/>
      <c r="SM33" s="135"/>
      <c r="SN33" s="135"/>
      <c r="SO33" s="135"/>
      <c r="SP33" s="135"/>
      <c r="SQ33" s="135"/>
      <c r="SR33" s="135"/>
      <c r="SS33" s="135"/>
      <c r="ST33" s="135"/>
      <c r="SU33" s="135"/>
      <c r="SV33" s="135"/>
      <c r="SW33" s="135"/>
      <c r="SX33" s="135"/>
      <c r="SY33" s="135"/>
      <c r="SZ33" s="135"/>
      <c r="TA33" s="135"/>
      <c r="TB33" s="135"/>
      <c r="TC33" s="135"/>
      <c r="TD33" s="135"/>
      <c r="TE33" s="135"/>
      <c r="TF33" s="135"/>
      <c r="TG33" s="135"/>
      <c r="TH33" s="135"/>
      <c r="TI33" s="135"/>
      <c r="TJ33" s="135"/>
      <c r="TK33" s="135"/>
      <c r="TL33" s="135"/>
      <c r="TM33" s="135"/>
      <c r="TN33" s="135"/>
      <c r="TO33" s="135"/>
      <c r="TP33" s="135"/>
      <c r="TQ33" s="135"/>
      <c r="TR33" s="135"/>
      <c r="TS33" s="135"/>
      <c r="TT33" s="135"/>
      <c r="TU33" s="135"/>
      <c r="TV33" s="135"/>
      <c r="TW33" s="135"/>
      <c r="TX33" s="135"/>
      <c r="TY33" s="135"/>
      <c r="TZ33" s="135"/>
      <c r="UA33" s="135"/>
      <c r="UB33" s="135"/>
      <c r="UC33" s="135"/>
      <c r="UD33" s="135"/>
      <c r="UE33" s="135"/>
      <c r="UF33" s="135"/>
      <c r="UG33" s="135"/>
      <c r="UH33" s="135"/>
      <c r="UI33" s="135"/>
      <c r="UJ33" s="135"/>
      <c r="UK33" s="135"/>
      <c r="UL33" s="135"/>
      <c r="UM33" s="135"/>
      <c r="UN33" s="135"/>
      <c r="UO33" s="135"/>
      <c r="UP33" s="135"/>
      <c r="UQ33" s="135"/>
      <c r="UR33" s="135"/>
      <c r="US33" s="135"/>
      <c r="UT33" s="135"/>
      <c r="UU33" s="135"/>
      <c r="UV33" s="135"/>
      <c r="UW33" s="135"/>
      <c r="UX33" s="135"/>
      <c r="UY33" s="135"/>
      <c r="UZ33" s="135"/>
      <c r="VA33" s="135"/>
      <c r="VB33" s="135"/>
      <c r="VC33" s="135"/>
      <c r="VD33" s="135"/>
      <c r="VE33" s="135"/>
      <c r="VF33" s="135"/>
      <c r="VG33" s="135"/>
      <c r="VH33" s="135"/>
      <c r="VI33" s="135"/>
      <c r="VJ33" s="135"/>
      <c r="VK33" s="135"/>
      <c r="VL33" s="135"/>
      <c r="VM33" s="135"/>
      <c r="VN33" s="135"/>
      <c r="VO33" s="135"/>
      <c r="VP33" s="135"/>
      <c r="VQ33" s="135"/>
      <c r="VR33" s="135"/>
      <c r="VS33" s="135"/>
      <c r="VT33" s="135"/>
      <c r="VU33" s="135"/>
      <c r="VV33" s="135"/>
      <c r="VW33" s="135"/>
      <c r="VX33" s="135"/>
      <c r="VY33" s="135"/>
      <c r="VZ33" s="135"/>
      <c r="WA33" s="135"/>
      <c r="WB33" s="135"/>
      <c r="WC33" s="135"/>
      <c r="WD33" s="135"/>
      <c r="WE33" s="135"/>
      <c r="WF33" s="135"/>
      <c r="WG33" s="135"/>
      <c r="WH33" s="135"/>
      <c r="WI33" s="135"/>
      <c r="WJ33" s="135"/>
      <c r="WK33" s="135"/>
      <c r="WL33" s="135"/>
      <c r="WM33" s="135"/>
      <c r="WN33" s="135"/>
      <c r="WO33" s="135"/>
      <c r="WP33" s="135"/>
      <c r="WQ33" s="135"/>
      <c r="WR33" s="135"/>
      <c r="WS33" s="135"/>
      <c r="WT33" s="135"/>
      <c r="WU33" s="135"/>
      <c r="WV33" s="135"/>
      <c r="WW33" s="135"/>
      <c r="WX33" s="135"/>
      <c r="WY33" s="135"/>
      <c r="WZ33" s="135"/>
      <c r="XA33" s="135"/>
      <c r="XB33" s="135"/>
      <c r="XC33" s="135"/>
      <c r="XD33" s="135"/>
      <c r="XE33" s="135"/>
      <c r="XF33" s="135"/>
      <c r="XG33" s="135"/>
      <c r="XH33" s="135"/>
      <c r="XI33" s="135"/>
      <c r="XJ33" s="135"/>
      <c r="XK33" s="135"/>
      <c r="XL33" s="135"/>
      <c r="XM33" s="135"/>
      <c r="XN33" s="135"/>
      <c r="XO33" s="135"/>
      <c r="XP33" s="135"/>
      <c r="XQ33" s="135"/>
      <c r="XR33" s="135"/>
      <c r="XS33" s="135"/>
      <c r="XT33" s="135"/>
      <c r="XU33" s="135"/>
      <c r="XV33" s="135"/>
      <c r="XW33" s="135"/>
      <c r="XX33" s="135"/>
      <c r="XY33" s="135"/>
      <c r="XZ33" s="135"/>
      <c r="YA33" s="135"/>
      <c r="YB33" s="135"/>
      <c r="YC33" s="135"/>
      <c r="YD33" s="135"/>
      <c r="YE33" s="135"/>
      <c r="YF33" s="135"/>
      <c r="YG33" s="135"/>
      <c r="YH33" s="135"/>
      <c r="YI33" s="135"/>
      <c r="YJ33" s="135"/>
      <c r="YK33" s="135"/>
      <c r="YL33" s="135"/>
      <c r="YM33" s="135"/>
      <c r="YN33" s="135"/>
      <c r="YO33" s="135"/>
      <c r="YP33" s="135"/>
      <c r="YQ33" s="135"/>
      <c r="YR33" s="135"/>
      <c r="YS33" s="135"/>
      <c r="YT33" s="135"/>
      <c r="YU33" s="135"/>
      <c r="YV33" s="135"/>
      <c r="YW33" s="135"/>
      <c r="YX33" s="135"/>
      <c r="YY33" s="135"/>
      <c r="YZ33" s="135"/>
      <c r="ZA33" s="135"/>
      <c r="ZB33" s="135"/>
      <c r="ZC33" s="135"/>
      <c r="ZD33" s="135"/>
      <c r="ZE33" s="135"/>
      <c r="ZF33" s="135"/>
      <c r="ZG33" s="135"/>
      <c r="ZH33" s="135"/>
      <c r="ZI33" s="135"/>
      <c r="ZJ33" s="135"/>
      <c r="ZK33" s="135"/>
      <c r="ZL33" s="135"/>
      <c r="ZM33" s="135"/>
      <c r="ZN33" s="135"/>
      <c r="ZO33" s="135"/>
      <c r="ZP33" s="135"/>
      <c r="ZQ33" s="135"/>
      <c r="ZR33" s="135"/>
      <c r="ZS33" s="135"/>
      <c r="ZT33" s="135"/>
      <c r="ZU33" s="135"/>
      <c r="ZV33" s="135"/>
      <c r="ZW33" s="135"/>
      <c r="ZX33" s="135"/>
      <c r="ZY33" s="135"/>
      <c r="ZZ33" s="135"/>
    </row>
    <row r="34" spans="1:702" outlineLevel="1" x14ac:dyDescent="0.2">
      <c r="A34" s="142" t="s">
        <v>674</v>
      </c>
      <c r="B34" s="143">
        <v>2.069</v>
      </c>
    </row>
    <row r="35" spans="1:702" x14ac:dyDescent="0.2">
      <c r="A35" s="138"/>
    </row>
    <row r="36" spans="1:702" hidden="1" x14ac:dyDescent="0.2">
      <c r="A36" s="119" t="s">
        <v>845</v>
      </c>
    </row>
    <row r="37" spans="1:702" ht="12" hidden="1" outlineLevel="1" thickBot="1" x14ac:dyDescent="0.25">
      <c r="A37" s="144" t="s">
        <v>631</v>
      </c>
      <c r="B37" s="120" t="s">
        <v>675</v>
      </c>
    </row>
    <row r="38" spans="1:702" ht="12" hidden="1" outlineLevel="1" thickBot="1" x14ac:dyDescent="0.25">
      <c r="A38" s="137" t="s">
        <v>638</v>
      </c>
      <c r="B38" s="145">
        <v>1</v>
      </c>
      <c r="C38" s="146" t="s">
        <v>846</v>
      </c>
    </row>
    <row r="39" spans="1:702" ht="12" hidden="1" outlineLevel="1" thickBot="1" x14ac:dyDescent="0.25">
      <c r="A39" s="137" t="s">
        <v>822</v>
      </c>
      <c r="B39" s="145">
        <v>0.49241108327768035</v>
      </c>
      <c r="C39" s="145">
        <v>1</v>
      </c>
      <c r="D39" s="146" t="s">
        <v>847</v>
      </c>
    </row>
    <row r="40" spans="1:702" ht="12" hidden="1" outlineLevel="1" thickBot="1" x14ac:dyDescent="0.25">
      <c r="A40" s="137" t="s">
        <v>823</v>
      </c>
      <c r="B40" s="145">
        <v>-0.12153567682576503</v>
      </c>
      <c r="C40" s="145">
        <v>7.0704592581638623E-2</v>
      </c>
      <c r="D40" s="145">
        <v>1</v>
      </c>
      <c r="E40" s="146" t="s">
        <v>848</v>
      </c>
    </row>
    <row r="41" spans="1:702" hidden="1" outlineLevel="1" x14ac:dyDescent="0.2">
      <c r="A41" s="137" t="s">
        <v>824</v>
      </c>
      <c r="B41" s="145">
        <v>-0.23504458279363186</v>
      </c>
      <c r="C41" s="116">
        <v>-0.68780466645274208</v>
      </c>
      <c r="D41" s="116">
        <v>-0.77046064062613362</v>
      </c>
      <c r="E41" s="145">
        <v>1</v>
      </c>
    </row>
    <row r="42" spans="1:702" collapsed="1" x14ac:dyDescent="0.2">
      <c r="A42" s="138"/>
    </row>
    <row r="43" spans="1:702" hidden="1" x14ac:dyDescent="0.2">
      <c r="A43" s="119" t="s">
        <v>849</v>
      </c>
    </row>
    <row r="44" spans="1:702" ht="12" hidden="1" outlineLevel="1" thickBot="1" x14ac:dyDescent="0.25">
      <c r="A44" s="122" t="s">
        <v>678</v>
      </c>
      <c r="B44" s="122" t="s">
        <v>679</v>
      </c>
      <c r="C44" s="122" t="s">
        <v>680</v>
      </c>
      <c r="D44" s="122" t="str">
        <f>IF($I$10&gt;99%,("Low"&amp;TEXT($I$10,"0.0%")&amp;"F"),("Lower"&amp;TEXT($I$10,"0%")&amp;"F"))</f>
        <v>Lower95%F</v>
      </c>
      <c r="E44" s="122" t="str">
        <f>IF($I$10&gt;99%,("Up"&amp;TEXT($I$10,"0.0%")&amp;"F"),("Upper"&amp;TEXT($I$10,"0%")&amp;"F"))</f>
        <v>Upper95%F</v>
      </c>
      <c r="F44" s="122" t="s">
        <v>681</v>
      </c>
      <c r="G44" s="122" t="str">
        <f>IF($I$10&gt;99%,("Low"&amp;TEXT($I$10,"0.0%")&amp;"M"),("Lower"&amp;TEXT($I$10,"0%")&amp;"M"))</f>
        <v>Lower95%M</v>
      </c>
      <c r="H44" s="122" t="str">
        <f>IF($I$10&gt;99%,("Up"&amp;TEXT($I$10,"0.0%")&amp;"M"),("Upper"&amp;TEXT($I$10,"0%")&amp;"M"))</f>
        <v>Upper95%M</v>
      </c>
      <c r="I44" s="130" t="s">
        <v>850</v>
      </c>
      <c r="J44" s="130" t="s">
        <v>851</v>
      </c>
      <c r="K44" s="130" t="s">
        <v>852</v>
      </c>
    </row>
    <row r="45" spans="1:702" hidden="1" outlineLevel="1" x14ac:dyDescent="0.2">
      <c r="I45" s="147"/>
      <c r="J45" s="147"/>
      <c r="K45" s="147"/>
      <c r="L45" s="147"/>
    </row>
    <row r="46" spans="1:702" hidden="1" outlineLevel="1" x14ac:dyDescent="0.2">
      <c r="I46" s="147"/>
      <c r="J46" s="147"/>
      <c r="K46" s="147"/>
      <c r="L46" s="147"/>
    </row>
    <row r="47" spans="1:702" hidden="1" outlineLevel="1" x14ac:dyDescent="0.2">
      <c r="I47" s="147"/>
      <c r="J47" s="147"/>
      <c r="K47" s="147"/>
      <c r="L47" s="147"/>
    </row>
    <row r="48" spans="1:702" hidden="1" outlineLevel="1" x14ac:dyDescent="0.2">
      <c r="A48" s="117" t="s">
        <v>684</v>
      </c>
      <c r="I48" s="147"/>
      <c r="J48" s="147"/>
      <c r="K48" s="147"/>
      <c r="L48" s="147"/>
    </row>
    <row r="49" spans="9:12" hidden="1" outlineLevel="1" x14ac:dyDescent="0.2">
      <c r="I49" s="147"/>
      <c r="J49" s="147"/>
      <c r="K49" s="147"/>
      <c r="L49" s="147"/>
    </row>
    <row r="50" spans="9:12" hidden="1" outlineLevel="1" x14ac:dyDescent="0.2"/>
    <row r="51" spans="9:12" hidden="1" outlineLevel="1" x14ac:dyDescent="0.2"/>
    <row r="52" spans="9:12" hidden="1" outlineLevel="1" x14ac:dyDescent="0.2"/>
    <row r="53" spans="9:12" hidden="1" outlineLevel="1" x14ac:dyDescent="0.2"/>
    <row r="54" spans="9:12" hidden="1" outlineLevel="1" x14ac:dyDescent="0.2"/>
    <row r="55" spans="9:12" hidden="1" outlineLevel="1" x14ac:dyDescent="0.2"/>
    <row r="56" spans="9:12" hidden="1" outlineLevel="1" x14ac:dyDescent="0.2"/>
    <row r="57" spans="9:12" hidden="1" outlineLevel="1" x14ac:dyDescent="0.2"/>
    <row r="58" spans="9:12" hidden="1" outlineLevel="1" x14ac:dyDescent="0.2"/>
    <row r="59" spans="9:12" hidden="1" outlineLevel="1" x14ac:dyDescent="0.2"/>
    <row r="60" spans="9:12" hidden="1" outlineLevel="1" x14ac:dyDescent="0.2"/>
    <row r="61" spans="9:12" hidden="1" outlineLevel="1" x14ac:dyDescent="0.2"/>
    <row r="62" spans="9:12" hidden="1" outlineLevel="1" x14ac:dyDescent="0.2"/>
    <row r="63" spans="9:12" hidden="1" outlineLevel="1" x14ac:dyDescent="0.2"/>
    <row r="64" spans="9:12" hidden="1" outlineLevel="1" x14ac:dyDescent="0.2"/>
    <row r="65" spans="1:3" hidden="1" outlineLevel="1" x14ac:dyDescent="0.2"/>
    <row r="66" spans="1:3" hidden="1" outlineLevel="1" x14ac:dyDescent="0.2"/>
    <row r="67" spans="1:3" hidden="1" outlineLevel="1" x14ac:dyDescent="0.2"/>
    <row r="68" spans="1:3" hidden="1" outlineLevel="1" x14ac:dyDescent="0.2"/>
    <row r="69" spans="1:3" hidden="1" outlineLevel="1" x14ac:dyDescent="0.2"/>
    <row r="70" spans="1:3" collapsed="1" x14ac:dyDescent="0.2">
      <c r="A70" s="139"/>
    </row>
    <row r="71" spans="1:3" hidden="1" x14ac:dyDescent="0.2">
      <c r="A71" s="119" t="s">
        <v>658</v>
      </c>
    </row>
    <row r="72" spans="1:3" outlineLevel="1" x14ac:dyDescent="0.2"/>
    <row r="73" spans="1:3" outlineLevel="1" x14ac:dyDescent="0.2"/>
    <row r="74" spans="1:3" outlineLevel="1" x14ac:dyDescent="0.2">
      <c r="C74" s="135" t="b">
        <v>1</v>
      </c>
    </row>
    <row r="75" spans="1:3" outlineLevel="1" x14ac:dyDescent="0.2"/>
    <row r="76" spans="1:3" outlineLevel="1" x14ac:dyDescent="0.2"/>
    <row r="77" spans="1:3" outlineLevel="1" x14ac:dyDescent="0.2"/>
    <row r="78" spans="1:3" outlineLevel="1" x14ac:dyDescent="0.2"/>
    <row r="79" spans="1:3" outlineLevel="1" x14ac:dyDescent="0.2"/>
    <row r="80" spans="1:3" outlineLevel="1" x14ac:dyDescent="0.2"/>
    <row r="81" spans="1:1" outlineLevel="1" x14ac:dyDescent="0.2"/>
    <row r="82" spans="1:1" outlineLevel="1" x14ac:dyDescent="0.2"/>
    <row r="83" spans="1:1" outlineLevel="1" x14ac:dyDescent="0.2"/>
    <row r="84" spans="1:1" outlineLevel="1" x14ac:dyDescent="0.2"/>
    <row r="85" spans="1:1" outlineLevel="1" x14ac:dyDescent="0.2"/>
    <row r="86" spans="1:1" outlineLevel="1" x14ac:dyDescent="0.2"/>
    <row r="87" spans="1:1" outlineLevel="1" x14ac:dyDescent="0.2"/>
    <row r="88" spans="1:1" outlineLevel="1" x14ac:dyDescent="0.2"/>
    <row r="89" spans="1:1" outlineLevel="1" x14ac:dyDescent="0.2"/>
    <row r="90" spans="1:1" outlineLevel="1" x14ac:dyDescent="0.2"/>
    <row r="91" spans="1:1" outlineLevel="1" x14ac:dyDescent="0.2"/>
    <row r="92" spans="1:1" x14ac:dyDescent="0.2">
      <c r="A92" s="139"/>
    </row>
    <row r="93" spans="1:1" hidden="1" x14ac:dyDescent="0.2">
      <c r="A93" s="119" t="s">
        <v>685</v>
      </c>
    </row>
    <row r="94" spans="1:1" outlineLevel="1" x14ac:dyDescent="0.2"/>
    <row r="95" spans="1:1" outlineLevel="1" x14ac:dyDescent="0.2"/>
    <row r="96" spans="1:1" outlineLevel="1" x14ac:dyDescent="0.2"/>
    <row r="97" outlineLevel="1" x14ac:dyDescent="0.2"/>
    <row r="98" outlineLevel="1" x14ac:dyDescent="0.2"/>
    <row r="99" outlineLevel="1" x14ac:dyDescent="0.2"/>
    <row r="100" outlineLevel="1" x14ac:dyDescent="0.2"/>
    <row r="101" outlineLevel="1" x14ac:dyDescent="0.2"/>
    <row r="102" outlineLevel="1" x14ac:dyDescent="0.2"/>
    <row r="103" outlineLevel="1" x14ac:dyDescent="0.2"/>
    <row r="104" outlineLevel="1" x14ac:dyDescent="0.2"/>
    <row r="105" outlineLevel="1" x14ac:dyDescent="0.2"/>
    <row r="106" outlineLevel="1" x14ac:dyDescent="0.2"/>
    <row r="107" outlineLevel="1" x14ac:dyDescent="0.2"/>
    <row r="108" outlineLevel="1" x14ac:dyDescent="0.2"/>
    <row r="109" outlineLevel="1" x14ac:dyDescent="0.2"/>
    <row r="110" outlineLevel="1" x14ac:dyDescent="0.2"/>
    <row r="111" outlineLevel="1" x14ac:dyDescent="0.2"/>
    <row r="112" outlineLevel="1" x14ac:dyDescent="0.2"/>
    <row r="113" spans="1:1" outlineLevel="1" x14ac:dyDescent="0.2"/>
    <row r="114" spans="1:1" x14ac:dyDescent="0.2">
      <c r="A114" s="139"/>
    </row>
    <row r="115" spans="1:1" hidden="1" x14ac:dyDescent="0.2">
      <c r="A115" s="119" t="s">
        <v>686</v>
      </c>
    </row>
    <row r="116" spans="1:1" outlineLevel="1" x14ac:dyDescent="0.2"/>
    <row r="117" spans="1:1" outlineLevel="1" x14ac:dyDescent="0.2"/>
    <row r="118" spans="1:1" outlineLevel="1" x14ac:dyDescent="0.2"/>
    <row r="119" spans="1:1" outlineLevel="1" x14ac:dyDescent="0.2"/>
    <row r="120" spans="1:1" outlineLevel="1" x14ac:dyDescent="0.2"/>
    <row r="121" spans="1:1" outlineLevel="1" x14ac:dyDescent="0.2"/>
    <row r="122" spans="1:1" outlineLevel="1" x14ac:dyDescent="0.2"/>
    <row r="123" spans="1:1" outlineLevel="1" x14ac:dyDescent="0.2"/>
    <row r="124" spans="1:1" outlineLevel="1" x14ac:dyDescent="0.2"/>
    <row r="125" spans="1:1" outlineLevel="1" x14ac:dyDescent="0.2"/>
    <row r="126" spans="1:1" outlineLevel="1" x14ac:dyDescent="0.2"/>
    <row r="127" spans="1:1" outlineLevel="1" x14ac:dyDescent="0.2"/>
    <row r="128" spans="1:1" outlineLevel="1" x14ac:dyDescent="0.2"/>
    <row r="129" spans="1:1" outlineLevel="1" x14ac:dyDescent="0.2"/>
    <row r="130" spans="1:1" outlineLevel="1" x14ac:dyDescent="0.2"/>
    <row r="131" spans="1:1" outlineLevel="1" x14ac:dyDescent="0.2"/>
    <row r="132" spans="1:1" outlineLevel="1" x14ac:dyDescent="0.2"/>
    <row r="133" spans="1:1" outlineLevel="1" x14ac:dyDescent="0.2"/>
    <row r="134" spans="1:1" outlineLevel="1" x14ac:dyDescent="0.2"/>
    <row r="135" spans="1:1" outlineLevel="1" x14ac:dyDescent="0.2"/>
    <row r="136" spans="1:1" x14ac:dyDescent="0.2">
      <c r="A136" s="139"/>
    </row>
    <row r="137" spans="1:1" hidden="1" x14ac:dyDescent="0.2">
      <c r="A137" s="119" t="s">
        <v>687</v>
      </c>
    </row>
    <row r="138" spans="1:1" outlineLevel="1" x14ac:dyDescent="0.2"/>
    <row r="139" spans="1:1" outlineLevel="1" x14ac:dyDescent="0.2"/>
    <row r="140" spans="1:1" outlineLevel="1" x14ac:dyDescent="0.2"/>
    <row r="141" spans="1:1" outlineLevel="1" x14ac:dyDescent="0.2"/>
    <row r="142" spans="1:1" outlineLevel="1" x14ac:dyDescent="0.2"/>
    <row r="143" spans="1:1" outlineLevel="1" x14ac:dyDescent="0.2"/>
    <row r="144" spans="1:1" outlineLevel="1" x14ac:dyDescent="0.2"/>
    <row r="145" spans="1:1" outlineLevel="1" x14ac:dyDescent="0.2"/>
    <row r="146" spans="1:1" outlineLevel="1" x14ac:dyDescent="0.2"/>
    <row r="147" spans="1:1" outlineLevel="1" x14ac:dyDescent="0.2"/>
    <row r="148" spans="1:1" outlineLevel="1" x14ac:dyDescent="0.2"/>
    <row r="149" spans="1:1" outlineLevel="1" x14ac:dyDescent="0.2"/>
    <row r="150" spans="1:1" outlineLevel="1" x14ac:dyDescent="0.2"/>
    <row r="151" spans="1:1" outlineLevel="1" x14ac:dyDescent="0.2"/>
    <row r="152" spans="1:1" outlineLevel="1" x14ac:dyDescent="0.2"/>
    <row r="153" spans="1:1" outlineLevel="1" x14ac:dyDescent="0.2"/>
    <row r="154" spans="1:1" outlineLevel="1" x14ac:dyDescent="0.2"/>
    <row r="155" spans="1:1" outlineLevel="1" x14ac:dyDescent="0.2"/>
    <row r="156" spans="1:1" outlineLevel="1" x14ac:dyDescent="0.2"/>
    <row r="157" spans="1:1" outlineLevel="1" x14ac:dyDescent="0.2"/>
    <row r="158" spans="1:1" x14ac:dyDescent="0.2">
      <c r="A158" s="139"/>
    </row>
    <row r="159" spans="1:1" hidden="1" x14ac:dyDescent="0.2">
      <c r="A159" s="119" t="s">
        <v>688</v>
      </c>
    </row>
    <row r="160" spans="1:1" outlineLevel="1" x14ac:dyDescent="0.2"/>
    <row r="161" outlineLevel="1" x14ac:dyDescent="0.2"/>
    <row r="162" outlineLevel="1" x14ac:dyDescent="0.2"/>
    <row r="163" outlineLevel="1" x14ac:dyDescent="0.2"/>
    <row r="164" outlineLevel="1" x14ac:dyDescent="0.2"/>
    <row r="165" outlineLevel="1" x14ac:dyDescent="0.2"/>
    <row r="166" outlineLevel="1" x14ac:dyDescent="0.2"/>
    <row r="167" outlineLevel="1" x14ac:dyDescent="0.2"/>
    <row r="168" outlineLevel="1" x14ac:dyDescent="0.2"/>
    <row r="169" outlineLevel="1" x14ac:dyDescent="0.2"/>
    <row r="170" outlineLevel="1" x14ac:dyDescent="0.2"/>
    <row r="171" outlineLevel="1" x14ac:dyDescent="0.2"/>
    <row r="172" outlineLevel="1" x14ac:dyDescent="0.2"/>
    <row r="173" outlineLevel="1" x14ac:dyDescent="0.2"/>
    <row r="174" outlineLevel="1" x14ac:dyDescent="0.2"/>
    <row r="175" outlineLevel="1" x14ac:dyDescent="0.2"/>
    <row r="176" outlineLevel="1" x14ac:dyDescent="0.2"/>
    <row r="177" spans="1:1" outlineLevel="1" x14ac:dyDescent="0.2"/>
    <row r="178" spans="1:1" outlineLevel="1" x14ac:dyDescent="0.2"/>
    <row r="179" spans="1:1" outlineLevel="1" x14ac:dyDescent="0.2"/>
    <row r="180" spans="1:1" x14ac:dyDescent="0.2">
      <c r="A180" s="139"/>
    </row>
    <row r="181" spans="1:1" hidden="1" x14ac:dyDescent="0.2">
      <c r="A181" s="119" t="s">
        <v>689</v>
      </c>
    </row>
    <row r="182" spans="1:1" outlineLevel="1" x14ac:dyDescent="0.2"/>
    <row r="183" spans="1:1" outlineLevel="1" x14ac:dyDescent="0.2">
      <c r="A183" s="148" t="s">
        <v>853</v>
      </c>
    </row>
    <row r="184" spans="1:1" outlineLevel="1" x14ac:dyDescent="0.2"/>
    <row r="185" spans="1:1" outlineLevel="1" x14ac:dyDescent="0.2"/>
    <row r="186" spans="1:1" outlineLevel="1" x14ac:dyDescent="0.2"/>
    <row r="187" spans="1:1" outlineLevel="1" x14ac:dyDescent="0.2"/>
    <row r="188" spans="1:1" outlineLevel="1" x14ac:dyDescent="0.2"/>
    <row r="189" spans="1:1" outlineLevel="1" x14ac:dyDescent="0.2"/>
    <row r="190" spans="1:1" outlineLevel="1" x14ac:dyDescent="0.2"/>
    <row r="191" spans="1:1" outlineLevel="1" x14ac:dyDescent="0.2"/>
    <row r="192" spans="1:1" outlineLevel="1" x14ac:dyDescent="0.2"/>
    <row r="193" spans="1:1" outlineLevel="1" x14ac:dyDescent="0.2"/>
    <row r="194" spans="1:1" outlineLevel="1" x14ac:dyDescent="0.2"/>
    <row r="195" spans="1:1" outlineLevel="1" x14ac:dyDescent="0.2"/>
    <row r="196" spans="1:1" outlineLevel="1" x14ac:dyDescent="0.2"/>
    <row r="197" spans="1:1" outlineLevel="1" x14ac:dyDescent="0.2"/>
    <row r="198" spans="1:1" outlineLevel="1" x14ac:dyDescent="0.2"/>
    <row r="199" spans="1:1" outlineLevel="1" x14ac:dyDescent="0.2"/>
    <row r="200" spans="1:1" outlineLevel="1" x14ac:dyDescent="0.2"/>
    <row r="201" spans="1:1" outlineLevel="1" x14ac:dyDescent="0.2"/>
    <row r="202" spans="1:1" outlineLevel="1" x14ac:dyDescent="0.2"/>
    <row r="203" spans="1:1" outlineLevel="1" x14ac:dyDescent="0.2"/>
    <row r="204" spans="1:1" outlineLevel="1" x14ac:dyDescent="0.2"/>
    <row r="205" spans="1:1" outlineLevel="1" x14ac:dyDescent="0.2">
      <c r="A205" s="148" t="s">
        <v>854</v>
      </c>
    </row>
    <row r="206" spans="1:1" outlineLevel="1" x14ac:dyDescent="0.2"/>
    <row r="207" spans="1:1" outlineLevel="1" x14ac:dyDescent="0.2"/>
    <row r="208" spans="1:1" outlineLevel="1" x14ac:dyDescent="0.2"/>
    <row r="209" outlineLevel="1" x14ac:dyDescent="0.2"/>
    <row r="210" outlineLevel="1" x14ac:dyDescent="0.2"/>
    <row r="211" outlineLevel="1" x14ac:dyDescent="0.2"/>
    <row r="212" outlineLevel="1" x14ac:dyDescent="0.2"/>
    <row r="213" outlineLevel="1" x14ac:dyDescent="0.2"/>
    <row r="214" outlineLevel="1" x14ac:dyDescent="0.2"/>
    <row r="215" outlineLevel="1" x14ac:dyDescent="0.2"/>
    <row r="216" outlineLevel="1" x14ac:dyDescent="0.2"/>
    <row r="217" outlineLevel="1" x14ac:dyDescent="0.2"/>
    <row r="218" outlineLevel="1" x14ac:dyDescent="0.2"/>
    <row r="219" outlineLevel="1" x14ac:dyDescent="0.2"/>
    <row r="220" outlineLevel="1" x14ac:dyDescent="0.2"/>
    <row r="221" outlineLevel="1" x14ac:dyDescent="0.2"/>
    <row r="222" outlineLevel="1" x14ac:dyDescent="0.2"/>
    <row r="223" outlineLevel="1" x14ac:dyDescent="0.2"/>
    <row r="224" outlineLevel="1" x14ac:dyDescent="0.2"/>
    <row r="225" spans="1:1" outlineLevel="1" x14ac:dyDescent="0.2"/>
    <row r="226" spans="1:1" outlineLevel="1" x14ac:dyDescent="0.2"/>
    <row r="227" spans="1:1" outlineLevel="1" x14ac:dyDescent="0.2">
      <c r="A227" s="148" t="s">
        <v>855</v>
      </c>
    </row>
    <row r="228" spans="1:1" outlineLevel="1" x14ac:dyDescent="0.2"/>
    <row r="229" spans="1:1" outlineLevel="1" x14ac:dyDescent="0.2"/>
    <row r="230" spans="1:1" outlineLevel="1" x14ac:dyDescent="0.2"/>
    <row r="231" spans="1:1" outlineLevel="1" x14ac:dyDescent="0.2"/>
    <row r="232" spans="1:1" outlineLevel="1" x14ac:dyDescent="0.2"/>
    <row r="233" spans="1:1" outlineLevel="1" x14ac:dyDescent="0.2"/>
    <row r="234" spans="1:1" outlineLevel="1" x14ac:dyDescent="0.2"/>
    <row r="235" spans="1:1" outlineLevel="1" x14ac:dyDescent="0.2"/>
    <row r="236" spans="1:1" outlineLevel="1" x14ac:dyDescent="0.2"/>
    <row r="237" spans="1:1" outlineLevel="1" x14ac:dyDescent="0.2"/>
    <row r="238" spans="1:1" outlineLevel="1" x14ac:dyDescent="0.2"/>
    <row r="239" spans="1:1" outlineLevel="1" x14ac:dyDescent="0.2"/>
    <row r="240" spans="1:1" outlineLevel="1" x14ac:dyDescent="0.2"/>
    <row r="241" spans="1:8" outlineLevel="1" x14ac:dyDescent="0.2"/>
    <row r="242" spans="1:8" outlineLevel="1" x14ac:dyDescent="0.2"/>
    <row r="243" spans="1:8" outlineLevel="1" x14ac:dyDescent="0.2"/>
    <row r="244" spans="1:8" outlineLevel="1" x14ac:dyDescent="0.2"/>
    <row r="245" spans="1:8" outlineLevel="1" x14ac:dyDescent="0.2"/>
    <row r="246" spans="1:8" outlineLevel="1" x14ac:dyDescent="0.2"/>
    <row r="247" spans="1:8" outlineLevel="1" x14ac:dyDescent="0.2"/>
    <row r="248" spans="1:8" outlineLevel="1" x14ac:dyDescent="0.2"/>
    <row r="249" spans="1:8" x14ac:dyDescent="0.2">
      <c r="A249" s="139"/>
    </row>
    <row r="250" spans="1:8" hidden="1" x14ac:dyDescent="0.2">
      <c r="A250" s="119" t="s">
        <v>856</v>
      </c>
    </row>
    <row r="251" spans="1:8" ht="12" outlineLevel="1" thickBot="1" x14ac:dyDescent="0.25">
      <c r="A251" s="130" t="s">
        <v>692</v>
      </c>
      <c r="B251" s="130" t="s">
        <v>693</v>
      </c>
      <c r="C251" s="130" t="s">
        <v>694</v>
      </c>
      <c r="D251" s="130" t="s">
        <v>524</v>
      </c>
      <c r="E251" s="130" t="s">
        <v>695</v>
      </c>
      <c r="F251" s="130" t="s">
        <v>696</v>
      </c>
      <c r="G251" s="130" t="s">
        <v>697</v>
      </c>
      <c r="H251" s="130" t="s">
        <v>698</v>
      </c>
    </row>
    <row r="252" spans="1:8" outlineLevel="1" x14ac:dyDescent="0.2">
      <c r="A252" s="124">
        <v>1</v>
      </c>
      <c r="B252" s="133">
        <v>3162.8121999999998</v>
      </c>
      <c r="C252" s="133">
        <v>2403.1325963623021</v>
      </c>
      <c r="D252" s="123">
        <f t="shared" ref="D252:D283" si="4">B252 - C252</f>
        <v>759.67960363769771</v>
      </c>
      <c r="E252" s="115">
        <f t="shared" ref="E252:E283" si="5">D252 /7884.33674087294</f>
        <v>9.6353013399271339E-2</v>
      </c>
      <c r="F252" s="115">
        <f t="shared" ref="F252:F283" si="6">ABS(E252)</f>
        <v>9.6353013399271339E-2</v>
      </c>
      <c r="G252" s="115">
        <v>7.7546089832687144E-3</v>
      </c>
      <c r="H252" s="115">
        <f>(F252^2/3)*(G252/(1-G252)^2)</f>
        <v>2.4374239366780223E-5</v>
      </c>
    </row>
    <row r="253" spans="1:8" outlineLevel="1" x14ac:dyDescent="0.2">
      <c r="A253" s="124">
        <v>2</v>
      </c>
      <c r="B253" s="133">
        <v>1478.7066</v>
      </c>
      <c r="C253" s="133">
        <v>2155.5320403722271</v>
      </c>
      <c r="D253" s="123">
        <f t="shared" si="4"/>
        <v>-676.82544037222715</v>
      </c>
      <c r="E253" s="115">
        <f t="shared" si="5"/>
        <v>-8.5844309117787662E-2</v>
      </c>
      <c r="F253" s="115">
        <f t="shared" si="6"/>
        <v>8.5844309117787662E-2</v>
      </c>
      <c r="G253" s="115">
        <v>8.0360942998734426E-3</v>
      </c>
      <c r="H253" s="115">
        <f t="shared" ref="H253:H316" si="7">(F253^2/3)*(G253/(1-G253)^2)</f>
        <v>2.0061114159675745E-5</v>
      </c>
    </row>
    <row r="254" spans="1:8" outlineLevel="1" x14ac:dyDescent="0.2">
      <c r="A254" s="124">
        <v>3</v>
      </c>
      <c r="B254" s="123">
        <v>290.68</v>
      </c>
      <c r="C254" s="133">
        <v>1245.617847912509</v>
      </c>
      <c r="D254" s="123">
        <f t="shared" si="4"/>
        <v>-954.93784791250891</v>
      </c>
      <c r="E254" s="115">
        <f t="shared" si="5"/>
        <v>-0.1211183488602213</v>
      </c>
      <c r="F254" s="115">
        <f t="shared" si="6"/>
        <v>0.1211183488602213</v>
      </c>
      <c r="G254" s="115">
        <v>8.4400734894169837E-3</v>
      </c>
      <c r="H254" s="115">
        <f t="shared" si="7"/>
        <v>4.1976567589424922E-5</v>
      </c>
    </row>
    <row r="255" spans="1:8" outlineLevel="1" x14ac:dyDescent="0.2">
      <c r="A255" s="124">
        <v>4</v>
      </c>
      <c r="B255" s="123">
        <v>205.81890000000001</v>
      </c>
      <c r="C255" s="123">
        <v>-504.79826437939437</v>
      </c>
      <c r="D255" s="123">
        <f t="shared" si="4"/>
        <v>710.61716437939435</v>
      </c>
      <c r="E255" s="115">
        <f t="shared" si="5"/>
        <v>9.0130240213549789E-2</v>
      </c>
      <c r="F255" s="115">
        <f t="shared" si="6"/>
        <v>9.0130240213549789E-2</v>
      </c>
      <c r="G255" s="115">
        <v>9.9065190722045348E-3</v>
      </c>
      <c r="H255" s="115">
        <f t="shared" si="7"/>
        <v>2.7364560688493234E-5</v>
      </c>
    </row>
    <row r="256" spans="1:8" outlineLevel="1" x14ac:dyDescent="0.2">
      <c r="A256" s="124">
        <v>5</v>
      </c>
      <c r="B256" s="133">
        <v>3540.5491000000002</v>
      </c>
      <c r="C256" s="133">
        <v>8796.2492149644913</v>
      </c>
      <c r="D256" s="133">
        <f t="shared" si="4"/>
        <v>-5255.7001149644911</v>
      </c>
      <c r="E256" s="115">
        <f t="shared" si="5"/>
        <v>-0.66660015771758996</v>
      </c>
      <c r="F256" s="115">
        <f t="shared" si="6"/>
        <v>0.66660015771758996</v>
      </c>
      <c r="G256" s="115">
        <v>8.6940090070611493E-3</v>
      </c>
      <c r="H256" s="115">
        <f t="shared" si="7"/>
        <v>1.3104311060576745E-3</v>
      </c>
    </row>
    <row r="257" spans="1:8" outlineLevel="1" x14ac:dyDescent="0.2">
      <c r="A257" s="124">
        <v>6</v>
      </c>
      <c r="B257" s="133">
        <v>117401.54</v>
      </c>
      <c r="C257" s="133">
        <v>42869.458971451335</v>
      </c>
      <c r="D257" s="133">
        <f t="shared" si="4"/>
        <v>74532.081028548651</v>
      </c>
      <c r="E257" s="115">
        <f t="shared" si="5"/>
        <v>9.4531833784025547</v>
      </c>
      <c r="F257" s="115">
        <f t="shared" si="6"/>
        <v>9.4531833784025547</v>
      </c>
      <c r="G257" s="115">
        <v>7.8648426279082806E-2</v>
      </c>
      <c r="H257" s="115">
        <f t="shared" si="7"/>
        <v>2.7597782249203222</v>
      </c>
    </row>
    <row r="258" spans="1:8" outlineLevel="1" x14ac:dyDescent="0.2">
      <c r="A258" s="124">
        <v>7</v>
      </c>
      <c r="B258" s="123">
        <v>328.06920000000002</v>
      </c>
      <c r="C258" s="123">
        <v>375.55535302464887</v>
      </c>
      <c r="D258" s="123">
        <f t="shared" si="4"/>
        <v>-47.486153024648843</v>
      </c>
      <c r="E258" s="115">
        <f t="shared" si="5"/>
        <v>-6.02284689065567E-3</v>
      </c>
      <c r="F258" s="115">
        <f t="shared" si="6"/>
        <v>6.02284689065567E-3</v>
      </c>
      <c r="G258" s="115">
        <v>9.5547014860984242E-3</v>
      </c>
      <c r="H258" s="115">
        <f t="shared" si="7"/>
        <v>1.1777104391398099E-7</v>
      </c>
    </row>
    <row r="259" spans="1:8" outlineLevel="1" x14ac:dyDescent="0.2">
      <c r="A259" s="124">
        <v>8</v>
      </c>
      <c r="B259" s="133">
        <v>2086.6887999999999</v>
      </c>
      <c r="C259" s="133">
        <v>2157.7875755209716</v>
      </c>
      <c r="D259" s="123">
        <f t="shared" si="4"/>
        <v>-71.098775520971685</v>
      </c>
      <c r="E259" s="115">
        <f t="shared" si="5"/>
        <v>-9.017724363850517E-3</v>
      </c>
      <c r="F259" s="115">
        <f t="shared" si="6"/>
        <v>9.017724363850517E-3</v>
      </c>
      <c r="G259" s="115">
        <v>8.8962744596936781E-3</v>
      </c>
      <c r="H259" s="115">
        <f t="shared" si="7"/>
        <v>2.4549497888212305E-7</v>
      </c>
    </row>
    <row r="260" spans="1:8" outlineLevel="1" x14ac:dyDescent="0.2">
      <c r="A260" s="124">
        <v>9</v>
      </c>
      <c r="B260" s="123">
        <v>117.0865</v>
      </c>
      <c r="C260" s="123">
        <v>-102.97122316379841</v>
      </c>
      <c r="D260" s="123">
        <f t="shared" si="4"/>
        <v>220.05772316379841</v>
      </c>
      <c r="E260" s="115">
        <f t="shared" si="5"/>
        <v>2.7910746381874348E-2</v>
      </c>
      <c r="F260" s="115">
        <f t="shared" si="6"/>
        <v>2.7910746381874348E-2</v>
      </c>
      <c r="G260" s="115">
        <v>9.4775075783498693E-3</v>
      </c>
      <c r="H260" s="115">
        <f t="shared" si="7"/>
        <v>2.5083440379157838E-6</v>
      </c>
    </row>
    <row r="261" spans="1:8" outlineLevel="1" x14ac:dyDescent="0.2">
      <c r="A261" s="124">
        <v>10</v>
      </c>
      <c r="B261" s="133">
        <v>2344.0949000000001</v>
      </c>
      <c r="C261" s="133">
        <v>2810.1834134486717</v>
      </c>
      <c r="D261" s="123">
        <f t="shared" si="4"/>
        <v>-466.08851344867162</v>
      </c>
      <c r="E261" s="115">
        <f t="shared" si="5"/>
        <v>-5.9115754281832855E-2</v>
      </c>
      <c r="F261" s="115">
        <f t="shared" si="6"/>
        <v>5.9115754281832855E-2</v>
      </c>
      <c r="G261" s="115">
        <v>8.0097424788047912E-3</v>
      </c>
      <c r="H261" s="115">
        <f t="shared" si="7"/>
        <v>9.4817599345298963E-6</v>
      </c>
    </row>
    <row r="262" spans="1:8" outlineLevel="1" x14ac:dyDescent="0.2">
      <c r="A262" s="124">
        <v>11</v>
      </c>
      <c r="B262" s="133">
        <v>2363.1176</v>
      </c>
      <c r="C262" s="123">
        <v>454.09191536935441</v>
      </c>
      <c r="D262" s="133">
        <f t="shared" si="4"/>
        <v>1909.0256846306456</v>
      </c>
      <c r="E262" s="115">
        <f t="shared" si="5"/>
        <v>0.24212888761259094</v>
      </c>
      <c r="F262" s="115">
        <f t="shared" si="6"/>
        <v>0.24212888761259094</v>
      </c>
      <c r="G262" s="115">
        <v>8.7638055315820852E-3</v>
      </c>
      <c r="H262" s="115">
        <f t="shared" si="7"/>
        <v>1.743052176690816E-4</v>
      </c>
    </row>
    <row r="263" spans="1:8" outlineLevel="1" x14ac:dyDescent="0.2">
      <c r="A263" s="124">
        <v>12</v>
      </c>
      <c r="B263" s="123">
        <v>259.96980000000002</v>
      </c>
      <c r="C263" s="123">
        <v>-106.31163142740706</v>
      </c>
      <c r="D263" s="123">
        <f t="shared" si="4"/>
        <v>366.28143142740709</v>
      </c>
      <c r="E263" s="115">
        <f t="shared" si="5"/>
        <v>4.6456847730587045E-2</v>
      </c>
      <c r="F263" s="115">
        <f t="shared" si="6"/>
        <v>4.6456847730587045E-2</v>
      </c>
      <c r="G263" s="115">
        <v>9.6652193308001469E-3</v>
      </c>
      <c r="H263" s="115">
        <f t="shared" si="7"/>
        <v>7.0896675636214844E-6</v>
      </c>
    </row>
    <row r="264" spans="1:8" outlineLevel="1" x14ac:dyDescent="0.2">
      <c r="A264" s="124">
        <v>13</v>
      </c>
      <c r="B264" s="123">
        <v>265.0127</v>
      </c>
      <c r="C264" s="123">
        <v>51.418272899627254</v>
      </c>
      <c r="D264" s="123">
        <f t="shared" si="4"/>
        <v>213.59442710037274</v>
      </c>
      <c r="E264" s="115">
        <f t="shared" si="5"/>
        <v>2.7090982300779297E-2</v>
      </c>
      <c r="F264" s="115">
        <f t="shared" si="6"/>
        <v>2.7090982300779297E-2</v>
      </c>
      <c r="G264" s="115">
        <v>9.8422826503207009E-3</v>
      </c>
      <c r="H264" s="115">
        <f t="shared" si="7"/>
        <v>2.4559262995499449E-6</v>
      </c>
    </row>
    <row r="265" spans="1:8" outlineLevel="1" x14ac:dyDescent="0.2">
      <c r="A265" s="124">
        <v>14</v>
      </c>
      <c r="B265" s="133">
        <v>2014.3187</v>
      </c>
      <c r="C265" s="123">
        <v>413.01730499088421</v>
      </c>
      <c r="D265" s="133">
        <f t="shared" si="4"/>
        <v>1601.3013950091158</v>
      </c>
      <c r="E265" s="115">
        <f t="shared" si="5"/>
        <v>0.20309906180286036</v>
      </c>
      <c r="F265" s="115">
        <f t="shared" si="6"/>
        <v>0.20309906180286036</v>
      </c>
      <c r="G265" s="115">
        <v>9.655685567537443E-3</v>
      </c>
      <c r="H265" s="115">
        <f t="shared" si="7"/>
        <v>1.3536465140632738E-4</v>
      </c>
    </row>
    <row r="266" spans="1:8" outlineLevel="1" x14ac:dyDescent="0.2">
      <c r="A266" s="124">
        <v>15</v>
      </c>
      <c r="B266" s="133">
        <v>1409.3098</v>
      </c>
      <c r="C266" s="133">
        <v>1559.4944538974576</v>
      </c>
      <c r="D266" s="123">
        <f t="shared" si="4"/>
        <v>-150.18465389745757</v>
      </c>
      <c r="E266" s="115">
        <f t="shared" si="5"/>
        <v>-1.904848293945768E-2</v>
      </c>
      <c r="F266" s="115">
        <f t="shared" si="6"/>
        <v>1.904848293945768E-2</v>
      </c>
      <c r="G266" s="115">
        <v>8.4611857843665608E-3</v>
      </c>
      <c r="H266" s="115">
        <f t="shared" si="7"/>
        <v>1.0409055493086236E-6</v>
      </c>
    </row>
    <row r="267" spans="1:8" outlineLevel="1" x14ac:dyDescent="0.2">
      <c r="A267" s="124">
        <v>16</v>
      </c>
      <c r="B267" s="133">
        <v>1016.1319</v>
      </c>
      <c r="C267" s="133">
        <v>1296.0525897387572</v>
      </c>
      <c r="D267" s="123">
        <f t="shared" si="4"/>
        <v>-279.92068973875723</v>
      </c>
      <c r="E267" s="115">
        <f t="shared" si="5"/>
        <v>-3.5503390955846578E-2</v>
      </c>
      <c r="F267" s="115">
        <f t="shared" si="6"/>
        <v>3.5503390955846578E-2</v>
      </c>
      <c r="G267" s="115">
        <v>8.5535924608114364E-3</v>
      </c>
      <c r="H267" s="115">
        <f t="shared" si="7"/>
        <v>3.6561876917567822E-6</v>
      </c>
    </row>
    <row r="268" spans="1:8" outlineLevel="1" x14ac:dyDescent="0.2">
      <c r="A268" s="124">
        <v>17</v>
      </c>
      <c r="B268" s="133">
        <v>6894.6152000000002</v>
      </c>
      <c r="C268" s="123">
        <v>829.77773980793768</v>
      </c>
      <c r="D268" s="133">
        <f t="shared" si="4"/>
        <v>6064.8374601920623</v>
      </c>
      <c r="E268" s="115">
        <f t="shared" si="5"/>
        <v>0.76922608197992492</v>
      </c>
      <c r="F268" s="115">
        <f t="shared" si="6"/>
        <v>0.76922608197992492</v>
      </c>
      <c r="G268" s="115">
        <v>1.0533912696493189E-2</v>
      </c>
      <c r="H268" s="115">
        <f t="shared" si="7"/>
        <v>2.1221429485276228E-3</v>
      </c>
    </row>
    <row r="269" spans="1:8" outlineLevel="1" x14ac:dyDescent="0.2">
      <c r="A269" s="124">
        <v>18</v>
      </c>
      <c r="B269" s="133">
        <v>4868.8302000000003</v>
      </c>
      <c r="C269" s="133">
        <v>11298.54500264827</v>
      </c>
      <c r="D269" s="133">
        <f t="shared" si="4"/>
        <v>-6429.7148026482701</v>
      </c>
      <c r="E269" s="115">
        <f t="shared" si="5"/>
        <v>-0.81550484384008992</v>
      </c>
      <c r="F269" s="115">
        <f t="shared" si="6"/>
        <v>0.81550484384008992</v>
      </c>
      <c r="G269" s="115">
        <v>9.2382388560303206E-3</v>
      </c>
      <c r="H269" s="115">
        <f t="shared" si="7"/>
        <v>2.0863278195165859E-3</v>
      </c>
    </row>
    <row r="270" spans="1:8" outlineLevel="1" x14ac:dyDescent="0.2">
      <c r="A270" s="124">
        <v>19</v>
      </c>
      <c r="B270" s="133">
        <v>15390.5118</v>
      </c>
      <c r="C270" s="133">
        <v>7507.7541861803529</v>
      </c>
      <c r="D270" s="133">
        <f t="shared" si="4"/>
        <v>7882.7576138196473</v>
      </c>
      <c r="E270" s="115">
        <f t="shared" si="5"/>
        <v>0.99979971339312457</v>
      </c>
      <c r="F270" s="115">
        <f t="shared" si="6"/>
        <v>0.99979971339312457</v>
      </c>
      <c r="G270" s="115">
        <v>8.2658087960333759E-3</v>
      </c>
      <c r="H270" s="115">
        <f t="shared" si="7"/>
        <v>2.8002676516258257E-3</v>
      </c>
    </row>
    <row r="271" spans="1:8" outlineLevel="1" x14ac:dyDescent="0.2">
      <c r="A271" s="124">
        <v>20</v>
      </c>
      <c r="B271" s="123">
        <v>304.52499999999998</v>
      </c>
      <c r="C271" s="123">
        <v>-540.66057569911902</v>
      </c>
      <c r="D271" s="123">
        <f t="shared" si="4"/>
        <v>845.185575699119</v>
      </c>
      <c r="E271" s="115">
        <f t="shared" si="5"/>
        <v>0.10719805653627391</v>
      </c>
      <c r="F271" s="115">
        <f t="shared" si="6"/>
        <v>0.10719805653627391</v>
      </c>
      <c r="G271" s="115">
        <v>9.8022282122647263E-3</v>
      </c>
      <c r="H271" s="115">
        <f t="shared" si="7"/>
        <v>3.8294243005569426E-5</v>
      </c>
    </row>
    <row r="272" spans="1:8" outlineLevel="1" x14ac:dyDescent="0.2">
      <c r="A272" s="124">
        <v>21</v>
      </c>
      <c r="B272" s="123">
        <v>748.60599999999999</v>
      </c>
      <c r="C272" s="123">
        <v>-388.34465488652154</v>
      </c>
      <c r="D272" s="133">
        <f t="shared" si="4"/>
        <v>1136.9506548865215</v>
      </c>
      <c r="E272" s="115">
        <f t="shared" si="5"/>
        <v>0.14420371582970215</v>
      </c>
      <c r="F272" s="115">
        <f t="shared" si="6"/>
        <v>0.14420371582970215</v>
      </c>
      <c r="G272" s="115">
        <v>9.8739090672143592E-3</v>
      </c>
      <c r="H272" s="115">
        <f t="shared" si="7"/>
        <v>6.9813556339046165E-5</v>
      </c>
    </row>
    <row r="273" spans="1:8" outlineLevel="1" x14ac:dyDescent="0.2">
      <c r="A273" s="124">
        <v>22</v>
      </c>
      <c r="B273" s="133">
        <v>28484.287400000001</v>
      </c>
      <c r="C273" s="133">
        <v>20534.182972705144</v>
      </c>
      <c r="D273" s="133">
        <f t="shared" si="4"/>
        <v>7950.1044272948566</v>
      </c>
      <c r="E273" s="115">
        <f t="shared" si="5"/>
        <v>1.0083415623385252</v>
      </c>
      <c r="F273" s="115">
        <f t="shared" si="6"/>
        <v>1.0083415623385252</v>
      </c>
      <c r="G273" s="115">
        <v>4.5904412892703639E-2</v>
      </c>
      <c r="H273" s="115">
        <f t="shared" si="7"/>
        <v>1.7090892608497735E-2</v>
      </c>
    </row>
    <row r="274" spans="1:8" outlineLevel="1" x14ac:dyDescent="0.2">
      <c r="A274" s="124">
        <v>23</v>
      </c>
      <c r="B274" s="133">
        <v>2527.3155999999999</v>
      </c>
      <c r="C274" s="133">
        <v>1541.7023123711645</v>
      </c>
      <c r="D274" s="123">
        <f t="shared" si="4"/>
        <v>985.61328762883545</v>
      </c>
      <c r="E274" s="115">
        <f t="shared" si="5"/>
        <v>0.12500902993137633</v>
      </c>
      <c r="F274" s="115">
        <f t="shared" si="6"/>
        <v>0.12500902993137633</v>
      </c>
      <c r="G274" s="115">
        <v>8.2033556260339719E-3</v>
      </c>
      <c r="H274" s="115">
        <f t="shared" si="7"/>
        <v>4.3441797361357415E-5</v>
      </c>
    </row>
    <row r="275" spans="1:8" outlineLevel="1" x14ac:dyDescent="0.2">
      <c r="A275" s="124">
        <v>24</v>
      </c>
      <c r="B275" s="133">
        <v>5116.1342000000004</v>
      </c>
      <c r="C275" s="133">
        <v>4228.1939859376826</v>
      </c>
      <c r="D275" s="123">
        <f t="shared" si="4"/>
        <v>887.94021406231786</v>
      </c>
      <c r="E275" s="115">
        <f t="shared" si="5"/>
        <v>0.11262078767630194</v>
      </c>
      <c r="F275" s="115">
        <f t="shared" si="6"/>
        <v>0.11262078767630194</v>
      </c>
      <c r="G275" s="115">
        <v>8.3124679508890156E-3</v>
      </c>
      <c r="H275" s="115">
        <f t="shared" si="7"/>
        <v>3.5735193980036518E-5</v>
      </c>
    </row>
    <row r="276" spans="1:8" outlineLevel="1" x14ac:dyDescent="0.2">
      <c r="A276" s="124">
        <v>25</v>
      </c>
      <c r="B276" s="133">
        <v>1106.0070000000001</v>
      </c>
      <c r="C276" s="133">
        <v>2193.6656893763602</v>
      </c>
      <c r="D276" s="133">
        <f t="shared" si="4"/>
        <v>-1087.6586893763601</v>
      </c>
      <c r="E276" s="115">
        <f t="shared" si="5"/>
        <v>-0.13795183096859159</v>
      </c>
      <c r="F276" s="115">
        <f t="shared" si="6"/>
        <v>0.13795183096859159</v>
      </c>
      <c r="G276" s="115">
        <v>8.655357269652178E-3</v>
      </c>
      <c r="H276" s="115">
        <f t="shared" si="7"/>
        <v>5.5868801436109203E-5</v>
      </c>
    </row>
    <row r="277" spans="1:8" outlineLevel="1" x14ac:dyDescent="0.2">
      <c r="A277" s="124">
        <v>26</v>
      </c>
      <c r="B277" s="133">
        <v>3579.8489</v>
      </c>
      <c r="C277" s="133">
        <v>7329.8241761987101</v>
      </c>
      <c r="D277" s="133">
        <f t="shared" si="4"/>
        <v>-3749.9752761987102</v>
      </c>
      <c r="E277" s="115">
        <f t="shared" si="5"/>
        <v>-0.47562342901446386</v>
      </c>
      <c r="F277" s="115">
        <f t="shared" si="6"/>
        <v>0.47562342901446386</v>
      </c>
      <c r="G277" s="115">
        <v>8.5323150351545082E-3</v>
      </c>
      <c r="H277" s="115">
        <f t="shared" si="7"/>
        <v>6.5450803034420495E-4</v>
      </c>
    </row>
    <row r="278" spans="1:8" outlineLevel="1" x14ac:dyDescent="0.2">
      <c r="A278" s="124">
        <v>27</v>
      </c>
      <c r="B278" s="133">
        <v>2165.1192999999998</v>
      </c>
      <c r="C278" s="133">
        <v>1007.2294364829502</v>
      </c>
      <c r="D278" s="133">
        <f t="shared" si="4"/>
        <v>1157.8898635170497</v>
      </c>
      <c r="E278" s="115">
        <f t="shared" si="5"/>
        <v>0.14685951419533738</v>
      </c>
      <c r="F278" s="115">
        <f t="shared" si="6"/>
        <v>0.14685951419533738</v>
      </c>
      <c r="G278" s="115">
        <v>8.5530595861299068E-3</v>
      </c>
      <c r="H278" s="115">
        <f t="shared" si="7"/>
        <v>6.2555494800918635E-5</v>
      </c>
    </row>
    <row r="279" spans="1:8" outlineLevel="1" x14ac:dyDescent="0.2">
      <c r="A279" s="124">
        <v>28</v>
      </c>
      <c r="B279" s="133">
        <v>2781.2797</v>
      </c>
      <c r="C279" s="133">
        <v>3062.428280934635</v>
      </c>
      <c r="D279" s="123">
        <f t="shared" si="4"/>
        <v>-281.14858093463499</v>
      </c>
      <c r="E279" s="115">
        <f t="shared" si="5"/>
        <v>-3.5659129001573656E-2</v>
      </c>
      <c r="F279" s="115">
        <f t="shared" si="6"/>
        <v>3.5659129001573656E-2</v>
      </c>
      <c r="G279" s="115">
        <v>8.7077267057121752E-3</v>
      </c>
      <c r="H279" s="115">
        <f t="shared" si="7"/>
        <v>3.7559651621300629E-6</v>
      </c>
    </row>
    <row r="280" spans="1:8" outlineLevel="1" x14ac:dyDescent="0.2">
      <c r="A280" s="124">
        <v>29</v>
      </c>
      <c r="B280" s="133">
        <v>2584.7898</v>
      </c>
      <c r="C280" s="133">
        <v>5806.5681609132416</v>
      </c>
      <c r="D280" s="133">
        <f t="shared" si="4"/>
        <v>-3221.7783609132416</v>
      </c>
      <c r="E280" s="115">
        <f t="shared" si="5"/>
        <v>-0.40863023318262431</v>
      </c>
      <c r="F280" s="115">
        <f t="shared" si="6"/>
        <v>0.40863023318262431</v>
      </c>
      <c r="G280" s="115">
        <v>8.3250321448802359E-3</v>
      </c>
      <c r="H280" s="115">
        <f t="shared" si="7"/>
        <v>4.7118011492244561E-4</v>
      </c>
    </row>
    <row r="281" spans="1:8" outlineLevel="1" x14ac:dyDescent="0.2">
      <c r="A281" s="124">
        <v>30</v>
      </c>
      <c r="B281" s="133">
        <v>17761.393199999999</v>
      </c>
      <c r="C281" s="133">
        <v>21423.736533682746</v>
      </c>
      <c r="D281" s="133">
        <f t="shared" si="4"/>
        <v>-3662.3433336827475</v>
      </c>
      <c r="E281" s="115">
        <f t="shared" si="5"/>
        <v>-0.46450874107100343</v>
      </c>
      <c r="F281" s="115">
        <f t="shared" si="6"/>
        <v>0.46450874107100343</v>
      </c>
      <c r="G281" s="115">
        <v>1.9035759352703741E-2</v>
      </c>
      <c r="H281" s="115">
        <f t="shared" si="7"/>
        <v>1.4227558518108577E-3</v>
      </c>
    </row>
    <row r="282" spans="1:8" outlineLevel="1" x14ac:dyDescent="0.2">
      <c r="A282" s="124">
        <v>31</v>
      </c>
      <c r="B282" s="133">
        <v>12773.614</v>
      </c>
      <c r="C282" s="133">
        <v>11690.530943789297</v>
      </c>
      <c r="D282" s="133">
        <f t="shared" si="4"/>
        <v>1083.0830562107021</v>
      </c>
      <c r="E282" s="115">
        <f t="shared" si="5"/>
        <v>0.13737148625272758</v>
      </c>
      <c r="F282" s="115">
        <f t="shared" si="6"/>
        <v>0.13737148625272758</v>
      </c>
      <c r="G282" s="115">
        <v>1.0774940113479429E-2</v>
      </c>
      <c r="H282" s="115">
        <f t="shared" si="7"/>
        <v>6.9262248285924957E-5</v>
      </c>
    </row>
    <row r="283" spans="1:8" outlineLevel="1" x14ac:dyDescent="0.2">
      <c r="A283" s="124">
        <v>32</v>
      </c>
      <c r="B283" s="133">
        <v>1234.2756999999999</v>
      </c>
      <c r="C283" s="133">
        <v>1266.7126276638653</v>
      </c>
      <c r="D283" s="123">
        <f t="shared" si="4"/>
        <v>-32.43692766386539</v>
      </c>
      <c r="E283" s="115">
        <f t="shared" si="5"/>
        <v>-4.1140971942142121E-3</v>
      </c>
      <c r="F283" s="115">
        <f t="shared" si="6"/>
        <v>4.1140971942142121E-3</v>
      </c>
      <c r="G283" s="115">
        <v>8.9050727031303612E-3</v>
      </c>
      <c r="H283" s="115">
        <f t="shared" si="7"/>
        <v>5.114872392548286E-8</v>
      </c>
    </row>
    <row r="284" spans="1:8" outlineLevel="1" x14ac:dyDescent="0.2">
      <c r="A284" s="124">
        <v>33</v>
      </c>
      <c r="B284" s="133">
        <v>1444.5420999999999</v>
      </c>
      <c r="C284" s="123">
        <v>968.4999808076434</v>
      </c>
      <c r="D284" s="123">
        <f t="shared" ref="D284:D315" si="8">B284 - C284</f>
        <v>476.04211919235649</v>
      </c>
      <c r="E284" s="115">
        <f t="shared" ref="E284:E315" si="9">D284 /7884.33674087294</f>
        <v>6.0378207430502255E-2</v>
      </c>
      <c r="F284" s="115">
        <f t="shared" ref="F284:F315" si="10">ABS(E284)</f>
        <v>6.0378207430502255E-2</v>
      </c>
      <c r="G284" s="115">
        <v>8.3613012446319985E-3</v>
      </c>
      <c r="H284" s="115">
        <f t="shared" si="7"/>
        <v>1.0332516621069629E-5</v>
      </c>
    </row>
    <row r="285" spans="1:8" outlineLevel="1" x14ac:dyDescent="0.2">
      <c r="A285" s="124">
        <v>34</v>
      </c>
      <c r="B285" s="123">
        <v>268.75810000000001</v>
      </c>
      <c r="C285" s="123">
        <v>141.71030281767003</v>
      </c>
      <c r="D285" s="123">
        <f t="shared" si="8"/>
        <v>127.04779718232999</v>
      </c>
      <c r="E285" s="115">
        <f t="shared" si="9"/>
        <v>1.6113948624708725E-2</v>
      </c>
      <c r="F285" s="115">
        <f t="shared" si="10"/>
        <v>1.6113948624708725E-2</v>
      </c>
      <c r="G285" s="115">
        <v>9.1972237915100962E-3</v>
      </c>
      <c r="H285" s="115">
        <f t="shared" si="7"/>
        <v>8.108957404295241E-7</v>
      </c>
    </row>
    <row r="286" spans="1:8" outlineLevel="1" x14ac:dyDescent="0.2">
      <c r="A286" s="124">
        <v>35</v>
      </c>
      <c r="B286" s="133">
        <v>12991.4501</v>
      </c>
      <c r="C286" s="133">
        <v>5198.4383851198181</v>
      </c>
      <c r="D286" s="133">
        <f t="shared" si="8"/>
        <v>7793.0117148801819</v>
      </c>
      <c r="E286" s="115">
        <f t="shared" si="9"/>
        <v>0.98841690442782293</v>
      </c>
      <c r="F286" s="115">
        <f t="shared" si="10"/>
        <v>0.98841690442782293</v>
      </c>
      <c r="G286" s="115">
        <v>1.9100547165770046E-2</v>
      </c>
      <c r="H286" s="115">
        <f t="shared" si="7"/>
        <v>6.4648119698280581E-3</v>
      </c>
    </row>
    <row r="287" spans="1:8" outlineLevel="1" x14ac:dyDescent="0.2">
      <c r="A287" s="124">
        <v>36</v>
      </c>
      <c r="B287" s="133">
        <v>14433.059600000001</v>
      </c>
      <c r="C287" s="133">
        <v>16186.8449637095</v>
      </c>
      <c r="D287" s="133">
        <f t="shared" si="8"/>
        <v>-1753.7853637094995</v>
      </c>
      <c r="E287" s="115">
        <f t="shared" si="9"/>
        <v>-0.22243917546263042</v>
      </c>
      <c r="F287" s="115">
        <f t="shared" si="10"/>
        <v>0.22243917546263042</v>
      </c>
      <c r="G287" s="115">
        <v>1.1986989939662213E-2</v>
      </c>
      <c r="H287" s="115">
        <f t="shared" si="7"/>
        <v>2.0252848429609275E-4</v>
      </c>
    </row>
    <row r="288" spans="1:8" outlineLevel="1" x14ac:dyDescent="0.2">
      <c r="A288" s="124">
        <v>37</v>
      </c>
      <c r="B288" s="133">
        <v>1642.0148999999999</v>
      </c>
      <c r="C288" s="133">
        <v>5277.9884382939126</v>
      </c>
      <c r="D288" s="133">
        <f t="shared" si="8"/>
        <v>-3635.9735382939125</v>
      </c>
      <c r="E288" s="115">
        <f t="shared" si="9"/>
        <v>-0.46116416101874208</v>
      </c>
      <c r="F288" s="115">
        <f t="shared" si="10"/>
        <v>0.46116416101874208</v>
      </c>
      <c r="G288" s="115">
        <v>8.6652388699030511E-3</v>
      </c>
      <c r="H288" s="115">
        <f t="shared" si="7"/>
        <v>6.2507152149517218E-4</v>
      </c>
    </row>
    <row r="289" spans="1:8" outlineLevel="1" x14ac:dyDescent="0.2">
      <c r="A289" s="124">
        <v>38</v>
      </c>
      <c r="B289" s="133">
        <v>2249.4695999999999</v>
      </c>
      <c r="C289" s="133">
        <v>5164.6771849655042</v>
      </c>
      <c r="D289" s="133">
        <f t="shared" si="8"/>
        <v>-2915.2075849655043</v>
      </c>
      <c r="E289" s="115">
        <f t="shared" si="9"/>
        <v>-0.36974671183853286</v>
      </c>
      <c r="F289" s="115">
        <f t="shared" si="10"/>
        <v>0.36974671183853286</v>
      </c>
      <c r="G289" s="115">
        <v>7.6282048513142244E-3</v>
      </c>
      <c r="H289" s="115">
        <f t="shared" si="7"/>
        <v>3.5298878609176101E-4</v>
      </c>
    </row>
    <row r="290" spans="1:8" outlineLevel="1" x14ac:dyDescent="0.2">
      <c r="A290" s="124">
        <v>39</v>
      </c>
      <c r="B290" s="133">
        <v>14085.412700000001</v>
      </c>
      <c r="C290" s="133">
        <v>16186.045400713225</v>
      </c>
      <c r="D290" s="133">
        <f t="shared" si="8"/>
        <v>-2100.632700713224</v>
      </c>
      <c r="E290" s="115">
        <f t="shared" si="9"/>
        <v>-0.26643112410754866</v>
      </c>
      <c r="F290" s="115">
        <f t="shared" si="10"/>
        <v>0.26643112410754866</v>
      </c>
      <c r="G290" s="115">
        <v>1.5482590820049567E-2</v>
      </c>
      <c r="H290" s="115">
        <f t="shared" si="7"/>
        <v>3.7795969988524593E-4</v>
      </c>
    </row>
    <row r="291" spans="1:8" outlineLevel="1" x14ac:dyDescent="0.2">
      <c r="A291" s="124">
        <v>40</v>
      </c>
      <c r="B291" s="133">
        <v>2710.8598999999999</v>
      </c>
      <c r="C291" s="133">
        <v>4183.3860046844438</v>
      </c>
      <c r="D291" s="133">
        <f t="shared" si="8"/>
        <v>-1472.5261046844439</v>
      </c>
      <c r="E291" s="115">
        <f t="shared" si="9"/>
        <v>-0.18676600874373719</v>
      </c>
      <c r="F291" s="115">
        <f t="shared" si="10"/>
        <v>0.18676600874373719</v>
      </c>
      <c r="G291" s="115">
        <v>7.6960525228873837E-3</v>
      </c>
      <c r="H291" s="115">
        <f t="shared" si="7"/>
        <v>9.0876795785189293E-5</v>
      </c>
    </row>
    <row r="292" spans="1:8" outlineLevel="1" x14ac:dyDescent="0.2">
      <c r="A292" s="124">
        <v>41</v>
      </c>
      <c r="B292" s="133">
        <v>3256.0626999999999</v>
      </c>
      <c r="C292" s="133">
        <v>1602.3862293860623</v>
      </c>
      <c r="D292" s="133">
        <f t="shared" si="8"/>
        <v>1653.6764706139377</v>
      </c>
      <c r="E292" s="115">
        <f t="shared" si="9"/>
        <v>0.20974198908085268</v>
      </c>
      <c r="F292" s="115">
        <f t="shared" si="10"/>
        <v>0.20974198908085268</v>
      </c>
      <c r="G292" s="115">
        <v>8.2941669025146224E-3</v>
      </c>
      <c r="H292" s="115">
        <f t="shared" si="7"/>
        <v>1.2366777434512483E-4</v>
      </c>
    </row>
    <row r="293" spans="1:8" outlineLevel="1" x14ac:dyDescent="0.2">
      <c r="A293" s="124">
        <v>42</v>
      </c>
      <c r="B293" s="123">
        <v>877.18060000000003</v>
      </c>
      <c r="C293" s="123">
        <v>-848.16386302295268</v>
      </c>
      <c r="D293" s="133">
        <f t="shared" si="8"/>
        <v>1725.3444630229528</v>
      </c>
      <c r="E293" s="115">
        <f t="shared" si="9"/>
        <v>0.21883190935753027</v>
      </c>
      <c r="F293" s="115">
        <f t="shared" si="10"/>
        <v>0.21883190935753027</v>
      </c>
      <c r="G293" s="115">
        <v>1.0210371669264962E-2</v>
      </c>
      <c r="H293" s="115">
        <f t="shared" si="7"/>
        <v>1.6636263806807245E-4</v>
      </c>
    </row>
    <row r="294" spans="1:8" outlineLevel="1" x14ac:dyDescent="0.2">
      <c r="A294" s="124">
        <v>43</v>
      </c>
      <c r="B294" s="133">
        <v>2121.9027000000001</v>
      </c>
      <c r="C294" s="133">
        <v>1203.5825597792229</v>
      </c>
      <c r="D294" s="123">
        <f t="shared" si="8"/>
        <v>918.32014022077715</v>
      </c>
      <c r="E294" s="115">
        <f t="shared" si="9"/>
        <v>0.11647398765455347</v>
      </c>
      <c r="F294" s="115">
        <f t="shared" si="10"/>
        <v>0.11647398765455347</v>
      </c>
      <c r="G294" s="115">
        <v>8.583597516950774E-3</v>
      </c>
      <c r="H294" s="115">
        <f t="shared" si="7"/>
        <v>3.9490604339876248E-5</v>
      </c>
    </row>
    <row r="295" spans="1:8" outlineLevel="1" x14ac:dyDescent="0.2">
      <c r="A295" s="124">
        <v>44</v>
      </c>
      <c r="B295" s="123">
        <v>151.4391</v>
      </c>
      <c r="C295" s="123">
        <v>-659.96218269292058</v>
      </c>
      <c r="D295" s="123">
        <f t="shared" si="8"/>
        <v>811.40128269292063</v>
      </c>
      <c r="E295" s="115">
        <f t="shared" si="9"/>
        <v>0.10291306794223552</v>
      </c>
      <c r="F295" s="115">
        <f t="shared" si="10"/>
        <v>0.10291306794223552</v>
      </c>
      <c r="G295" s="115">
        <v>9.8894265228181427E-3</v>
      </c>
      <c r="H295" s="115">
        <f t="shared" si="7"/>
        <v>3.5614225714523984E-5</v>
      </c>
    </row>
    <row r="296" spans="1:8" outlineLevel="1" x14ac:dyDescent="0.2">
      <c r="A296" s="124">
        <v>45</v>
      </c>
      <c r="B296" s="133">
        <v>2399.3838999999998</v>
      </c>
      <c r="C296" s="123">
        <v>654.05523403290522</v>
      </c>
      <c r="D296" s="133">
        <f t="shared" si="8"/>
        <v>1745.3286659670946</v>
      </c>
      <c r="E296" s="115">
        <f t="shared" si="9"/>
        <v>0.22136658077009719</v>
      </c>
      <c r="F296" s="115">
        <f t="shared" si="10"/>
        <v>0.22136658077009719</v>
      </c>
      <c r="G296" s="115">
        <v>9.8050275162118276E-3</v>
      </c>
      <c r="H296" s="115">
        <f t="shared" si="7"/>
        <v>1.6334665375633249E-4</v>
      </c>
    </row>
    <row r="297" spans="1:8" outlineLevel="1" x14ac:dyDescent="0.2">
      <c r="A297" s="124">
        <v>46</v>
      </c>
      <c r="B297" s="133">
        <v>1157.5277000000001</v>
      </c>
      <c r="C297" s="133">
        <v>1853.4503338967768</v>
      </c>
      <c r="D297" s="123">
        <f t="shared" si="8"/>
        <v>-695.92263389677669</v>
      </c>
      <c r="E297" s="115">
        <f t="shared" si="9"/>
        <v>-8.8266477798831983E-2</v>
      </c>
      <c r="F297" s="115">
        <f t="shared" si="10"/>
        <v>8.8266477798831983E-2</v>
      </c>
      <c r="G297" s="115">
        <v>7.9441999829844342E-3</v>
      </c>
      <c r="H297" s="115">
        <f t="shared" si="7"/>
        <v>2.0962752464322903E-5</v>
      </c>
    </row>
    <row r="298" spans="1:8" outlineLevel="1" x14ac:dyDescent="0.2">
      <c r="A298" s="124">
        <v>47</v>
      </c>
      <c r="B298" s="133">
        <v>9553.6566000000003</v>
      </c>
      <c r="C298" s="133">
        <v>10440.802089155117</v>
      </c>
      <c r="D298" s="123">
        <f t="shared" si="8"/>
        <v>-887.14548915511659</v>
      </c>
      <c r="E298" s="115">
        <f t="shared" si="9"/>
        <v>-0.11251998973561007</v>
      </c>
      <c r="F298" s="115">
        <f t="shared" si="10"/>
        <v>0.11251998973561007</v>
      </c>
      <c r="G298" s="115">
        <v>9.2410375536435933E-3</v>
      </c>
      <c r="H298" s="115">
        <f t="shared" si="7"/>
        <v>3.9730390058537892E-5</v>
      </c>
    </row>
    <row r="299" spans="1:8" outlineLevel="1" x14ac:dyDescent="0.2">
      <c r="A299" s="124">
        <v>48</v>
      </c>
      <c r="B299" s="133">
        <v>25857.610499999999</v>
      </c>
      <c r="C299" s="133">
        <v>37453.284584003872</v>
      </c>
      <c r="D299" s="133">
        <f t="shared" si="8"/>
        <v>-11595.674084003873</v>
      </c>
      <c r="E299" s="115">
        <f t="shared" si="9"/>
        <v>-1.4707228350472534</v>
      </c>
      <c r="F299" s="115">
        <f t="shared" si="10"/>
        <v>1.4707228350472534</v>
      </c>
      <c r="G299" s="115">
        <v>2.8208845341455797E-2</v>
      </c>
      <c r="H299" s="115">
        <f t="shared" si="7"/>
        <v>2.1536733922203077E-2</v>
      </c>
    </row>
    <row r="300" spans="1:8" outlineLevel="1" x14ac:dyDescent="0.2">
      <c r="A300" s="124">
        <v>49</v>
      </c>
      <c r="B300" s="133">
        <v>2277.1129999999998</v>
      </c>
      <c r="C300" s="133">
        <v>2184.9611830418489</v>
      </c>
      <c r="D300" s="123">
        <f t="shared" si="8"/>
        <v>92.151816958150903</v>
      </c>
      <c r="E300" s="115">
        <f t="shared" si="9"/>
        <v>1.168796057129696E-2</v>
      </c>
      <c r="F300" s="115">
        <f t="shared" si="10"/>
        <v>1.168796057129696E-2</v>
      </c>
      <c r="G300" s="115">
        <v>9.7220625804699083E-3</v>
      </c>
      <c r="H300" s="115">
        <f t="shared" si="7"/>
        <v>4.514404045169844E-7</v>
      </c>
    </row>
    <row r="301" spans="1:8" outlineLevel="1" x14ac:dyDescent="0.2">
      <c r="A301" s="124">
        <v>50</v>
      </c>
      <c r="B301" s="123">
        <v>198.11580000000001</v>
      </c>
      <c r="C301" s="123">
        <v>-488.70149499584682</v>
      </c>
      <c r="D301" s="123">
        <f t="shared" si="8"/>
        <v>686.81729499584685</v>
      </c>
      <c r="E301" s="115">
        <f t="shared" si="9"/>
        <v>8.711161351535622E-2</v>
      </c>
      <c r="F301" s="115">
        <f t="shared" si="10"/>
        <v>8.711161351535622E-2</v>
      </c>
      <c r="G301" s="115">
        <v>9.9218821031914449E-3</v>
      </c>
      <c r="H301" s="115">
        <f t="shared" si="7"/>
        <v>2.5602713669467987E-5</v>
      </c>
    </row>
    <row r="302" spans="1:8" outlineLevel="1" x14ac:dyDescent="0.2">
      <c r="A302" s="124">
        <v>51</v>
      </c>
      <c r="B302" s="133">
        <v>2538.9832999999999</v>
      </c>
      <c r="C302" s="133">
        <v>3414.4080820998079</v>
      </c>
      <c r="D302" s="123">
        <f t="shared" si="8"/>
        <v>-875.424782099808</v>
      </c>
      <c r="E302" s="115">
        <f t="shared" si="9"/>
        <v>-0.11103340849986101</v>
      </c>
      <c r="F302" s="115">
        <f t="shared" si="10"/>
        <v>0.11103340849986101</v>
      </c>
      <c r="G302" s="115">
        <v>8.6830159506317284E-3</v>
      </c>
      <c r="H302" s="115">
        <f t="shared" si="7"/>
        <v>3.6310446905103259E-5</v>
      </c>
    </row>
    <row r="303" spans="1:8" outlineLevel="1" x14ac:dyDescent="0.2">
      <c r="A303" s="124">
        <v>52</v>
      </c>
      <c r="B303" s="133">
        <v>1455.3159000000001</v>
      </c>
      <c r="C303" s="123">
        <v>432.66454495892071</v>
      </c>
      <c r="D303" s="133">
        <f t="shared" si="8"/>
        <v>1022.6513550410793</v>
      </c>
      <c r="E303" s="115">
        <f t="shared" si="9"/>
        <v>0.12970670693700651</v>
      </c>
      <c r="F303" s="115">
        <f t="shared" si="10"/>
        <v>0.12970670693700651</v>
      </c>
      <c r="G303" s="115">
        <v>8.9538470490179191E-3</v>
      </c>
      <c r="H303" s="115">
        <f t="shared" si="7"/>
        <v>5.1124082077077042E-5</v>
      </c>
    </row>
    <row r="304" spans="1:8" outlineLevel="1" x14ac:dyDescent="0.2">
      <c r="A304" s="124">
        <v>53</v>
      </c>
      <c r="B304" s="123">
        <v>498.00700000000001</v>
      </c>
      <c r="C304" s="123">
        <v>-821.29751507946708</v>
      </c>
      <c r="D304" s="133">
        <f t="shared" si="8"/>
        <v>1319.3045150794671</v>
      </c>
      <c r="E304" s="115">
        <f t="shared" si="9"/>
        <v>0.1673323398581015</v>
      </c>
      <c r="F304" s="115">
        <f t="shared" si="10"/>
        <v>0.1673323398581015</v>
      </c>
      <c r="G304" s="115">
        <v>1.0294566077430508E-2</v>
      </c>
      <c r="H304" s="115">
        <f t="shared" si="7"/>
        <v>9.8092239375711495E-5</v>
      </c>
    </row>
    <row r="305" spans="1:8" outlineLevel="1" x14ac:dyDescent="0.2">
      <c r="A305" s="124">
        <v>54</v>
      </c>
      <c r="B305" s="133">
        <v>3196.73</v>
      </c>
      <c r="C305" s="133">
        <v>9167.0719248513815</v>
      </c>
      <c r="D305" s="133">
        <f t="shared" si="8"/>
        <v>-5970.3419248513819</v>
      </c>
      <c r="E305" s="115">
        <f t="shared" si="9"/>
        <v>-0.75724085881577352</v>
      </c>
      <c r="F305" s="115">
        <f t="shared" si="10"/>
        <v>0.75724085881577352</v>
      </c>
      <c r="G305" s="115">
        <v>1.0819074540735982E-2</v>
      </c>
      <c r="H305" s="115">
        <f t="shared" si="7"/>
        <v>2.1134183338585083E-3</v>
      </c>
    </row>
    <row r="306" spans="1:8" outlineLevel="1" x14ac:dyDescent="0.2">
      <c r="A306" s="124">
        <v>55</v>
      </c>
      <c r="B306" s="133">
        <v>2066.1927000000001</v>
      </c>
      <c r="C306" s="133">
        <v>1404.3512655215534</v>
      </c>
      <c r="D306" s="123">
        <f t="shared" si="8"/>
        <v>661.84143447844667</v>
      </c>
      <c r="E306" s="115">
        <f t="shared" si="9"/>
        <v>8.3943831450959655E-2</v>
      </c>
      <c r="F306" s="115">
        <f t="shared" si="10"/>
        <v>8.3943831450959655E-2</v>
      </c>
      <c r="G306" s="115">
        <v>8.9249721927572752E-3</v>
      </c>
      <c r="H306" s="115">
        <f t="shared" si="7"/>
        <v>2.1342737651436112E-5</v>
      </c>
    </row>
    <row r="307" spans="1:8" outlineLevel="1" x14ac:dyDescent="0.2">
      <c r="A307" s="124">
        <v>56</v>
      </c>
      <c r="B307" s="123">
        <v>949.03020000000004</v>
      </c>
      <c r="C307" s="133">
        <v>2370.5542013729546</v>
      </c>
      <c r="D307" s="133">
        <f t="shared" si="8"/>
        <v>-1421.5240013729544</v>
      </c>
      <c r="E307" s="115">
        <f t="shared" si="9"/>
        <v>-0.18029722069120627</v>
      </c>
      <c r="F307" s="115">
        <f t="shared" si="10"/>
        <v>0.18029722069120627</v>
      </c>
      <c r="G307" s="115">
        <v>7.7917194242022609E-3</v>
      </c>
      <c r="H307" s="115">
        <f t="shared" si="7"/>
        <v>8.5759930520936607E-5</v>
      </c>
    </row>
    <row r="308" spans="1:8" outlineLevel="1" x14ac:dyDescent="0.2">
      <c r="A308" s="124">
        <v>57</v>
      </c>
      <c r="B308" s="133">
        <v>12362.801600000001</v>
      </c>
      <c r="C308" s="133">
        <v>13326.4286912842</v>
      </c>
      <c r="D308" s="123">
        <f t="shared" si="8"/>
        <v>-963.6270912841992</v>
      </c>
      <c r="E308" s="115">
        <f t="shared" si="9"/>
        <v>-0.12222043818710718</v>
      </c>
      <c r="F308" s="115">
        <f t="shared" si="10"/>
        <v>0.12222043818710718</v>
      </c>
      <c r="G308" s="115">
        <v>1.0284171605222457E-2</v>
      </c>
      <c r="H308" s="115">
        <f t="shared" si="7"/>
        <v>5.2277486805679495E-5</v>
      </c>
    </row>
    <row r="309" spans="1:8" outlineLevel="1" x14ac:dyDescent="0.2">
      <c r="A309" s="124">
        <v>58</v>
      </c>
      <c r="B309" s="123">
        <v>751.91750000000002</v>
      </c>
      <c r="C309" s="133">
        <v>3438.6201387479505</v>
      </c>
      <c r="D309" s="133">
        <f t="shared" si="8"/>
        <v>-2686.7026387479505</v>
      </c>
      <c r="E309" s="115">
        <f t="shared" si="9"/>
        <v>-0.34076457247442266</v>
      </c>
      <c r="F309" s="115">
        <f t="shared" si="10"/>
        <v>0.34076457247442266</v>
      </c>
      <c r="G309" s="115">
        <v>8.1664020840581022E-3</v>
      </c>
      <c r="H309" s="115">
        <f t="shared" si="7"/>
        <v>3.2132221140545588E-4</v>
      </c>
    </row>
    <row r="310" spans="1:8" outlineLevel="1" x14ac:dyDescent="0.2">
      <c r="A310" s="124">
        <v>59</v>
      </c>
      <c r="B310" s="123">
        <v>194.5496</v>
      </c>
      <c r="C310" s="123">
        <v>-347.79880325896193</v>
      </c>
      <c r="D310" s="123">
        <f t="shared" si="8"/>
        <v>542.34840325896198</v>
      </c>
      <c r="E310" s="115">
        <f t="shared" si="9"/>
        <v>6.8788082128378766E-2</v>
      </c>
      <c r="F310" s="115">
        <f t="shared" si="10"/>
        <v>6.8788082128378766E-2</v>
      </c>
      <c r="G310" s="115">
        <v>9.4911424417314007E-3</v>
      </c>
      <c r="H310" s="115">
        <f t="shared" si="7"/>
        <v>1.5258326778847217E-5</v>
      </c>
    </row>
    <row r="311" spans="1:8" outlineLevel="1" x14ac:dyDescent="0.2">
      <c r="A311" s="124">
        <v>60</v>
      </c>
      <c r="B311" s="133">
        <v>6390.3563999999997</v>
      </c>
      <c r="C311" s="133">
        <v>6684.4132984781991</v>
      </c>
      <c r="D311" s="123">
        <f t="shared" si="8"/>
        <v>-294.0568984781994</v>
      </c>
      <c r="E311" s="115">
        <f t="shared" si="9"/>
        <v>-3.7296339329824457E-2</v>
      </c>
      <c r="F311" s="115">
        <f t="shared" si="10"/>
        <v>3.7296339329824457E-2</v>
      </c>
      <c r="G311" s="115">
        <v>8.3720364542842172E-3</v>
      </c>
      <c r="H311" s="115">
        <f t="shared" si="7"/>
        <v>3.9477054440989082E-6</v>
      </c>
    </row>
    <row r="312" spans="1:8" outlineLevel="1" x14ac:dyDescent="0.2">
      <c r="A312" s="124">
        <v>61</v>
      </c>
      <c r="B312" s="133">
        <v>1375.7365</v>
      </c>
      <c r="C312" s="133">
        <v>3908.9596289498195</v>
      </c>
      <c r="D312" s="133">
        <f t="shared" si="8"/>
        <v>-2533.2231289498195</v>
      </c>
      <c r="E312" s="115">
        <f t="shared" si="9"/>
        <v>-0.32129819060332848</v>
      </c>
      <c r="F312" s="115">
        <f t="shared" si="10"/>
        <v>0.32129819060332848</v>
      </c>
      <c r="G312" s="115">
        <v>8.0499392355909399E-3</v>
      </c>
      <c r="H312" s="115">
        <f t="shared" si="7"/>
        <v>2.8151937544148008E-4</v>
      </c>
    </row>
    <row r="313" spans="1:8" outlineLevel="1" x14ac:dyDescent="0.2">
      <c r="A313" s="124">
        <v>62</v>
      </c>
      <c r="B313" s="133">
        <v>4738.1673000000001</v>
      </c>
      <c r="C313" s="133">
        <v>3403.7020059874885</v>
      </c>
      <c r="D313" s="133">
        <f t="shared" si="8"/>
        <v>1334.4652940125115</v>
      </c>
      <c r="E313" s="115">
        <f t="shared" si="9"/>
        <v>0.16925523831250794</v>
      </c>
      <c r="F313" s="115">
        <f t="shared" si="10"/>
        <v>0.16925523831250794</v>
      </c>
      <c r="G313" s="115">
        <v>7.5976307565786246E-3</v>
      </c>
      <c r="H313" s="115">
        <f t="shared" si="7"/>
        <v>7.3665744227066876E-5</v>
      </c>
    </row>
    <row r="314" spans="1:8" outlineLevel="1" x14ac:dyDescent="0.2">
      <c r="A314" s="124">
        <v>63</v>
      </c>
      <c r="B314" s="133">
        <v>1544.9141</v>
      </c>
      <c r="C314" s="133">
        <v>2124.8720851809021</v>
      </c>
      <c r="D314" s="123">
        <f t="shared" si="8"/>
        <v>-579.95798518090214</v>
      </c>
      <c r="E314" s="115">
        <f t="shared" si="9"/>
        <v>-7.3558246462807758E-2</v>
      </c>
      <c r="F314" s="115">
        <f t="shared" si="10"/>
        <v>7.3558246462807758E-2</v>
      </c>
      <c r="G314" s="115">
        <v>8.0360377038919996E-3</v>
      </c>
      <c r="H314" s="115">
        <f t="shared" si="7"/>
        <v>1.4729623868228735E-5</v>
      </c>
    </row>
    <row r="315" spans="1:8" outlineLevel="1" x14ac:dyDescent="0.2">
      <c r="A315" s="124">
        <v>64</v>
      </c>
      <c r="B315" s="133">
        <v>2404.9515999999999</v>
      </c>
      <c r="C315" s="133">
        <v>2935.355882647943</v>
      </c>
      <c r="D315" s="123">
        <f t="shared" si="8"/>
        <v>-530.40428264794309</v>
      </c>
      <c r="E315" s="115">
        <f t="shared" si="9"/>
        <v>-6.7273164513419512E-2</v>
      </c>
      <c r="F315" s="115">
        <f t="shared" si="10"/>
        <v>6.7273164513419512E-2</v>
      </c>
      <c r="G315" s="115">
        <v>8.5595134966947057E-3</v>
      </c>
      <c r="H315" s="115">
        <f t="shared" si="7"/>
        <v>1.3136456779879711E-5</v>
      </c>
    </row>
    <row r="316" spans="1:8" outlineLevel="1" x14ac:dyDescent="0.2">
      <c r="A316" s="124">
        <v>65</v>
      </c>
      <c r="B316" s="133">
        <v>1011.2338999999999</v>
      </c>
      <c r="C316" s="133">
        <v>1252.0250739281148</v>
      </c>
      <c r="D316" s="123">
        <f t="shared" ref="D316:D347" si="11">B316 - C316</f>
        <v>-240.79117392811486</v>
      </c>
      <c r="E316" s="115">
        <f t="shared" ref="E316:E347" si="12">D316 /7884.33674087294</f>
        <v>-3.0540447705618277E-2</v>
      </c>
      <c r="F316" s="115">
        <f t="shared" ref="F316:F347" si="13">ABS(E316)</f>
        <v>3.0540447705618277E-2</v>
      </c>
      <c r="G316" s="115">
        <v>8.3834170952487731E-3</v>
      </c>
      <c r="H316" s="115">
        <f t="shared" si="7"/>
        <v>2.650715123395161E-6</v>
      </c>
    </row>
    <row r="317" spans="1:8" outlineLevel="1" x14ac:dyDescent="0.2">
      <c r="A317" s="124">
        <v>66</v>
      </c>
      <c r="B317" s="133">
        <v>52287.719499999999</v>
      </c>
      <c r="C317" s="133">
        <v>35106.646792252119</v>
      </c>
      <c r="D317" s="133">
        <f t="shared" si="11"/>
        <v>17181.07270774788</v>
      </c>
      <c r="E317" s="115">
        <f t="shared" si="12"/>
        <v>2.1791398912073383</v>
      </c>
      <c r="F317" s="115">
        <f t="shared" si="13"/>
        <v>2.1791398912073383</v>
      </c>
      <c r="G317" s="115">
        <v>3.5873138853254889E-2</v>
      </c>
      <c r="H317" s="115">
        <f t="shared" ref="H317:H380" si="14">(F317^2/3)*(G317/(1-G317)^2)</f>
        <v>6.1087166385842474E-2</v>
      </c>
    </row>
    <row r="318" spans="1:8" outlineLevel="1" x14ac:dyDescent="0.2">
      <c r="A318" s="124">
        <v>67</v>
      </c>
      <c r="B318" s="133">
        <v>4272.2191999999995</v>
      </c>
      <c r="C318" s="133">
        <v>5186.5941247975134</v>
      </c>
      <c r="D318" s="123">
        <f t="shared" si="11"/>
        <v>-914.37492479751381</v>
      </c>
      <c r="E318" s="115">
        <f t="shared" si="12"/>
        <v>-0.1159736011854151</v>
      </c>
      <c r="F318" s="115">
        <f t="shared" si="13"/>
        <v>0.1159736011854151</v>
      </c>
      <c r="G318" s="115">
        <v>9.1033891310092051E-3</v>
      </c>
      <c r="H318" s="115">
        <f t="shared" si="14"/>
        <v>4.1566499539635963E-5</v>
      </c>
    </row>
    <row r="319" spans="1:8" outlineLevel="1" x14ac:dyDescent="0.2">
      <c r="A319" s="124">
        <v>68</v>
      </c>
      <c r="B319" s="133">
        <v>1563.4879000000001</v>
      </c>
      <c r="C319" s="123">
        <v>-14.82887567116336</v>
      </c>
      <c r="D319" s="133">
        <f t="shared" si="11"/>
        <v>1578.3167756711634</v>
      </c>
      <c r="E319" s="115">
        <f t="shared" si="12"/>
        <v>0.20018383632564316</v>
      </c>
      <c r="F319" s="115">
        <f t="shared" si="13"/>
        <v>0.20018383632564316</v>
      </c>
      <c r="G319" s="115">
        <v>9.8652056138668637E-3</v>
      </c>
      <c r="H319" s="115">
        <f t="shared" si="14"/>
        <v>1.3441701834972157E-4</v>
      </c>
    </row>
    <row r="320" spans="1:8" outlineLevel="1" x14ac:dyDescent="0.2">
      <c r="A320" s="124">
        <v>69</v>
      </c>
      <c r="B320" s="133">
        <v>1214.4014</v>
      </c>
      <c r="C320" s="133">
        <v>1136.8120494463744</v>
      </c>
      <c r="D320" s="123">
        <f t="shared" si="11"/>
        <v>77.589350553625536</v>
      </c>
      <c r="E320" s="115">
        <f t="shared" si="12"/>
        <v>9.8409483389258409E-3</v>
      </c>
      <c r="F320" s="115">
        <f t="shared" si="13"/>
        <v>9.8409483389258409E-3</v>
      </c>
      <c r="G320" s="115">
        <v>8.701581898286341E-3</v>
      </c>
      <c r="H320" s="115">
        <f t="shared" si="14"/>
        <v>2.8585252642497749E-7</v>
      </c>
    </row>
    <row r="321" spans="1:8" outlineLevel="1" x14ac:dyDescent="0.2">
      <c r="A321" s="124">
        <v>70</v>
      </c>
      <c r="B321" s="133">
        <v>4064.2968000000001</v>
      </c>
      <c r="C321" s="133">
        <v>5864.3156963632919</v>
      </c>
      <c r="D321" s="133">
        <f t="shared" si="11"/>
        <v>-1800.0188963632918</v>
      </c>
      <c r="E321" s="115">
        <f t="shared" si="12"/>
        <v>-0.22830314781354669</v>
      </c>
      <c r="F321" s="115">
        <f t="shared" si="13"/>
        <v>0.22830314781354669</v>
      </c>
      <c r="G321" s="115">
        <v>8.6251546217516271E-3</v>
      </c>
      <c r="H321" s="115">
        <f t="shared" si="14"/>
        <v>1.5247324504898406E-4</v>
      </c>
    </row>
    <row r="322" spans="1:8" outlineLevel="1" x14ac:dyDescent="0.2">
      <c r="A322" s="124">
        <v>71</v>
      </c>
      <c r="B322" s="123">
        <v>374.9058</v>
      </c>
      <c r="C322" s="133">
        <v>2365.7005766572865</v>
      </c>
      <c r="D322" s="133">
        <f t="shared" si="11"/>
        <v>-1990.7947766572865</v>
      </c>
      <c r="E322" s="115">
        <f t="shared" si="12"/>
        <v>-0.25249996823916343</v>
      </c>
      <c r="F322" s="115">
        <f t="shared" si="13"/>
        <v>0.25249996823916343</v>
      </c>
      <c r="G322" s="115">
        <v>9.6602799714147793E-3</v>
      </c>
      <c r="H322" s="115">
        <f t="shared" si="14"/>
        <v>2.09325780117348E-4</v>
      </c>
    </row>
    <row r="323" spans="1:8" outlineLevel="1" x14ac:dyDescent="0.2">
      <c r="A323" s="124">
        <v>72</v>
      </c>
      <c r="B323" s="133">
        <v>2833.0971</v>
      </c>
      <c r="C323" s="133">
        <v>3929.9352288992395</v>
      </c>
      <c r="D323" s="133">
        <f t="shared" si="11"/>
        <v>-1096.8381288992396</v>
      </c>
      <c r="E323" s="115">
        <f t="shared" si="12"/>
        <v>-0.13911609371187253</v>
      </c>
      <c r="F323" s="115">
        <f t="shared" si="13"/>
        <v>0.13911609371187253</v>
      </c>
      <c r="G323" s="115">
        <v>9.1310527176472513E-3</v>
      </c>
      <c r="H323" s="115">
        <f t="shared" si="14"/>
        <v>5.9995946298560498E-5</v>
      </c>
    </row>
    <row r="324" spans="1:8" outlineLevel="1" x14ac:dyDescent="0.2">
      <c r="A324" s="124">
        <v>73</v>
      </c>
      <c r="B324" s="133">
        <v>3220.2809999999999</v>
      </c>
      <c r="C324" s="133">
        <v>2036.8680917016861</v>
      </c>
      <c r="D324" s="133">
        <f t="shared" si="11"/>
        <v>1183.4129082983138</v>
      </c>
      <c r="E324" s="115">
        <f t="shared" si="12"/>
        <v>0.15009669769220035</v>
      </c>
      <c r="F324" s="115">
        <f t="shared" si="13"/>
        <v>0.15009669769220035</v>
      </c>
      <c r="G324" s="115">
        <v>7.8664062471397785E-3</v>
      </c>
      <c r="H324" s="115">
        <f t="shared" si="14"/>
        <v>6.0014622786191004E-5</v>
      </c>
    </row>
    <row r="325" spans="1:8" outlineLevel="1" x14ac:dyDescent="0.2">
      <c r="A325" s="124">
        <v>74</v>
      </c>
      <c r="B325" s="133">
        <v>4083.6496999999999</v>
      </c>
      <c r="C325" s="133">
        <v>4177.2323162211478</v>
      </c>
      <c r="D325" s="123">
        <f t="shared" si="11"/>
        <v>-93.582616221147873</v>
      </c>
      <c r="E325" s="115">
        <f t="shared" si="12"/>
        <v>-1.1869434208207926E-2</v>
      </c>
      <c r="F325" s="115">
        <f t="shared" si="13"/>
        <v>1.1869434208207926E-2</v>
      </c>
      <c r="G325" s="115">
        <v>7.7064515841266711E-3</v>
      </c>
      <c r="H325" s="115">
        <f t="shared" si="14"/>
        <v>3.6754701428087427E-7</v>
      </c>
    </row>
    <row r="326" spans="1:8" outlineLevel="1" x14ac:dyDescent="0.2">
      <c r="A326" s="124">
        <v>75</v>
      </c>
      <c r="B326" s="133">
        <v>759109.37990000006</v>
      </c>
      <c r="C326" s="133">
        <v>753862.06700139074</v>
      </c>
      <c r="D326" s="133">
        <f t="shared" si="11"/>
        <v>5247.3128986093216</v>
      </c>
      <c r="E326" s="115">
        <f t="shared" si="12"/>
        <v>0.66553637560999812</v>
      </c>
      <c r="F326" s="115">
        <f t="shared" si="13"/>
        <v>0.66553637560999812</v>
      </c>
      <c r="G326" s="115">
        <v>0.98923082330591094</v>
      </c>
      <c r="H326" s="115">
        <f t="shared" si="14"/>
        <v>1259.3747295922735</v>
      </c>
    </row>
    <row r="327" spans="1:8" outlineLevel="1" x14ac:dyDescent="0.2">
      <c r="A327" s="124">
        <v>76</v>
      </c>
      <c r="B327" s="123">
        <v>719.44939999999997</v>
      </c>
      <c r="C327" s="133">
        <v>3250.386106976589</v>
      </c>
      <c r="D327" s="133">
        <f t="shared" si="11"/>
        <v>-2530.936706976589</v>
      </c>
      <c r="E327" s="115">
        <f t="shared" si="12"/>
        <v>-0.3210081951289625</v>
      </c>
      <c r="F327" s="115">
        <f t="shared" si="13"/>
        <v>0.3210081951289625</v>
      </c>
      <c r="G327" s="115">
        <v>7.7466146876625681E-3</v>
      </c>
      <c r="H327" s="115">
        <f t="shared" si="14"/>
        <v>2.7025750386940663E-4</v>
      </c>
    </row>
    <row r="328" spans="1:8" outlineLevel="1" x14ac:dyDescent="0.2">
      <c r="A328" s="124">
        <v>77</v>
      </c>
      <c r="B328" s="133">
        <v>1905.4384</v>
      </c>
      <c r="C328" s="133">
        <v>1591.6932710892936</v>
      </c>
      <c r="D328" s="123">
        <f t="shared" si="11"/>
        <v>313.7451289107064</v>
      </c>
      <c r="E328" s="115">
        <f t="shared" si="12"/>
        <v>3.9793471438660175E-2</v>
      </c>
      <c r="F328" s="115">
        <f t="shared" si="13"/>
        <v>3.9793471438660175E-2</v>
      </c>
      <c r="G328" s="115">
        <v>8.5274002003112876E-3</v>
      </c>
      <c r="H328" s="115">
        <f t="shared" si="14"/>
        <v>4.5788625995864889E-6</v>
      </c>
    </row>
    <row r="329" spans="1:8" outlineLevel="1" x14ac:dyDescent="0.2">
      <c r="A329" s="124">
        <v>78</v>
      </c>
      <c r="B329" s="133">
        <v>1454.999</v>
      </c>
      <c r="C329" s="133">
        <v>1224.8265460887553</v>
      </c>
      <c r="D329" s="123">
        <f t="shared" si="11"/>
        <v>230.1724539112447</v>
      </c>
      <c r="E329" s="115">
        <f t="shared" si="12"/>
        <v>2.9193635619089553E-2</v>
      </c>
      <c r="F329" s="115">
        <f t="shared" si="13"/>
        <v>2.9193635619089553E-2</v>
      </c>
      <c r="G329" s="115">
        <v>8.5813989673376306E-3</v>
      </c>
      <c r="H329" s="115">
        <f t="shared" si="14"/>
        <v>2.4802706797083277E-6</v>
      </c>
    </row>
    <row r="330" spans="1:8" outlineLevel="1" x14ac:dyDescent="0.2">
      <c r="A330" s="124">
        <v>79</v>
      </c>
      <c r="B330" s="123">
        <v>305.15159999999997</v>
      </c>
      <c r="C330" s="123">
        <v>-742.81097278936113</v>
      </c>
      <c r="D330" s="133">
        <f t="shared" si="11"/>
        <v>1047.962572789361</v>
      </c>
      <c r="E330" s="115">
        <f t="shared" si="12"/>
        <v>0.13291702361679347</v>
      </c>
      <c r="F330" s="115">
        <f t="shared" si="13"/>
        <v>0.13291702361679347</v>
      </c>
      <c r="G330" s="115">
        <v>1.0025136183202743E-2</v>
      </c>
      <c r="H330" s="115">
        <f t="shared" si="14"/>
        <v>6.0239575955788295E-5</v>
      </c>
    </row>
    <row r="331" spans="1:8" outlineLevel="1" x14ac:dyDescent="0.2">
      <c r="A331" s="124">
        <v>80</v>
      </c>
      <c r="B331" s="123">
        <v>343.18979999999999</v>
      </c>
      <c r="C331" s="133">
        <v>1056.8061407350367</v>
      </c>
      <c r="D331" s="123">
        <f t="shared" si="11"/>
        <v>-713.61634073503672</v>
      </c>
      <c r="E331" s="115">
        <f t="shared" si="12"/>
        <v>-9.0510636999508259E-2</v>
      </c>
      <c r="F331" s="115">
        <f t="shared" si="13"/>
        <v>9.0510636999508259E-2</v>
      </c>
      <c r="G331" s="115">
        <v>8.2435733006070225E-3</v>
      </c>
      <c r="H331" s="115">
        <f t="shared" si="14"/>
        <v>2.2886714138289002E-5</v>
      </c>
    </row>
    <row r="332" spans="1:8" outlineLevel="1" x14ac:dyDescent="0.2">
      <c r="A332" s="124">
        <v>81</v>
      </c>
      <c r="B332" s="123">
        <v>471.51530000000002</v>
      </c>
      <c r="C332" s="123">
        <v>825.76418171540354</v>
      </c>
      <c r="D332" s="123">
        <f t="shared" si="11"/>
        <v>-354.24888171540351</v>
      </c>
      <c r="E332" s="115">
        <f t="shared" si="12"/>
        <v>-4.4930714321085898E-2</v>
      </c>
      <c r="F332" s="115">
        <f t="shared" si="13"/>
        <v>4.4930714321085898E-2</v>
      </c>
      <c r="G332" s="115">
        <v>8.9909660278690764E-3</v>
      </c>
      <c r="H332" s="115">
        <f t="shared" si="14"/>
        <v>6.1605079355615958E-6</v>
      </c>
    </row>
    <row r="333" spans="1:8" outlineLevel="1" x14ac:dyDescent="0.2">
      <c r="A333" s="124">
        <v>82</v>
      </c>
      <c r="B333" s="123">
        <v>759.31349999999998</v>
      </c>
      <c r="C333" s="123">
        <v>738.15022716097496</v>
      </c>
      <c r="D333" s="123">
        <f t="shared" si="11"/>
        <v>21.163272839025012</v>
      </c>
      <c r="E333" s="115">
        <f t="shared" si="12"/>
        <v>2.6842172695787027E-3</v>
      </c>
      <c r="F333" s="115">
        <f t="shared" si="13"/>
        <v>2.6842172695787027E-3</v>
      </c>
      <c r="G333" s="115">
        <v>9.0636714602268364E-3</v>
      </c>
      <c r="H333" s="115">
        <f t="shared" si="14"/>
        <v>2.2168011184289508E-8</v>
      </c>
    </row>
    <row r="334" spans="1:8" outlineLevel="1" x14ac:dyDescent="0.2">
      <c r="A334" s="124">
        <v>83</v>
      </c>
      <c r="B334" s="133">
        <v>4436.8191999999999</v>
      </c>
      <c r="C334" s="133">
        <v>2479.788891053704</v>
      </c>
      <c r="D334" s="133">
        <f t="shared" si="11"/>
        <v>1957.0303089462959</v>
      </c>
      <c r="E334" s="115">
        <f t="shared" si="12"/>
        <v>0.24821749416167338</v>
      </c>
      <c r="F334" s="115">
        <f t="shared" si="13"/>
        <v>0.24821749416167338</v>
      </c>
      <c r="G334" s="115">
        <v>7.7911007189532897E-3</v>
      </c>
      <c r="H334" s="115">
        <f t="shared" si="14"/>
        <v>1.6253096051764421E-4</v>
      </c>
    </row>
    <row r="335" spans="1:8" outlineLevel="1" x14ac:dyDescent="0.2">
      <c r="A335" s="124">
        <v>84</v>
      </c>
      <c r="B335" s="133">
        <v>6727.3046000000004</v>
      </c>
      <c r="C335" s="133">
        <v>19611.651653157533</v>
      </c>
      <c r="D335" s="133">
        <f t="shared" si="11"/>
        <v>-12884.347053157533</v>
      </c>
      <c r="E335" s="115">
        <f t="shared" si="12"/>
        <v>-1.6341700610482806</v>
      </c>
      <c r="F335" s="115">
        <f t="shared" si="13"/>
        <v>1.6341700610482806</v>
      </c>
      <c r="G335" s="115">
        <v>1.3924180538487116E-2</v>
      </c>
      <c r="H335" s="115">
        <f t="shared" si="14"/>
        <v>1.2747419321400819E-2</v>
      </c>
    </row>
    <row r="336" spans="1:8" outlineLevel="1" x14ac:dyDescent="0.2">
      <c r="A336" s="124">
        <v>85</v>
      </c>
      <c r="B336" s="133">
        <v>6236.2366000000002</v>
      </c>
      <c r="C336" s="133">
        <v>14150.80212023666</v>
      </c>
      <c r="D336" s="133">
        <f t="shared" si="11"/>
        <v>-7914.5655202366597</v>
      </c>
      <c r="E336" s="115">
        <f t="shared" si="12"/>
        <v>-1.0038340294633805</v>
      </c>
      <c r="F336" s="115">
        <f t="shared" si="13"/>
        <v>1.0038340294633805</v>
      </c>
      <c r="G336" s="115">
        <v>2.0048411563705168E-2</v>
      </c>
      <c r="H336" s="115">
        <f t="shared" si="14"/>
        <v>7.0125068732142613E-3</v>
      </c>
    </row>
    <row r="337" spans="1:8" outlineLevel="1" x14ac:dyDescent="0.2">
      <c r="A337" s="124">
        <v>86</v>
      </c>
      <c r="B337" s="133">
        <v>5590.6315999999997</v>
      </c>
      <c r="C337" s="133">
        <v>3588.62425641147</v>
      </c>
      <c r="D337" s="133">
        <f t="shared" si="11"/>
        <v>2002.0073435885297</v>
      </c>
      <c r="E337" s="115">
        <f t="shared" si="12"/>
        <v>0.25392210015713645</v>
      </c>
      <c r="F337" s="115">
        <f t="shared" si="13"/>
        <v>0.25392210015713645</v>
      </c>
      <c r="G337" s="115">
        <v>7.8297335412781961E-3</v>
      </c>
      <c r="H337" s="115">
        <f t="shared" si="14"/>
        <v>1.7094417827189323E-4</v>
      </c>
    </row>
    <row r="338" spans="1:8" outlineLevel="1" x14ac:dyDescent="0.2">
      <c r="A338" s="124">
        <v>87</v>
      </c>
      <c r="B338" s="123">
        <v>599.29819999999995</v>
      </c>
      <c r="C338" s="123">
        <v>765.9642328665409</v>
      </c>
      <c r="D338" s="123">
        <f t="shared" si="11"/>
        <v>-166.66603286654095</v>
      </c>
      <c r="E338" s="115">
        <f t="shared" si="12"/>
        <v>-2.1138878049504515E-2</v>
      </c>
      <c r="F338" s="115">
        <f t="shared" si="13"/>
        <v>2.1138878049504515E-2</v>
      </c>
      <c r="G338" s="115">
        <v>9.0867269289034956E-3</v>
      </c>
      <c r="H338" s="115">
        <f t="shared" si="14"/>
        <v>1.378411213318692E-6</v>
      </c>
    </row>
    <row r="339" spans="1:8" outlineLevel="1" x14ac:dyDescent="0.2">
      <c r="A339" s="124">
        <v>88</v>
      </c>
      <c r="B339" s="133">
        <v>11155.011</v>
      </c>
      <c r="C339" s="133">
        <v>19598.905217178984</v>
      </c>
      <c r="D339" s="133">
        <f t="shared" si="11"/>
        <v>-8443.894217178984</v>
      </c>
      <c r="E339" s="115">
        <f t="shared" si="12"/>
        <v>-1.0709707734076426</v>
      </c>
      <c r="F339" s="115">
        <f t="shared" si="13"/>
        <v>1.0709707734076426</v>
      </c>
      <c r="G339" s="115">
        <v>7.9514776189754909E-3</v>
      </c>
      <c r="H339" s="115">
        <f t="shared" si="14"/>
        <v>3.0889863938147115E-3</v>
      </c>
    </row>
    <row r="340" spans="1:8" outlineLevel="1" x14ac:dyDescent="0.2">
      <c r="A340" s="124">
        <v>89</v>
      </c>
      <c r="B340" s="123">
        <v>124.41030000000001</v>
      </c>
      <c r="C340" s="123">
        <v>642.99798166708001</v>
      </c>
      <c r="D340" s="123">
        <f t="shared" si="11"/>
        <v>-518.58768166708001</v>
      </c>
      <c r="E340" s="115">
        <f t="shared" si="12"/>
        <v>-6.5774420691430649E-2</v>
      </c>
      <c r="F340" s="115">
        <f t="shared" si="13"/>
        <v>6.5774420691430649E-2</v>
      </c>
      <c r="G340" s="115">
        <v>9.0135059580138607E-3</v>
      </c>
      <c r="H340" s="115">
        <f t="shared" si="14"/>
        <v>1.3235827170743521E-5</v>
      </c>
    </row>
    <row r="341" spans="1:8" outlineLevel="1" x14ac:dyDescent="0.2">
      <c r="A341" s="124">
        <v>90</v>
      </c>
      <c r="B341" s="133">
        <v>178833.2904</v>
      </c>
      <c r="C341" s="133">
        <v>204626.99387843258</v>
      </c>
      <c r="D341" s="133">
        <f t="shared" si="11"/>
        <v>-25793.703478432581</v>
      </c>
      <c r="E341" s="115">
        <f t="shared" si="12"/>
        <v>-3.2715121545628891</v>
      </c>
      <c r="F341" s="115">
        <f t="shared" si="13"/>
        <v>3.2715121545628891</v>
      </c>
      <c r="G341" s="115">
        <v>0.80573468482183885</v>
      </c>
      <c r="H341" s="115">
        <f t="shared" si="14"/>
        <v>76.168840914055806</v>
      </c>
    </row>
    <row r="342" spans="1:8" outlineLevel="1" x14ac:dyDescent="0.2">
      <c r="A342" s="124">
        <v>91</v>
      </c>
      <c r="B342" s="133">
        <v>7407.2659999999996</v>
      </c>
      <c r="C342" s="133">
        <v>1903.3932562498574</v>
      </c>
      <c r="D342" s="133">
        <f t="shared" si="11"/>
        <v>5503.872743750142</v>
      </c>
      <c r="E342" s="115">
        <f t="shared" si="12"/>
        <v>0.69807682302782548</v>
      </c>
      <c r="F342" s="115">
        <f t="shared" si="13"/>
        <v>0.69807682302782548</v>
      </c>
      <c r="G342" s="115">
        <v>8.9977292166707502E-3</v>
      </c>
      <c r="H342" s="115">
        <f t="shared" si="14"/>
        <v>1.488225711596374E-3</v>
      </c>
    </row>
    <row r="343" spans="1:8" outlineLevel="1" x14ac:dyDescent="0.2">
      <c r="A343" s="124">
        <v>92</v>
      </c>
      <c r="B343" s="133">
        <v>3202.2395999999999</v>
      </c>
      <c r="C343" s="133">
        <v>2774.5278525424037</v>
      </c>
      <c r="D343" s="123">
        <f t="shared" si="11"/>
        <v>427.71174745759618</v>
      </c>
      <c r="E343" s="115">
        <f t="shared" si="12"/>
        <v>5.424828511449914E-2</v>
      </c>
      <c r="F343" s="115">
        <f t="shared" si="13"/>
        <v>5.424828511449914E-2</v>
      </c>
      <c r="G343" s="115">
        <v>8.580367495844992E-3</v>
      </c>
      <c r="H343" s="115">
        <f t="shared" si="14"/>
        <v>8.5633093387845486E-6</v>
      </c>
    </row>
    <row r="344" spans="1:8" outlineLevel="1" x14ac:dyDescent="0.2">
      <c r="A344" s="124">
        <v>93</v>
      </c>
      <c r="B344" s="133">
        <v>3887.6603</v>
      </c>
      <c r="C344" s="133">
        <v>8245.1006286296306</v>
      </c>
      <c r="D344" s="133">
        <f t="shared" si="11"/>
        <v>-4357.440328629631</v>
      </c>
      <c r="E344" s="115">
        <f t="shared" si="12"/>
        <v>-0.55267049998516204</v>
      </c>
      <c r="F344" s="115">
        <f t="shared" si="13"/>
        <v>0.55267049998516204</v>
      </c>
      <c r="G344" s="115">
        <v>8.514028795561868E-3</v>
      </c>
      <c r="H344" s="115">
        <f t="shared" si="14"/>
        <v>8.8180646840258989E-4</v>
      </c>
    </row>
    <row r="345" spans="1:8" outlineLevel="1" x14ac:dyDescent="0.2">
      <c r="A345" s="124">
        <v>94</v>
      </c>
      <c r="B345" s="133">
        <v>4485.9957999999997</v>
      </c>
      <c r="C345" s="133">
        <v>6705.9225856086614</v>
      </c>
      <c r="D345" s="133">
        <f t="shared" si="11"/>
        <v>-2219.9267856086617</v>
      </c>
      <c r="E345" s="115">
        <f t="shared" si="12"/>
        <v>-0.28156164032167852</v>
      </c>
      <c r="F345" s="115">
        <f t="shared" si="13"/>
        <v>0.28156164032167852</v>
      </c>
      <c r="G345" s="115">
        <v>9.2618311719077431E-3</v>
      </c>
      <c r="H345" s="115">
        <f t="shared" si="14"/>
        <v>2.4934736851219799E-4</v>
      </c>
    </row>
    <row r="346" spans="1:8" outlineLevel="1" x14ac:dyDescent="0.2">
      <c r="A346" s="124">
        <v>95</v>
      </c>
      <c r="B346" s="133">
        <v>1403.5246</v>
      </c>
      <c r="C346" s="133">
        <v>1085.4992429427655</v>
      </c>
      <c r="D346" s="123">
        <f t="shared" si="11"/>
        <v>318.02535705723449</v>
      </c>
      <c r="E346" s="115">
        <f t="shared" si="12"/>
        <v>4.0336348827995805E-2</v>
      </c>
      <c r="F346" s="115">
        <f t="shared" si="13"/>
        <v>4.0336348827995805E-2</v>
      </c>
      <c r="G346" s="115">
        <v>9.6842148881309004E-3</v>
      </c>
      <c r="H346" s="115">
        <f t="shared" si="14"/>
        <v>5.3553631773593107E-6</v>
      </c>
    </row>
    <row r="347" spans="1:8" outlineLevel="1" x14ac:dyDescent="0.2">
      <c r="A347" s="124">
        <v>96</v>
      </c>
      <c r="B347" s="133">
        <v>5177.2318999999998</v>
      </c>
      <c r="C347" s="133">
        <v>5619.1874535324687</v>
      </c>
      <c r="D347" s="123">
        <f t="shared" si="11"/>
        <v>-441.95555353246891</v>
      </c>
      <c r="E347" s="115">
        <f t="shared" si="12"/>
        <v>-5.6054880462086447E-2</v>
      </c>
      <c r="F347" s="115">
        <f t="shared" si="13"/>
        <v>5.6054880462086447E-2</v>
      </c>
      <c r="G347" s="115">
        <v>7.809554311219177E-3</v>
      </c>
      <c r="H347" s="115">
        <f t="shared" si="14"/>
        <v>8.3088663824972816E-6</v>
      </c>
    </row>
    <row r="348" spans="1:8" outlineLevel="1" x14ac:dyDescent="0.2">
      <c r="A348" s="124">
        <v>97</v>
      </c>
      <c r="B348" s="133">
        <v>1209.0925</v>
      </c>
      <c r="C348" s="133">
        <v>1489.8020260484384</v>
      </c>
      <c r="D348" s="123">
        <f t="shared" ref="D348:D379" si="15">B348 - C348</f>
        <v>-280.70952604843842</v>
      </c>
      <c r="E348" s="115">
        <f t="shared" ref="E348:E379" si="16">D348 /7884.33674087294</f>
        <v>-3.5603442023629084E-2</v>
      </c>
      <c r="F348" s="115">
        <f t="shared" ref="F348:F379" si="17">ABS(E348)</f>
        <v>3.5603442023629084E-2</v>
      </c>
      <c r="G348" s="115">
        <v>8.4437590885452756E-3</v>
      </c>
      <c r="H348" s="115">
        <f t="shared" si="14"/>
        <v>3.6288068002228476E-6</v>
      </c>
    </row>
    <row r="349" spans="1:8" outlineLevel="1" x14ac:dyDescent="0.2">
      <c r="A349" s="124">
        <v>98</v>
      </c>
      <c r="B349" s="133">
        <v>10635.886500000001</v>
      </c>
      <c r="C349" s="133">
        <v>9928.9551352087346</v>
      </c>
      <c r="D349" s="123">
        <f t="shared" si="15"/>
        <v>706.93136479126588</v>
      </c>
      <c r="E349" s="115">
        <f t="shared" si="16"/>
        <v>8.9662756427751927E-2</v>
      </c>
      <c r="F349" s="115">
        <f t="shared" si="17"/>
        <v>8.9662756427751927E-2</v>
      </c>
      <c r="G349" s="115">
        <v>8.1335483991511054E-3</v>
      </c>
      <c r="H349" s="115">
        <f t="shared" si="14"/>
        <v>2.2155245668498603E-5</v>
      </c>
    </row>
    <row r="350" spans="1:8" outlineLevel="1" x14ac:dyDescent="0.2">
      <c r="A350" s="124">
        <v>99</v>
      </c>
      <c r="B350" s="133">
        <v>2059.2656000000002</v>
      </c>
      <c r="C350" s="133">
        <v>1690.9248986724322</v>
      </c>
      <c r="D350" s="123">
        <f t="shared" si="15"/>
        <v>368.34070132756801</v>
      </c>
      <c r="E350" s="115">
        <f t="shared" si="16"/>
        <v>4.6718032655564373E-2</v>
      </c>
      <c r="F350" s="115">
        <f t="shared" si="17"/>
        <v>4.6718032655564373E-2</v>
      </c>
      <c r="G350" s="115">
        <v>8.8538372126302813E-3</v>
      </c>
      <c r="H350" s="115">
        <f t="shared" si="14"/>
        <v>6.5569815543860673E-6</v>
      </c>
    </row>
    <row r="351" spans="1:8" outlineLevel="1" x14ac:dyDescent="0.2">
      <c r="A351" s="124">
        <v>100</v>
      </c>
      <c r="B351" s="123">
        <v>684.58810000000005</v>
      </c>
      <c r="C351" s="133">
        <v>2931.9954182401461</v>
      </c>
      <c r="D351" s="133">
        <f t="shared" si="15"/>
        <v>-2247.4073182401462</v>
      </c>
      <c r="E351" s="115">
        <f t="shared" si="16"/>
        <v>-0.285047099344379</v>
      </c>
      <c r="F351" s="115">
        <f t="shared" si="17"/>
        <v>0.285047099344379</v>
      </c>
      <c r="G351" s="115">
        <v>8.5629748877112683E-3</v>
      </c>
      <c r="H351" s="115">
        <f t="shared" si="14"/>
        <v>2.3594262151426586E-4</v>
      </c>
    </row>
    <row r="352" spans="1:8" outlineLevel="1" x14ac:dyDescent="0.2">
      <c r="A352" s="124">
        <v>101</v>
      </c>
      <c r="B352" s="133">
        <v>2532.3746999999998</v>
      </c>
      <c r="C352" s="123">
        <v>680.120526287026</v>
      </c>
      <c r="D352" s="133">
        <f t="shared" si="15"/>
        <v>1852.2541737129739</v>
      </c>
      <c r="E352" s="115">
        <f t="shared" si="16"/>
        <v>0.23492834395450943</v>
      </c>
      <c r="F352" s="115">
        <f t="shared" si="17"/>
        <v>0.23492834395450943</v>
      </c>
      <c r="G352" s="115">
        <v>9.4864841329979216E-3</v>
      </c>
      <c r="H352" s="115">
        <f t="shared" si="14"/>
        <v>1.778828391517624E-4</v>
      </c>
    </row>
    <row r="353" spans="1:8" outlineLevel="1" x14ac:dyDescent="0.2">
      <c r="A353" s="124">
        <v>102</v>
      </c>
      <c r="B353" s="133">
        <v>1443.3649</v>
      </c>
      <c r="C353" s="133">
        <v>1725.4232495082695</v>
      </c>
      <c r="D353" s="123">
        <f t="shared" si="15"/>
        <v>-282.05834950826943</v>
      </c>
      <c r="E353" s="115">
        <f t="shared" si="16"/>
        <v>-3.5774518361964387E-2</v>
      </c>
      <c r="F353" s="115">
        <f t="shared" si="17"/>
        <v>3.5774518361964387E-2</v>
      </c>
      <c r="G353" s="115">
        <v>8.156809499053343E-3</v>
      </c>
      <c r="H353" s="115">
        <f t="shared" si="14"/>
        <v>3.5372082052584304E-6</v>
      </c>
    </row>
    <row r="354" spans="1:8" outlineLevel="1" x14ac:dyDescent="0.2">
      <c r="A354" s="124">
        <v>103</v>
      </c>
      <c r="B354" s="133">
        <v>5264.8521000000001</v>
      </c>
      <c r="C354" s="133">
        <v>6290.3755603249274</v>
      </c>
      <c r="D354" s="133">
        <f t="shared" si="15"/>
        <v>-1025.5234603249273</v>
      </c>
      <c r="E354" s="115">
        <f t="shared" si="16"/>
        <v>-0.13007098682233392</v>
      </c>
      <c r="F354" s="115">
        <f t="shared" si="17"/>
        <v>0.13007098682233392</v>
      </c>
      <c r="G354" s="115">
        <v>8.1772997127675124E-3</v>
      </c>
      <c r="H354" s="115">
        <f t="shared" si="14"/>
        <v>4.6879335104759889E-5</v>
      </c>
    </row>
    <row r="355" spans="1:8" outlineLevel="1" x14ac:dyDescent="0.2">
      <c r="A355" s="124">
        <v>104</v>
      </c>
      <c r="B355" s="133">
        <v>19172.8344</v>
      </c>
      <c r="C355" s="133">
        <v>21470.907639865469</v>
      </c>
      <c r="D355" s="133">
        <f t="shared" si="15"/>
        <v>-2298.0732398654691</v>
      </c>
      <c r="E355" s="115">
        <f t="shared" si="16"/>
        <v>-0.29147324821276349</v>
      </c>
      <c r="F355" s="115">
        <f t="shared" si="17"/>
        <v>0.29147324821276349</v>
      </c>
      <c r="G355" s="115">
        <v>2.3980612965571274E-2</v>
      </c>
      <c r="H355" s="115">
        <f t="shared" si="14"/>
        <v>7.1288510089048164E-4</v>
      </c>
    </row>
    <row r="356" spans="1:8" outlineLevel="1" x14ac:dyDescent="0.2">
      <c r="A356" s="124">
        <v>105</v>
      </c>
      <c r="B356" s="133">
        <v>5688.8769000000002</v>
      </c>
      <c r="C356" s="133">
        <v>4722.1687186558511</v>
      </c>
      <c r="D356" s="123">
        <f t="shared" si="15"/>
        <v>966.70818134414912</v>
      </c>
      <c r="E356" s="115">
        <f t="shared" si="16"/>
        <v>0.1226112243954102</v>
      </c>
      <c r="F356" s="115">
        <f t="shared" si="17"/>
        <v>0.1226112243954102</v>
      </c>
      <c r="G356" s="115">
        <v>7.5815337432630133E-3</v>
      </c>
      <c r="H356" s="115">
        <f t="shared" si="14"/>
        <v>3.8575059328219288E-5</v>
      </c>
    </row>
    <row r="357" spans="1:8" outlineLevel="1" x14ac:dyDescent="0.2">
      <c r="A357" s="124">
        <v>106</v>
      </c>
      <c r="B357" s="133">
        <v>103894.19990000001</v>
      </c>
      <c r="C357" s="133">
        <v>107560.63229240621</v>
      </c>
      <c r="D357" s="133">
        <f t="shared" si="15"/>
        <v>-3666.4323924062046</v>
      </c>
      <c r="E357" s="115">
        <f t="shared" si="16"/>
        <v>-0.46502737172540698</v>
      </c>
      <c r="F357" s="115">
        <f t="shared" si="17"/>
        <v>0.46502737172540698</v>
      </c>
      <c r="G357" s="115">
        <v>0.60737257064636796</v>
      </c>
      <c r="H357" s="115">
        <f t="shared" si="14"/>
        <v>0.28400741564369109</v>
      </c>
    </row>
    <row r="358" spans="1:8" outlineLevel="1" x14ac:dyDescent="0.2">
      <c r="A358" s="124">
        <v>107</v>
      </c>
      <c r="B358" s="133">
        <v>1118.7239</v>
      </c>
      <c r="C358" s="133">
        <v>5462.0076899727374</v>
      </c>
      <c r="D358" s="133">
        <f t="shared" si="15"/>
        <v>-4343.2837899727374</v>
      </c>
      <c r="E358" s="115">
        <f t="shared" si="16"/>
        <v>-0.55087497309150402</v>
      </c>
      <c r="F358" s="115">
        <f t="shared" si="17"/>
        <v>0.55087497309150402</v>
      </c>
      <c r="G358" s="115">
        <v>8.3643336387321764E-3</v>
      </c>
      <c r="H358" s="115">
        <f t="shared" si="14"/>
        <v>8.6042278038400298E-4</v>
      </c>
    </row>
    <row r="359" spans="1:8" outlineLevel="1" x14ac:dyDescent="0.2">
      <c r="A359" s="124">
        <v>108</v>
      </c>
      <c r="B359" s="133">
        <v>1346.6967</v>
      </c>
      <c r="C359" s="123">
        <v>108.55569557397507</v>
      </c>
      <c r="D359" s="133">
        <f t="shared" si="15"/>
        <v>1238.1410044260249</v>
      </c>
      <c r="E359" s="115">
        <f t="shared" si="16"/>
        <v>0.15703806738839773</v>
      </c>
      <c r="F359" s="115">
        <f t="shared" si="17"/>
        <v>0.15703806738839773</v>
      </c>
      <c r="G359" s="115">
        <v>9.3767845639641609E-3</v>
      </c>
      <c r="H359" s="115">
        <f t="shared" si="14"/>
        <v>7.8546269624994304E-5</v>
      </c>
    </row>
    <row r="360" spans="1:8" outlineLevel="1" x14ac:dyDescent="0.2">
      <c r="A360" s="124">
        <v>109</v>
      </c>
      <c r="B360" s="133">
        <v>30069.100900000001</v>
      </c>
      <c r="C360" s="133">
        <v>21439.678438905263</v>
      </c>
      <c r="D360" s="133">
        <f t="shared" si="15"/>
        <v>8629.4224610947385</v>
      </c>
      <c r="E360" s="115">
        <f t="shared" si="16"/>
        <v>1.0945020164295143</v>
      </c>
      <c r="F360" s="115">
        <f t="shared" si="17"/>
        <v>1.0945020164295143</v>
      </c>
      <c r="G360" s="115">
        <v>2.9822843354559821E-2</v>
      </c>
      <c r="H360" s="115">
        <f t="shared" si="14"/>
        <v>1.2651989862874588E-2</v>
      </c>
    </row>
    <row r="361" spans="1:8" outlineLevel="1" x14ac:dyDescent="0.2">
      <c r="A361" s="124">
        <v>110</v>
      </c>
      <c r="B361" s="133">
        <v>11763.517900000001</v>
      </c>
      <c r="C361" s="133">
        <v>9702.3362463851699</v>
      </c>
      <c r="D361" s="133">
        <f t="shared" si="15"/>
        <v>2061.1816536148308</v>
      </c>
      <c r="E361" s="115">
        <f t="shared" si="16"/>
        <v>0.26142739983815305</v>
      </c>
      <c r="F361" s="115">
        <f t="shared" si="17"/>
        <v>0.26142739983815305</v>
      </c>
      <c r="G361" s="115">
        <v>1.012178821477339E-2</v>
      </c>
      <c r="H361" s="115">
        <f t="shared" si="14"/>
        <v>2.3532857659613451E-4</v>
      </c>
    </row>
    <row r="362" spans="1:8" outlineLevel="1" x14ac:dyDescent="0.2">
      <c r="A362" s="124">
        <v>111</v>
      </c>
      <c r="B362" s="123">
        <v>388.22890000000001</v>
      </c>
      <c r="C362" s="123">
        <v>-822.34030089158296</v>
      </c>
      <c r="D362" s="133">
        <f t="shared" si="15"/>
        <v>1210.569200891583</v>
      </c>
      <c r="E362" s="115">
        <f t="shared" si="16"/>
        <v>0.15354103213475265</v>
      </c>
      <c r="F362" s="115">
        <f t="shared" si="17"/>
        <v>0.15354103213475265</v>
      </c>
      <c r="G362" s="115">
        <v>1.0204551251506013E-2</v>
      </c>
      <c r="H362" s="115">
        <f t="shared" si="14"/>
        <v>8.1852257695479283E-5</v>
      </c>
    </row>
    <row r="363" spans="1:8" outlineLevel="1" x14ac:dyDescent="0.2">
      <c r="A363" s="124">
        <v>112</v>
      </c>
      <c r="B363" s="133">
        <v>2499.6136000000001</v>
      </c>
      <c r="C363" s="123">
        <v>397.39620198813441</v>
      </c>
      <c r="D363" s="133">
        <f t="shared" si="15"/>
        <v>2102.217398011866</v>
      </c>
      <c r="E363" s="115">
        <f t="shared" si="16"/>
        <v>0.26663211720953361</v>
      </c>
      <c r="F363" s="115">
        <f t="shared" si="17"/>
        <v>0.26663211720953361</v>
      </c>
      <c r="G363" s="115">
        <v>8.6836257645400601E-3</v>
      </c>
      <c r="H363" s="115">
        <f t="shared" si="14"/>
        <v>2.0940170174540713E-4</v>
      </c>
    </row>
    <row r="364" spans="1:8" outlineLevel="1" x14ac:dyDescent="0.2">
      <c r="A364" s="124">
        <v>113</v>
      </c>
      <c r="B364" s="133">
        <v>12778.339900000001</v>
      </c>
      <c r="C364" s="133">
        <v>15914.146162758825</v>
      </c>
      <c r="D364" s="133">
        <f t="shared" si="15"/>
        <v>-3135.8062627588242</v>
      </c>
      <c r="E364" s="115">
        <f t="shared" si="16"/>
        <v>-0.39772606952498496</v>
      </c>
      <c r="F364" s="115">
        <f t="shared" si="17"/>
        <v>0.39772606952498496</v>
      </c>
      <c r="G364" s="115">
        <v>2.857845170263585E-2</v>
      </c>
      <c r="H364" s="115">
        <f t="shared" si="14"/>
        <v>1.5968719509487517E-3</v>
      </c>
    </row>
    <row r="365" spans="1:8" outlineLevel="1" x14ac:dyDescent="0.2">
      <c r="A365" s="124">
        <v>114</v>
      </c>
      <c r="B365" s="133">
        <v>1335.0657000000001</v>
      </c>
      <c r="C365" s="133">
        <v>1173.1530547249579</v>
      </c>
      <c r="D365" s="123">
        <f t="shared" si="15"/>
        <v>161.91264527504222</v>
      </c>
      <c r="E365" s="115">
        <f t="shared" si="16"/>
        <v>2.0535988073121739E-2</v>
      </c>
      <c r="F365" s="115">
        <f t="shared" si="17"/>
        <v>2.0535988073121739E-2</v>
      </c>
      <c r="G365" s="115">
        <v>8.9979178913574352E-3</v>
      </c>
      <c r="H365" s="115">
        <f t="shared" si="14"/>
        <v>1.2879613897995527E-6</v>
      </c>
    </row>
    <row r="366" spans="1:8" outlineLevel="1" x14ac:dyDescent="0.2">
      <c r="A366" s="124">
        <v>115</v>
      </c>
      <c r="B366" s="133">
        <v>18277.499500000002</v>
      </c>
      <c r="C366" s="133">
        <v>20657.17842511482</v>
      </c>
      <c r="D366" s="133">
        <f t="shared" si="15"/>
        <v>-2379.6789251148184</v>
      </c>
      <c r="E366" s="115">
        <f t="shared" si="16"/>
        <v>-0.30182360334489527</v>
      </c>
      <c r="F366" s="115">
        <f t="shared" si="17"/>
        <v>0.30182360334489527</v>
      </c>
      <c r="G366" s="115">
        <v>1.8882677579769351E-2</v>
      </c>
      <c r="H366" s="115">
        <f t="shared" si="14"/>
        <v>5.9567151830748708E-4</v>
      </c>
    </row>
    <row r="367" spans="1:8" outlineLevel="1" x14ac:dyDescent="0.2">
      <c r="A367" s="124">
        <v>116</v>
      </c>
      <c r="B367" s="133">
        <v>14628.111500000001</v>
      </c>
      <c r="C367" s="133">
        <v>32804.700264701118</v>
      </c>
      <c r="D367" s="133">
        <f t="shared" si="15"/>
        <v>-18176.588764701119</v>
      </c>
      <c r="E367" s="115">
        <f t="shared" si="16"/>
        <v>-2.3054049265136585</v>
      </c>
      <c r="F367" s="115">
        <f t="shared" si="17"/>
        <v>2.3054049265136585</v>
      </c>
      <c r="G367" s="115">
        <v>2.4855046827270584E-2</v>
      </c>
      <c r="H367" s="115">
        <f t="shared" si="14"/>
        <v>4.6307294689825022E-2</v>
      </c>
    </row>
    <row r="368" spans="1:8" outlineLevel="1" x14ac:dyDescent="0.2">
      <c r="A368" s="124">
        <v>117</v>
      </c>
      <c r="B368" s="133">
        <v>13254.6572</v>
      </c>
      <c r="C368" s="133">
        <v>22452.257910284043</v>
      </c>
      <c r="D368" s="133">
        <f t="shared" si="15"/>
        <v>-9197.6007102840431</v>
      </c>
      <c r="E368" s="115">
        <f t="shared" si="16"/>
        <v>-1.1665661947951884</v>
      </c>
      <c r="F368" s="115">
        <f t="shared" si="17"/>
        <v>1.1665661947951884</v>
      </c>
      <c r="G368" s="115">
        <v>1.5212395984951442E-2</v>
      </c>
      <c r="H368" s="115">
        <f t="shared" si="14"/>
        <v>7.1155749035430168E-3</v>
      </c>
    </row>
    <row r="369" spans="1:8" outlineLevel="1" x14ac:dyDescent="0.2">
      <c r="A369" s="124">
        <v>118</v>
      </c>
      <c r="B369" s="133">
        <v>7440.2691999999997</v>
      </c>
      <c r="C369" s="133">
        <v>9167.079432430899</v>
      </c>
      <c r="D369" s="133">
        <f t="shared" si="15"/>
        <v>-1726.8102324308993</v>
      </c>
      <c r="E369" s="115">
        <f t="shared" si="16"/>
        <v>-0.21901781838908493</v>
      </c>
      <c r="F369" s="115">
        <f t="shared" si="17"/>
        <v>0.21901781838908493</v>
      </c>
      <c r="G369" s="115">
        <v>1.2668560976571926E-2</v>
      </c>
      <c r="H369" s="115">
        <f t="shared" si="14"/>
        <v>2.077968674894415E-4</v>
      </c>
    </row>
    <row r="370" spans="1:8" outlineLevel="1" x14ac:dyDescent="0.2">
      <c r="A370" s="124">
        <v>119</v>
      </c>
      <c r="B370" s="133">
        <v>1708.3059000000001</v>
      </c>
      <c r="C370" s="123">
        <v>947.92282006773326</v>
      </c>
      <c r="D370" s="123">
        <f t="shared" si="15"/>
        <v>760.38307993226681</v>
      </c>
      <c r="E370" s="115">
        <f t="shared" si="16"/>
        <v>9.6442237936184158E-2</v>
      </c>
      <c r="F370" s="115">
        <f t="shared" si="17"/>
        <v>9.6442237936184158E-2</v>
      </c>
      <c r="G370" s="115">
        <v>8.4943308765485833E-3</v>
      </c>
      <c r="H370" s="115">
        <f t="shared" si="14"/>
        <v>2.678872690905449E-5</v>
      </c>
    </row>
    <row r="371" spans="1:8" outlineLevel="1" x14ac:dyDescent="0.2">
      <c r="A371" s="124">
        <v>120</v>
      </c>
      <c r="B371" s="133">
        <v>2961.8824</v>
      </c>
      <c r="C371" s="123">
        <v>932.74505654725795</v>
      </c>
      <c r="D371" s="133">
        <f t="shared" si="15"/>
        <v>2029.137343452742</v>
      </c>
      <c r="E371" s="115">
        <f t="shared" si="16"/>
        <v>0.25736309979424843</v>
      </c>
      <c r="F371" s="115">
        <f t="shared" si="17"/>
        <v>0.25736309979424843</v>
      </c>
      <c r="G371" s="115">
        <v>8.3115169215934627E-3</v>
      </c>
      <c r="H371" s="115">
        <f t="shared" si="14"/>
        <v>1.8659545318768273E-4</v>
      </c>
    </row>
    <row r="372" spans="1:8" outlineLevel="1" x14ac:dyDescent="0.2">
      <c r="A372" s="124">
        <v>121</v>
      </c>
      <c r="B372" s="133">
        <v>1498.6233999999999</v>
      </c>
      <c r="C372" s="133">
        <v>1157.2497342243462</v>
      </c>
      <c r="D372" s="123">
        <f t="shared" si="15"/>
        <v>341.37366577565376</v>
      </c>
      <c r="E372" s="115">
        <f t="shared" si="16"/>
        <v>4.3297702393398467E-2</v>
      </c>
      <c r="F372" s="115">
        <f t="shared" si="17"/>
        <v>4.3297702393398467E-2</v>
      </c>
      <c r="G372" s="115">
        <v>9.6846562088877559E-3</v>
      </c>
      <c r="H372" s="115">
        <f t="shared" si="14"/>
        <v>6.170859235736818E-6</v>
      </c>
    </row>
    <row r="373" spans="1:8" outlineLevel="1" x14ac:dyDescent="0.2">
      <c r="A373" s="124">
        <v>122</v>
      </c>
      <c r="B373" s="133">
        <v>11310.248799999999</v>
      </c>
      <c r="C373" s="133">
        <v>17929.141876115977</v>
      </c>
      <c r="D373" s="133">
        <f t="shared" si="15"/>
        <v>-6618.8930761159772</v>
      </c>
      <c r="E373" s="115">
        <f t="shared" si="16"/>
        <v>-0.83949903379991164</v>
      </c>
      <c r="F373" s="115">
        <f t="shared" si="17"/>
        <v>0.83949903379991164</v>
      </c>
      <c r="G373" s="115">
        <v>1.3520956212096034E-2</v>
      </c>
      <c r="H373" s="115">
        <f t="shared" si="14"/>
        <v>3.2640050748348739E-3</v>
      </c>
    </row>
    <row r="374" spans="1:8" outlineLevel="1" x14ac:dyDescent="0.2">
      <c r="A374" s="124">
        <v>123</v>
      </c>
      <c r="B374" s="133">
        <v>6079.7704000000003</v>
      </c>
      <c r="C374" s="133">
        <v>5760.6531066066791</v>
      </c>
      <c r="D374" s="123">
        <f t="shared" si="15"/>
        <v>319.11729339332123</v>
      </c>
      <c r="E374" s="115">
        <f t="shared" si="16"/>
        <v>4.0474843208940507E-2</v>
      </c>
      <c r="F374" s="115">
        <f t="shared" si="17"/>
        <v>4.0474843208940507E-2</v>
      </c>
      <c r="G374" s="115">
        <v>8.4416037372971233E-3</v>
      </c>
      <c r="H374" s="115">
        <f t="shared" si="14"/>
        <v>4.6885382611249694E-6</v>
      </c>
    </row>
    <row r="375" spans="1:8" outlineLevel="1" x14ac:dyDescent="0.2">
      <c r="A375" s="124">
        <v>124</v>
      </c>
      <c r="B375" s="133">
        <v>11136.6034</v>
      </c>
      <c r="C375" s="133">
        <v>7824.3560932778964</v>
      </c>
      <c r="D375" s="133">
        <f t="shared" si="15"/>
        <v>3312.2473067221035</v>
      </c>
      <c r="E375" s="115">
        <f t="shared" si="16"/>
        <v>0.42010474889424587</v>
      </c>
      <c r="F375" s="115">
        <f t="shared" si="17"/>
        <v>0.42010474889424587</v>
      </c>
      <c r="G375" s="115">
        <v>1.4921405100572452E-2</v>
      </c>
      <c r="H375" s="115">
        <f t="shared" si="14"/>
        <v>9.0461104011819136E-4</v>
      </c>
    </row>
    <row r="376" spans="1:8" outlineLevel="1" x14ac:dyDescent="0.2">
      <c r="A376" s="124">
        <v>125</v>
      </c>
      <c r="B376" s="133">
        <v>8730.4277999999995</v>
      </c>
      <c r="C376" s="133">
        <v>9572.5663291857618</v>
      </c>
      <c r="D376" s="123">
        <f t="shared" si="15"/>
        <v>-842.13852918576231</v>
      </c>
      <c r="E376" s="115">
        <f t="shared" si="16"/>
        <v>-0.10681158819866973</v>
      </c>
      <c r="F376" s="115">
        <f t="shared" si="17"/>
        <v>0.10681158819866973</v>
      </c>
      <c r="G376" s="115">
        <v>8.4754629652551462E-3</v>
      </c>
      <c r="H376" s="115">
        <f t="shared" si="14"/>
        <v>3.2784758513301854E-5</v>
      </c>
    </row>
    <row r="377" spans="1:8" outlineLevel="1" x14ac:dyDescent="0.2">
      <c r="A377" s="124">
        <v>126</v>
      </c>
      <c r="B377" s="123">
        <v>789.97940000000006</v>
      </c>
      <c r="C377" s="123">
        <v>-100.86252545443608</v>
      </c>
      <c r="D377" s="123">
        <f t="shared" si="15"/>
        <v>890.84192545443614</v>
      </c>
      <c r="E377" s="115">
        <f t="shared" si="16"/>
        <v>0.11298882261538257</v>
      </c>
      <c r="F377" s="115">
        <f t="shared" si="17"/>
        <v>0.11298882261538257</v>
      </c>
      <c r="G377" s="115">
        <v>9.8803891871325385E-3</v>
      </c>
      <c r="H377" s="115">
        <f t="shared" si="14"/>
        <v>4.2889248673971811E-5</v>
      </c>
    </row>
    <row r="378" spans="1:8" outlineLevel="1" x14ac:dyDescent="0.2">
      <c r="A378" s="124">
        <v>127</v>
      </c>
      <c r="B378" s="133">
        <v>1637.1987999999999</v>
      </c>
      <c r="C378" s="133">
        <v>1171.4584654040025</v>
      </c>
      <c r="D378" s="123">
        <f t="shared" si="15"/>
        <v>465.74033459599741</v>
      </c>
      <c r="E378" s="115">
        <f t="shared" si="16"/>
        <v>5.9071593452061442E-2</v>
      </c>
      <c r="F378" s="115">
        <f t="shared" si="17"/>
        <v>5.9071593452061442E-2</v>
      </c>
      <c r="G378" s="115">
        <v>8.1781654546539979E-3</v>
      </c>
      <c r="H378" s="115">
        <f t="shared" si="14"/>
        <v>9.6699600603234261E-6</v>
      </c>
    </row>
    <row r="379" spans="1:8" outlineLevel="1" x14ac:dyDescent="0.2">
      <c r="A379" s="124">
        <v>128</v>
      </c>
      <c r="B379" s="133">
        <v>11492.5267</v>
      </c>
      <c r="C379" s="133">
        <v>5085.4711432230724</v>
      </c>
      <c r="D379" s="133">
        <f t="shared" si="15"/>
        <v>6407.0555567769279</v>
      </c>
      <c r="E379" s="115">
        <f t="shared" si="16"/>
        <v>0.81263088669999528</v>
      </c>
      <c r="F379" s="115">
        <f t="shared" si="17"/>
        <v>0.81263088669999528</v>
      </c>
      <c r="G379" s="115">
        <v>8.0892583403523646E-3</v>
      </c>
      <c r="H379" s="115">
        <f t="shared" si="14"/>
        <v>1.8097930415667798E-3</v>
      </c>
    </row>
    <row r="380" spans="1:8" outlineLevel="1" x14ac:dyDescent="0.2">
      <c r="A380" s="124">
        <v>129</v>
      </c>
      <c r="B380" s="133">
        <v>49272.508399999999</v>
      </c>
      <c r="C380" s="133">
        <v>49090.245185888496</v>
      </c>
      <c r="D380" s="123">
        <f t="shared" ref="D380:D387" si="18">B380 - C380</f>
        <v>182.26321411150275</v>
      </c>
      <c r="E380" s="115">
        <f t="shared" ref="E380:E387" si="19">D380 /7884.33674087294</f>
        <v>2.3117127045910887E-2</v>
      </c>
      <c r="F380" s="115">
        <f t="shared" ref="F380:F387" si="20">ABS(E380)</f>
        <v>2.3117127045910887E-2</v>
      </c>
      <c r="G380" s="115">
        <v>9.250667435474752E-2</v>
      </c>
      <c r="H380" s="115">
        <f t="shared" si="14"/>
        <v>2.0009334931551407E-5</v>
      </c>
    </row>
    <row r="381" spans="1:8" outlineLevel="1" x14ac:dyDescent="0.2">
      <c r="A381" s="124">
        <v>130</v>
      </c>
      <c r="B381" s="133">
        <v>4154.2816999999995</v>
      </c>
      <c r="C381" s="133">
        <v>4076.1894024471185</v>
      </c>
      <c r="D381" s="123">
        <f t="shared" si="18"/>
        <v>78.092297552881064</v>
      </c>
      <c r="E381" s="115">
        <f t="shared" si="19"/>
        <v>9.9047389932047508E-3</v>
      </c>
      <c r="F381" s="115">
        <f t="shared" si="20"/>
        <v>9.9047389932047508E-3</v>
      </c>
      <c r="G381" s="115">
        <v>7.5589772585979691E-3</v>
      </c>
      <c r="H381" s="115">
        <f t="shared" ref="H381:H387" si="21">(F381^2/3)*(G381/(1-G381)^2)</f>
        <v>2.5096805219266008E-7</v>
      </c>
    </row>
    <row r="382" spans="1:8" outlineLevel="1" x14ac:dyDescent="0.2">
      <c r="A382" s="124">
        <v>131</v>
      </c>
      <c r="B382" s="133">
        <v>25456.8783</v>
      </c>
      <c r="C382" s="133">
        <v>26113.369829235835</v>
      </c>
      <c r="D382" s="123">
        <f t="shared" si="18"/>
        <v>-656.49152923583461</v>
      </c>
      <c r="E382" s="115">
        <f t="shared" si="19"/>
        <v>-8.3265282903574836E-2</v>
      </c>
      <c r="F382" s="115">
        <f t="shared" si="20"/>
        <v>8.3265282903574836E-2</v>
      </c>
      <c r="G382" s="115">
        <v>4.9266805350512227E-2</v>
      </c>
      <c r="H382" s="115">
        <f t="shared" si="21"/>
        <v>1.2596322061476779E-4</v>
      </c>
    </row>
    <row r="383" spans="1:8" outlineLevel="1" x14ac:dyDescent="0.2">
      <c r="A383" s="124">
        <v>132</v>
      </c>
      <c r="B383" s="133">
        <v>1360.3652</v>
      </c>
      <c r="C383" s="133">
        <v>1764.8912675308495</v>
      </c>
      <c r="D383" s="123">
        <f t="shared" si="18"/>
        <v>-404.52606753084956</v>
      </c>
      <c r="E383" s="115">
        <f t="shared" si="19"/>
        <v>-5.1307558368703203E-2</v>
      </c>
      <c r="F383" s="115">
        <f t="shared" si="20"/>
        <v>5.1307558368703203E-2</v>
      </c>
      <c r="G383" s="115">
        <v>8.1177940600001466E-3</v>
      </c>
      <c r="H383" s="115">
        <f t="shared" si="21"/>
        <v>7.2403451907297703E-6</v>
      </c>
    </row>
    <row r="384" spans="1:8" outlineLevel="1" x14ac:dyDescent="0.2">
      <c r="A384" s="124">
        <v>133</v>
      </c>
      <c r="B384" s="133">
        <v>1797.1029000000001</v>
      </c>
      <c r="C384" s="133">
        <v>1623.1734112716974</v>
      </c>
      <c r="D384" s="123">
        <f t="shared" si="18"/>
        <v>173.92948872830266</v>
      </c>
      <c r="E384" s="115">
        <f t="shared" si="19"/>
        <v>2.2060129398918278E-2</v>
      </c>
      <c r="F384" s="115">
        <f t="shared" si="20"/>
        <v>2.2060129398918278E-2</v>
      </c>
      <c r="G384" s="115">
        <v>8.0413144764395639E-3</v>
      </c>
      <c r="H384" s="115">
        <f t="shared" si="21"/>
        <v>1.3256678813994543E-6</v>
      </c>
    </row>
    <row r="385" spans="1:8" outlineLevel="1" x14ac:dyDescent="0.2">
      <c r="A385" s="124">
        <v>134</v>
      </c>
      <c r="B385" s="133">
        <v>5616.1094999999996</v>
      </c>
      <c r="C385" s="133">
        <v>5252.59026503327</v>
      </c>
      <c r="D385" s="123">
        <f t="shared" si="18"/>
        <v>363.51923496672953</v>
      </c>
      <c r="E385" s="115">
        <f t="shared" si="19"/>
        <v>4.6106507993528612E-2</v>
      </c>
      <c r="F385" s="115">
        <f t="shared" si="20"/>
        <v>4.6106507993528612E-2</v>
      </c>
      <c r="G385" s="115">
        <v>8.0263417208392626E-3</v>
      </c>
      <c r="H385" s="115">
        <f t="shared" si="21"/>
        <v>5.7799033145429687E-6</v>
      </c>
    </row>
    <row r="386" spans="1:8" outlineLevel="1" x14ac:dyDescent="0.2">
      <c r="A386" s="124">
        <v>135</v>
      </c>
      <c r="B386" s="133">
        <v>2858.7084</v>
      </c>
      <c r="C386" s="133">
        <v>7572.3371739078502</v>
      </c>
      <c r="D386" s="133">
        <f t="shared" si="18"/>
        <v>-4713.6287739078507</v>
      </c>
      <c r="E386" s="115">
        <f t="shared" si="19"/>
        <v>-0.59784721642748684</v>
      </c>
      <c r="F386" s="115">
        <f t="shared" si="20"/>
        <v>0.59784721642748684</v>
      </c>
      <c r="G386" s="115">
        <v>7.8367676744906124E-3</v>
      </c>
      <c r="H386" s="115">
        <f t="shared" si="21"/>
        <v>9.4848372360516924E-4</v>
      </c>
    </row>
    <row r="387" spans="1:8" outlineLevel="1" x14ac:dyDescent="0.2">
      <c r="A387" s="124">
        <v>136</v>
      </c>
      <c r="B387" s="133">
        <v>2202.7654000000002</v>
      </c>
      <c r="C387" s="133">
        <v>1378.9254363210619</v>
      </c>
      <c r="D387" s="123">
        <f t="shared" si="18"/>
        <v>823.83996367893837</v>
      </c>
      <c r="E387" s="115">
        <f t="shared" si="19"/>
        <v>0.10449071250446416</v>
      </c>
      <c r="F387" s="115">
        <f t="shared" si="20"/>
        <v>0.10449071250446416</v>
      </c>
      <c r="G387" s="115">
        <v>8.6298012490463767E-3</v>
      </c>
      <c r="H387" s="115">
        <f t="shared" si="21"/>
        <v>3.195679383980882E-5</v>
      </c>
    </row>
    <row r="388" spans="1:8" x14ac:dyDescent="0.2">
      <c r="A388" s="138"/>
    </row>
    <row r="391" spans="1:8" x14ac:dyDescent="0.2">
      <c r="A391" s="117" t="s">
        <v>659</v>
      </c>
    </row>
  </sheetData>
  <sortState xmlns:xlrd2="http://schemas.microsoft.com/office/spreadsheetml/2017/richdata2" ref="A252:F387">
    <sortCondition ref="A252"/>
    <sortCondition descending="1" ref="F252"/>
  </sortState>
  <dataValidations disablePrompts="1" count="1">
    <dataValidation type="decimal" allowBlank="1" showInputMessage="1" showErrorMessage="1" error="Please enter a confidence level between 0 and 1." sqref="I10" xr:uid="{00000000-0002-0000-1400-000000000000}">
      <formula1>0</formula1>
      <formula2>1</formula2>
    </dataValidation>
  </dataValidations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Z280"/>
  <sheetViews>
    <sheetView showGridLines="0" showRowColHeaders="0" topLeftCell="A112" zoomScale="115" zoomScaleNormal="115" workbookViewId="0">
      <selection activeCell="E20" sqref="E20"/>
    </sheetView>
  </sheetViews>
  <sheetFormatPr defaultRowHeight="11.25" outlineLevelRow="1" x14ac:dyDescent="0.2"/>
  <cols>
    <col min="1" max="1" width="15.7109375" style="115" customWidth="1"/>
    <col min="2" max="10" width="10.7109375" style="115" customWidth="1"/>
    <col min="11" max="77" width="9.140625" style="115"/>
    <col min="78" max="78" width="9.140625" style="115" customWidth="1"/>
    <col min="79" max="16384" width="9.140625" style="115"/>
  </cols>
  <sheetData>
    <row r="1" spans="1:78" x14ac:dyDescent="0.2">
      <c r="A1" s="116" t="s">
        <v>618</v>
      </c>
      <c r="B1" s="115" t="s">
        <v>882</v>
      </c>
      <c r="M1" s="117" t="s">
        <v>660</v>
      </c>
      <c r="N1" s="117" t="s">
        <v>661</v>
      </c>
      <c r="O1" s="117" t="s">
        <v>665</v>
      </c>
      <c r="Q1" s="117" t="s">
        <v>635</v>
      </c>
      <c r="R1" s="117" t="s">
        <v>795</v>
      </c>
      <c r="U1" s="117" t="s">
        <v>666</v>
      </c>
      <c r="Z1" s="140" t="s">
        <v>883</v>
      </c>
      <c r="BZ1" s="118" t="s">
        <v>883</v>
      </c>
    </row>
    <row r="2" spans="1:78" x14ac:dyDescent="0.2">
      <c r="A2" s="116" t="s">
        <v>619</v>
      </c>
      <c r="C2" s="115" t="s">
        <v>620</v>
      </c>
      <c r="Q2" s="117" t="s">
        <v>892</v>
      </c>
      <c r="R2" s="117" t="s">
        <v>663</v>
      </c>
      <c r="S2" s="117" t="s">
        <v>662</v>
      </c>
    </row>
    <row r="3" spans="1:78" ht="11.25" hidden="1" customHeight="1" outlineLevel="1" x14ac:dyDescent="0.2">
      <c r="A3" s="116" t="s">
        <v>621</v>
      </c>
      <c r="AA3" s="136" t="s">
        <v>890</v>
      </c>
    </row>
    <row r="4" spans="1:78" hidden="1" outlineLevel="1" x14ac:dyDescent="0.2">
      <c r="A4" s="115" t="s">
        <v>622</v>
      </c>
    </row>
    <row r="5" spans="1:78" hidden="1" outlineLevel="1" x14ac:dyDescent="0.2">
      <c r="A5" s="116" t="s">
        <v>623</v>
      </c>
    </row>
    <row r="6" spans="1:78" hidden="1" outlineLevel="1" x14ac:dyDescent="0.2">
      <c r="A6" s="115" t="s">
        <v>884</v>
      </c>
    </row>
    <row r="7" spans="1:78" collapsed="1" x14ac:dyDescent="0.2">
      <c r="A7" s="138"/>
      <c r="J7" s="117" t="s">
        <v>664</v>
      </c>
      <c r="K7" s="117" t="s">
        <v>901</v>
      </c>
    </row>
    <row r="8" spans="1:78" hidden="1" x14ac:dyDescent="0.2">
      <c r="A8" s="119" t="s">
        <v>885</v>
      </c>
    </row>
    <row r="9" spans="1:78" ht="12" outlineLevel="1" thickBot="1" x14ac:dyDescent="0.25">
      <c r="A9" s="120"/>
      <c r="B9" s="125" t="s">
        <v>624</v>
      </c>
      <c r="C9" s="125" t="s">
        <v>625</v>
      </c>
      <c r="D9" s="125" t="s">
        <v>626</v>
      </c>
      <c r="E9" s="125" t="s">
        <v>627</v>
      </c>
      <c r="F9" s="125" t="s">
        <v>628</v>
      </c>
      <c r="G9" s="125" t="s">
        <v>629</v>
      </c>
      <c r="H9" s="125" t="str">
        <f>"t("&amp;TEXT((1-I10)/2,"0.00%") &amp; ",119)"</f>
        <v>t(2.50%,119)</v>
      </c>
      <c r="I9" s="125" t="s">
        <v>630</v>
      </c>
    </row>
    <row r="10" spans="1:78" outlineLevel="1" x14ac:dyDescent="0.2">
      <c r="B10" s="126">
        <f xml:space="preserve"> 1 - C25 / C26</f>
        <v>0.20435900746054159</v>
      </c>
      <c r="C10" s="126">
        <f>1-D10^2/E10^2</f>
        <v>0.16424265489552703</v>
      </c>
      <c r="D10" s="126">
        <f xml:space="preserve"> SQRT(D25)</f>
        <v>2.6484238818595718</v>
      </c>
      <c r="E10" s="126">
        <f xml:space="preserve"> SQRT(C26 / B26)</f>
        <v>2.8969926568350455</v>
      </c>
      <c r="F10" s="127">
        <v>126</v>
      </c>
      <c r="G10" s="127">
        <v>0</v>
      </c>
      <c r="H10" s="128">
        <f>TINV(1 - $I$10, F10 - 6 - 1)</f>
        <v>1.9800998764569426</v>
      </c>
      <c r="I10" s="129">
        <v>0.95</v>
      </c>
    </row>
    <row r="11" spans="1:78" x14ac:dyDescent="0.2">
      <c r="A11" s="138"/>
    </row>
    <row r="12" spans="1:78" hidden="1" x14ac:dyDescent="0.2">
      <c r="A12" s="119" t="s">
        <v>886</v>
      </c>
    </row>
    <row r="13" spans="1:78" ht="12" outlineLevel="1" thickBot="1" x14ac:dyDescent="0.25">
      <c r="A13" s="130" t="s">
        <v>631</v>
      </c>
      <c r="B13" s="122" t="s">
        <v>632</v>
      </c>
      <c r="C13" s="122" t="s">
        <v>633</v>
      </c>
      <c r="D13" s="122" t="s">
        <v>634</v>
      </c>
      <c r="E13" s="122" t="s">
        <v>534</v>
      </c>
      <c r="F13" s="122" t="str">
        <f>IF($I$10&gt;99%,("Lower"&amp;TEXT($I$10,"0.0%")),("Lower"&amp;TEXT($I$10,"0%")))</f>
        <v>Lower95%</v>
      </c>
      <c r="G13" s="122" t="str">
        <f>IF($I$10&gt;99%,("Upper"&amp;TEXT($I$10,"0.0%")),("Upper"&amp;TEXT($I$10,"0%")))</f>
        <v>Upper95%</v>
      </c>
      <c r="H13" s="125" t="s">
        <v>637</v>
      </c>
      <c r="I13" s="125" t="s">
        <v>636</v>
      </c>
    </row>
    <row r="14" spans="1:78" outlineLevel="1" x14ac:dyDescent="0.2">
      <c r="A14" s="131" t="s">
        <v>638</v>
      </c>
      <c r="B14" s="132">
        <v>1.0631589086622706</v>
      </c>
      <c r="C14" s="132">
        <v>1.4534191482346537</v>
      </c>
      <c r="D14" s="132">
        <f>B14 / C14</f>
        <v>0.73148816702573416</v>
      </c>
      <c r="E14" s="132">
        <f>TDIST(ABS(D14),$F$10 - 7,2)</f>
        <v>0.4659190376868001</v>
      </c>
      <c r="F14" s="132">
        <f>B14 - $H$10 * C14</f>
        <v>-1.814756167197322</v>
      </c>
      <c r="G14" s="132">
        <f>B14 + $H$10 * C14</f>
        <v>3.9410739845218634</v>
      </c>
      <c r="H14" s="126">
        <v>0</v>
      </c>
      <c r="I14" s="126">
        <v>0</v>
      </c>
    </row>
    <row r="15" spans="1:78" outlineLevel="1" x14ac:dyDescent="0.2">
      <c r="A15" s="131" t="s">
        <v>639</v>
      </c>
      <c r="B15" s="132">
        <v>-6.832740529718123</v>
      </c>
      <c r="C15" s="132">
        <v>3.9100338180635439</v>
      </c>
      <c r="D15" s="132">
        <f t="shared" ref="D15:D20" si="0">B15 / C15</f>
        <v>-1.7474888575521472</v>
      </c>
      <c r="E15" s="132">
        <f t="shared" ref="E15:E20" si="1">TDIST(ABS(D15),$F$10 - 7,2)</f>
        <v>8.3132133219275317E-2</v>
      </c>
      <c r="F15" s="132">
        <f t="shared" ref="F15:F20" si="2">B15 - $H$10 * C15</f>
        <v>-14.574998009808214</v>
      </c>
      <c r="G15" s="132">
        <f t="shared" ref="G15:G20" si="3">B15 + $H$10 * C15</f>
        <v>0.90951695037196778</v>
      </c>
      <c r="H15" s="126">
        <v>17.439028577053019</v>
      </c>
      <c r="I15" s="126">
        <f>B15*0.252995688424297/$E$10</f>
        <v>-0.59670634306307857</v>
      </c>
    </row>
    <row r="16" spans="1:78" outlineLevel="1" x14ac:dyDescent="0.2">
      <c r="A16" s="131" t="s">
        <v>640</v>
      </c>
      <c r="B16" s="132">
        <v>9.8871433219412754</v>
      </c>
      <c r="C16" s="132">
        <v>2.8071840067165743</v>
      </c>
      <c r="D16" s="132">
        <f t="shared" si="0"/>
        <v>3.5220859403177434</v>
      </c>
      <c r="E16" s="132">
        <f t="shared" si="1"/>
        <v>6.0806195408891054E-4</v>
      </c>
      <c r="F16" s="132">
        <f t="shared" si="2"/>
        <v>4.3286386170498812</v>
      </c>
      <c r="G16" s="132">
        <f t="shared" si="3"/>
        <v>15.44564802683267</v>
      </c>
      <c r="H16" s="126">
        <v>2.3755147829633874</v>
      </c>
      <c r="I16" s="126">
        <f>B16*0.130059019834025/$E$10</f>
        <v>0.44387829785356198</v>
      </c>
    </row>
    <row r="17" spans="1:9" outlineLevel="1" x14ac:dyDescent="0.2">
      <c r="A17" s="131" t="s">
        <v>641</v>
      </c>
      <c r="B17" s="132">
        <v>0.97198782869074496</v>
      </c>
      <c r="C17" s="132">
        <v>3.6068662363786133</v>
      </c>
      <c r="D17" s="132">
        <f t="shared" si="0"/>
        <v>0.26948263811042955</v>
      </c>
      <c r="E17" s="132">
        <f t="shared" si="1"/>
        <v>0.78802501849225526</v>
      </c>
      <c r="F17" s="132">
        <f t="shared" si="2"/>
        <v>-6.1699675603592645</v>
      </c>
      <c r="G17" s="132">
        <f t="shared" si="3"/>
        <v>8.1139432177407542</v>
      </c>
      <c r="H17" s="126">
        <v>13.20919160893571</v>
      </c>
      <c r="I17" s="126">
        <f>B17*0.238693488910754/$E$10</f>
        <v>8.0085520914799008E-2</v>
      </c>
    </row>
    <row r="18" spans="1:9" outlineLevel="1" x14ac:dyDescent="0.2">
      <c r="A18" s="131" t="s">
        <v>642</v>
      </c>
      <c r="B18" s="132">
        <v>-5.4675164826584473</v>
      </c>
      <c r="C18" s="132">
        <v>3.5311825765900116</v>
      </c>
      <c r="D18" s="132">
        <f t="shared" si="0"/>
        <v>-1.5483528149763111</v>
      </c>
      <c r="E18" s="132">
        <f t="shared" si="1"/>
        <v>0.1241927881335184</v>
      </c>
      <c r="F18" s="132">
        <f t="shared" si="2"/>
        <v>-12.459610666311239</v>
      </c>
      <c r="G18" s="132">
        <f t="shared" si="3"/>
        <v>1.5245777009943433</v>
      </c>
      <c r="H18" s="126">
        <v>2.1544386421334174</v>
      </c>
      <c r="I18" s="126">
        <f>B18*0.0984644322261326/$E$10</f>
        <v>-0.18583267889264779</v>
      </c>
    </row>
    <row r="19" spans="1:9" outlineLevel="1" x14ac:dyDescent="0.2">
      <c r="A19" s="131" t="s">
        <v>643</v>
      </c>
      <c r="B19" s="132">
        <v>4.8937450908883102</v>
      </c>
      <c r="C19" s="132">
        <v>1.1478253510751204</v>
      </c>
      <c r="D19" s="132">
        <f t="shared" si="0"/>
        <v>4.2634927746669318</v>
      </c>
      <c r="E19" s="132">
        <f t="shared" si="1"/>
        <v>4.054044422014907E-5</v>
      </c>
      <c r="F19" s="132">
        <f t="shared" si="2"/>
        <v>2.6209362550303177</v>
      </c>
      <c r="G19" s="132">
        <f t="shared" si="3"/>
        <v>7.1665539267463032</v>
      </c>
      <c r="H19" s="126">
        <v>1.0961023663765783</v>
      </c>
      <c r="I19" s="126">
        <f>B19*0.216063911562829/$E$10</f>
        <v>0.36498598090472362</v>
      </c>
    </row>
    <row r="20" spans="1:9" outlineLevel="1" x14ac:dyDescent="0.2">
      <c r="A20" s="131" t="s">
        <v>644</v>
      </c>
      <c r="B20" s="132">
        <v>-5.876412209974851</v>
      </c>
      <c r="C20" s="132">
        <v>3.0714951051132378</v>
      </c>
      <c r="D20" s="132">
        <f t="shared" si="0"/>
        <v>-1.913209042785762</v>
      </c>
      <c r="E20" s="132">
        <f t="shared" si="1"/>
        <v>5.8123900044639583E-2</v>
      </c>
      <c r="F20" s="132">
        <f t="shared" si="2"/>
        <v>-11.958279288147677</v>
      </c>
      <c r="G20" s="132">
        <f t="shared" si="3"/>
        <v>0.20545486819797532</v>
      </c>
      <c r="H20" s="126">
        <v>5.3148606081366268</v>
      </c>
      <c r="I20" s="126">
        <f>B20*0.177798708009284/$E$10</f>
        <v>-0.36065624681457442</v>
      </c>
    </row>
    <row r="21" spans="1:9" x14ac:dyDescent="0.2">
      <c r="A21" s="138"/>
    </row>
    <row r="22" spans="1:9" hidden="1" x14ac:dyDescent="0.2">
      <c r="A22" s="119" t="s">
        <v>887</v>
      </c>
    </row>
    <row r="23" spans="1:9" ht="12" hidden="1" outlineLevel="1" thickBot="1" x14ac:dyDescent="0.25">
      <c r="A23" s="130" t="s">
        <v>645</v>
      </c>
      <c r="B23" s="122" t="s">
        <v>646</v>
      </c>
      <c r="C23" s="122" t="s">
        <v>647</v>
      </c>
      <c r="D23" s="122" t="s">
        <v>648</v>
      </c>
      <c r="E23" s="122" t="s">
        <v>649</v>
      </c>
      <c r="F23" s="122" t="s">
        <v>534</v>
      </c>
    </row>
    <row r="24" spans="1:9" hidden="1" outlineLevel="1" x14ac:dyDescent="0.2">
      <c r="A24" s="115" t="s">
        <v>523</v>
      </c>
      <c r="B24" s="124">
        <v>6</v>
      </c>
      <c r="C24" s="123">
        <f>C26 - C25</f>
        <v>214.38706881703115</v>
      </c>
      <c r="D24" s="123">
        <f>C24/B24</f>
        <v>35.731178136171856</v>
      </c>
      <c r="E24" s="123">
        <f>D24/D25</f>
        <v>5.0941572300060534</v>
      </c>
      <c r="F24" s="123">
        <f>FDIST(E24,6,119)</f>
        <v>1.0933597620893049E-4</v>
      </c>
    </row>
    <row r="25" spans="1:9" hidden="1" outlineLevel="1" x14ac:dyDescent="0.2">
      <c r="A25" s="115" t="s">
        <v>524</v>
      </c>
      <c r="B25" s="124">
        <v>119</v>
      </c>
      <c r="C25" s="123">
        <v>834.68373790249075</v>
      </c>
      <c r="D25" s="123">
        <f>C25/B25</f>
        <v>7.0141490580041239</v>
      </c>
    </row>
    <row r="26" spans="1:9" hidden="1" outlineLevel="1" x14ac:dyDescent="0.2">
      <c r="A26" s="115" t="s">
        <v>525</v>
      </c>
      <c r="B26" s="124">
        <f>B24 + B25</f>
        <v>125</v>
      </c>
      <c r="C26" s="133">
        <v>1049.0708067195219</v>
      </c>
    </row>
    <row r="27" spans="1:9" collapsed="1" x14ac:dyDescent="0.2">
      <c r="A27" s="138"/>
    </row>
    <row r="28" spans="1:9" hidden="1" x14ac:dyDescent="0.2">
      <c r="A28" s="119" t="s">
        <v>888</v>
      </c>
    </row>
    <row r="29" spans="1:9" ht="12" outlineLevel="1" thickBot="1" x14ac:dyDescent="0.25">
      <c r="A29" s="120"/>
      <c r="B29" s="122" t="s">
        <v>652</v>
      </c>
      <c r="C29" s="122" t="s">
        <v>653</v>
      </c>
      <c r="D29" s="122" t="s">
        <v>654</v>
      </c>
      <c r="E29" s="122" t="s">
        <v>655</v>
      </c>
      <c r="F29" s="122" t="s">
        <v>656</v>
      </c>
      <c r="G29" s="125" t="s">
        <v>650</v>
      </c>
      <c r="H29" s="125" t="s">
        <v>657</v>
      </c>
      <c r="I29" s="134"/>
    </row>
    <row r="30" spans="1:9" outlineLevel="1" x14ac:dyDescent="0.2">
      <c r="A30" s="115" t="s">
        <v>873</v>
      </c>
      <c r="B30" s="132">
        <v>-2.6433881538694204E-15</v>
      </c>
      <c r="C30" s="132">
        <v>2.5738053753804362</v>
      </c>
      <c r="D30" s="132">
        <v>2.0389491573973602</v>
      </c>
      <c r="E30" s="132">
        <v>-5.7166351637758748</v>
      </c>
      <c r="F30" s="132">
        <v>7.1239154273923688</v>
      </c>
      <c r="G30" s="129">
        <v>0.50539372226855039</v>
      </c>
      <c r="H30" s="128" t="s">
        <v>889</v>
      </c>
      <c r="I30" s="128"/>
    </row>
    <row r="31" spans="1:9" outlineLevel="1" x14ac:dyDescent="0.2"/>
    <row r="32" spans="1:9" x14ac:dyDescent="0.2">
      <c r="A32" s="138"/>
    </row>
    <row r="33" spans="1:3" hidden="1" x14ac:dyDescent="0.2">
      <c r="A33" s="119" t="s">
        <v>658</v>
      </c>
    </row>
    <row r="34" spans="1:3" outlineLevel="1" x14ac:dyDescent="0.2"/>
    <row r="35" spans="1:3" outlineLevel="1" x14ac:dyDescent="0.2"/>
    <row r="36" spans="1:3" outlineLevel="1" x14ac:dyDescent="0.2">
      <c r="C36" s="135" t="b">
        <v>0</v>
      </c>
    </row>
    <row r="37" spans="1:3" outlineLevel="1" x14ac:dyDescent="0.2"/>
    <row r="38" spans="1:3" outlineLevel="1" x14ac:dyDescent="0.2"/>
    <row r="39" spans="1:3" outlineLevel="1" x14ac:dyDescent="0.2"/>
    <row r="40" spans="1:3" outlineLevel="1" x14ac:dyDescent="0.2"/>
    <row r="41" spans="1:3" outlineLevel="1" x14ac:dyDescent="0.2"/>
    <row r="42" spans="1:3" outlineLevel="1" x14ac:dyDescent="0.2"/>
    <row r="43" spans="1:3" outlineLevel="1" x14ac:dyDescent="0.2"/>
    <row r="44" spans="1:3" outlineLevel="1" x14ac:dyDescent="0.2"/>
    <row r="45" spans="1:3" outlineLevel="1" x14ac:dyDescent="0.2"/>
    <row r="46" spans="1:3" outlineLevel="1" x14ac:dyDescent="0.2"/>
    <row r="47" spans="1:3" outlineLevel="1" x14ac:dyDescent="0.2"/>
    <row r="48" spans="1:3" outlineLevel="1" x14ac:dyDescent="0.2"/>
    <row r="49" spans="1:1" outlineLevel="1" x14ac:dyDescent="0.2"/>
    <row r="50" spans="1:1" outlineLevel="1" x14ac:dyDescent="0.2"/>
    <row r="51" spans="1:1" outlineLevel="1" x14ac:dyDescent="0.2"/>
    <row r="52" spans="1:1" outlineLevel="1" x14ac:dyDescent="0.2"/>
    <row r="53" spans="1:1" outlineLevel="1" x14ac:dyDescent="0.2"/>
    <row r="54" spans="1:1" x14ac:dyDescent="0.2">
      <c r="A54" s="139"/>
    </row>
    <row r="55" spans="1:1" hidden="1" x14ac:dyDescent="0.2">
      <c r="A55" s="119" t="s">
        <v>685</v>
      </c>
    </row>
    <row r="56" spans="1:1" outlineLevel="1" x14ac:dyDescent="0.2"/>
    <row r="57" spans="1:1" outlineLevel="1" x14ac:dyDescent="0.2"/>
    <row r="58" spans="1:1" outlineLevel="1" x14ac:dyDescent="0.2"/>
    <row r="59" spans="1:1" outlineLevel="1" x14ac:dyDescent="0.2"/>
    <row r="60" spans="1:1" outlineLevel="1" x14ac:dyDescent="0.2"/>
    <row r="61" spans="1:1" outlineLevel="1" x14ac:dyDescent="0.2"/>
    <row r="62" spans="1:1" outlineLevel="1" x14ac:dyDescent="0.2"/>
    <row r="63" spans="1:1" outlineLevel="1" x14ac:dyDescent="0.2"/>
    <row r="64" spans="1:1" outlineLevel="1" x14ac:dyDescent="0.2"/>
    <row r="65" spans="1:1" outlineLevel="1" x14ac:dyDescent="0.2"/>
    <row r="66" spans="1:1" outlineLevel="1" x14ac:dyDescent="0.2"/>
    <row r="67" spans="1:1" outlineLevel="1" x14ac:dyDescent="0.2"/>
    <row r="68" spans="1:1" outlineLevel="1" x14ac:dyDescent="0.2"/>
    <row r="69" spans="1:1" outlineLevel="1" x14ac:dyDescent="0.2"/>
    <row r="70" spans="1:1" outlineLevel="1" x14ac:dyDescent="0.2"/>
    <row r="71" spans="1:1" outlineLevel="1" x14ac:dyDescent="0.2"/>
    <row r="72" spans="1:1" outlineLevel="1" x14ac:dyDescent="0.2"/>
    <row r="73" spans="1:1" outlineLevel="1" x14ac:dyDescent="0.2"/>
    <row r="74" spans="1:1" outlineLevel="1" x14ac:dyDescent="0.2"/>
    <row r="75" spans="1:1" outlineLevel="1" x14ac:dyDescent="0.2"/>
    <row r="76" spans="1:1" x14ac:dyDescent="0.2">
      <c r="A76" s="139"/>
    </row>
    <row r="77" spans="1:1" hidden="1" x14ac:dyDescent="0.2">
      <c r="A77" s="119" t="s">
        <v>686</v>
      </c>
    </row>
    <row r="78" spans="1:1" outlineLevel="1" x14ac:dyDescent="0.2"/>
    <row r="79" spans="1:1" outlineLevel="1" x14ac:dyDescent="0.2"/>
    <row r="80" spans="1:1" outlineLevel="1" x14ac:dyDescent="0.2"/>
    <row r="81" outlineLevel="1" x14ac:dyDescent="0.2"/>
    <row r="82" outlineLevel="1" x14ac:dyDescent="0.2"/>
    <row r="83" outlineLevel="1" x14ac:dyDescent="0.2"/>
    <row r="84" outlineLevel="1" x14ac:dyDescent="0.2"/>
    <row r="85" outlineLevel="1" x14ac:dyDescent="0.2"/>
    <row r="86" outlineLevel="1" x14ac:dyDescent="0.2"/>
    <row r="87" outlineLevel="1" x14ac:dyDescent="0.2"/>
    <row r="88" outlineLevel="1" x14ac:dyDescent="0.2"/>
    <row r="89" outlineLevel="1" x14ac:dyDescent="0.2"/>
    <row r="90" outlineLevel="1" x14ac:dyDescent="0.2"/>
    <row r="91" outlineLevel="1" x14ac:dyDescent="0.2"/>
    <row r="92" outlineLevel="1" x14ac:dyDescent="0.2"/>
    <row r="93" outlineLevel="1" x14ac:dyDescent="0.2"/>
    <row r="94" outlineLevel="1" x14ac:dyDescent="0.2"/>
    <row r="95" outlineLevel="1" x14ac:dyDescent="0.2"/>
    <row r="96" outlineLevel="1" x14ac:dyDescent="0.2"/>
    <row r="97" spans="1:1" outlineLevel="1" x14ac:dyDescent="0.2"/>
    <row r="98" spans="1:1" x14ac:dyDescent="0.2">
      <c r="A98" s="139"/>
    </row>
    <row r="99" spans="1:1" hidden="1" x14ac:dyDescent="0.2">
      <c r="A99" s="119" t="s">
        <v>687</v>
      </c>
    </row>
    <row r="100" spans="1:1" outlineLevel="1" x14ac:dyDescent="0.2"/>
    <row r="101" spans="1:1" outlineLevel="1" x14ac:dyDescent="0.2"/>
    <row r="102" spans="1:1" outlineLevel="1" x14ac:dyDescent="0.2"/>
    <row r="103" spans="1:1" outlineLevel="1" x14ac:dyDescent="0.2"/>
    <row r="104" spans="1:1" outlineLevel="1" x14ac:dyDescent="0.2"/>
    <row r="105" spans="1:1" outlineLevel="1" x14ac:dyDescent="0.2"/>
    <row r="106" spans="1:1" outlineLevel="1" x14ac:dyDescent="0.2"/>
    <row r="107" spans="1:1" outlineLevel="1" x14ac:dyDescent="0.2"/>
    <row r="108" spans="1:1" outlineLevel="1" x14ac:dyDescent="0.2"/>
    <row r="109" spans="1:1" outlineLevel="1" x14ac:dyDescent="0.2"/>
    <row r="110" spans="1:1" outlineLevel="1" x14ac:dyDescent="0.2"/>
    <row r="111" spans="1:1" outlineLevel="1" x14ac:dyDescent="0.2"/>
    <row r="112" spans="1:1" outlineLevel="1" x14ac:dyDescent="0.2"/>
    <row r="113" spans="1:1" outlineLevel="1" x14ac:dyDescent="0.2"/>
    <row r="114" spans="1:1" outlineLevel="1" x14ac:dyDescent="0.2"/>
    <row r="115" spans="1:1" outlineLevel="1" x14ac:dyDescent="0.2"/>
    <row r="116" spans="1:1" outlineLevel="1" x14ac:dyDescent="0.2"/>
    <row r="117" spans="1:1" outlineLevel="1" x14ac:dyDescent="0.2"/>
    <row r="118" spans="1:1" outlineLevel="1" x14ac:dyDescent="0.2"/>
    <row r="119" spans="1:1" outlineLevel="1" x14ac:dyDescent="0.2"/>
    <row r="120" spans="1:1" x14ac:dyDescent="0.2">
      <c r="A120" s="139"/>
    </row>
    <row r="121" spans="1:1" hidden="1" x14ac:dyDescent="0.2">
      <c r="A121" s="119" t="s">
        <v>688</v>
      </c>
    </row>
    <row r="122" spans="1:1" outlineLevel="1" x14ac:dyDescent="0.2"/>
    <row r="123" spans="1:1" outlineLevel="1" x14ac:dyDescent="0.2"/>
    <row r="124" spans="1:1" outlineLevel="1" x14ac:dyDescent="0.2"/>
    <row r="125" spans="1:1" outlineLevel="1" x14ac:dyDescent="0.2"/>
    <row r="126" spans="1:1" outlineLevel="1" x14ac:dyDescent="0.2"/>
    <row r="127" spans="1:1" outlineLevel="1" x14ac:dyDescent="0.2"/>
    <row r="128" spans="1:1" outlineLevel="1" x14ac:dyDescent="0.2"/>
    <row r="129" spans="1:1" outlineLevel="1" x14ac:dyDescent="0.2"/>
    <row r="130" spans="1:1" outlineLevel="1" x14ac:dyDescent="0.2"/>
    <row r="131" spans="1:1" outlineLevel="1" x14ac:dyDescent="0.2"/>
    <row r="132" spans="1:1" outlineLevel="1" x14ac:dyDescent="0.2"/>
    <row r="133" spans="1:1" outlineLevel="1" x14ac:dyDescent="0.2"/>
    <row r="134" spans="1:1" outlineLevel="1" x14ac:dyDescent="0.2"/>
    <row r="135" spans="1:1" outlineLevel="1" x14ac:dyDescent="0.2"/>
    <row r="136" spans="1:1" outlineLevel="1" x14ac:dyDescent="0.2"/>
    <row r="137" spans="1:1" outlineLevel="1" x14ac:dyDescent="0.2"/>
    <row r="138" spans="1:1" outlineLevel="1" x14ac:dyDescent="0.2"/>
    <row r="139" spans="1:1" outlineLevel="1" x14ac:dyDescent="0.2"/>
    <row r="140" spans="1:1" outlineLevel="1" x14ac:dyDescent="0.2"/>
    <row r="141" spans="1:1" outlineLevel="1" x14ac:dyDescent="0.2"/>
    <row r="142" spans="1:1" x14ac:dyDescent="0.2">
      <c r="A142" s="139"/>
    </row>
    <row r="143" spans="1:1" hidden="1" x14ac:dyDescent="0.2">
      <c r="A143" s="119" t="s">
        <v>689</v>
      </c>
    </row>
    <row r="144" spans="1:1" hidden="1" outlineLevel="1" x14ac:dyDescent="0.2"/>
    <row r="145" spans="1:1" hidden="1" outlineLevel="1" x14ac:dyDescent="0.2">
      <c r="A145" s="148" t="s">
        <v>701</v>
      </c>
    </row>
    <row r="146" spans="1:1" hidden="1" outlineLevel="1" x14ac:dyDescent="0.2"/>
    <row r="147" spans="1:1" hidden="1" outlineLevel="1" x14ac:dyDescent="0.2"/>
    <row r="148" spans="1:1" hidden="1" outlineLevel="1" x14ac:dyDescent="0.2"/>
    <row r="149" spans="1:1" hidden="1" outlineLevel="1" x14ac:dyDescent="0.2"/>
    <row r="150" spans="1:1" hidden="1" outlineLevel="1" x14ac:dyDescent="0.2"/>
    <row r="151" spans="1:1" hidden="1" outlineLevel="1" x14ac:dyDescent="0.2"/>
    <row r="152" spans="1:1" hidden="1" outlineLevel="1" x14ac:dyDescent="0.2"/>
    <row r="153" spans="1:1" hidden="1" outlineLevel="1" x14ac:dyDescent="0.2"/>
    <row r="154" spans="1:1" hidden="1" outlineLevel="1" x14ac:dyDescent="0.2"/>
    <row r="155" spans="1:1" hidden="1" outlineLevel="1" x14ac:dyDescent="0.2"/>
    <row r="156" spans="1:1" hidden="1" outlineLevel="1" x14ac:dyDescent="0.2"/>
    <row r="157" spans="1:1" hidden="1" outlineLevel="1" x14ac:dyDescent="0.2"/>
    <row r="158" spans="1:1" hidden="1" outlineLevel="1" x14ac:dyDescent="0.2"/>
    <row r="159" spans="1:1" hidden="1" outlineLevel="1" x14ac:dyDescent="0.2"/>
    <row r="160" spans="1:1" hidden="1" outlineLevel="1" x14ac:dyDescent="0.2"/>
    <row r="161" spans="1:1" hidden="1" outlineLevel="1" x14ac:dyDescent="0.2"/>
    <row r="162" spans="1:1" hidden="1" outlineLevel="1" x14ac:dyDescent="0.2"/>
    <row r="163" spans="1:1" hidden="1" outlineLevel="1" x14ac:dyDescent="0.2"/>
    <row r="164" spans="1:1" hidden="1" outlineLevel="1" x14ac:dyDescent="0.2"/>
    <row r="165" spans="1:1" hidden="1" outlineLevel="1" x14ac:dyDescent="0.2"/>
    <row r="166" spans="1:1" hidden="1" outlineLevel="1" x14ac:dyDescent="0.2"/>
    <row r="167" spans="1:1" hidden="1" outlineLevel="1" x14ac:dyDescent="0.2">
      <c r="A167" s="148" t="s">
        <v>690</v>
      </c>
    </row>
    <row r="168" spans="1:1" hidden="1" outlineLevel="1" x14ac:dyDescent="0.2"/>
    <row r="169" spans="1:1" hidden="1" outlineLevel="1" x14ac:dyDescent="0.2"/>
    <row r="170" spans="1:1" hidden="1" outlineLevel="1" x14ac:dyDescent="0.2"/>
    <row r="171" spans="1:1" hidden="1" outlineLevel="1" x14ac:dyDescent="0.2"/>
    <row r="172" spans="1:1" hidden="1" outlineLevel="1" x14ac:dyDescent="0.2"/>
    <row r="173" spans="1:1" hidden="1" outlineLevel="1" x14ac:dyDescent="0.2"/>
    <row r="174" spans="1:1" hidden="1" outlineLevel="1" x14ac:dyDescent="0.2"/>
    <row r="175" spans="1:1" hidden="1" outlineLevel="1" x14ac:dyDescent="0.2"/>
    <row r="176" spans="1:1" hidden="1" outlineLevel="1" x14ac:dyDescent="0.2"/>
    <row r="177" spans="1:1" hidden="1" outlineLevel="1" x14ac:dyDescent="0.2"/>
    <row r="178" spans="1:1" hidden="1" outlineLevel="1" x14ac:dyDescent="0.2"/>
    <row r="179" spans="1:1" hidden="1" outlineLevel="1" x14ac:dyDescent="0.2"/>
    <row r="180" spans="1:1" hidden="1" outlineLevel="1" x14ac:dyDescent="0.2"/>
    <row r="181" spans="1:1" hidden="1" outlineLevel="1" x14ac:dyDescent="0.2"/>
    <row r="182" spans="1:1" hidden="1" outlineLevel="1" x14ac:dyDescent="0.2"/>
    <row r="183" spans="1:1" hidden="1" outlineLevel="1" x14ac:dyDescent="0.2"/>
    <row r="184" spans="1:1" hidden="1" outlineLevel="1" x14ac:dyDescent="0.2"/>
    <row r="185" spans="1:1" hidden="1" outlineLevel="1" x14ac:dyDescent="0.2"/>
    <row r="186" spans="1:1" hidden="1" outlineLevel="1" x14ac:dyDescent="0.2"/>
    <row r="187" spans="1:1" hidden="1" outlineLevel="1" x14ac:dyDescent="0.2"/>
    <row r="188" spans="1:1" hidden="1" outlineLevel="1" x14ac:dyDescent="0.2"/>
    <row r="189" spans="1:1" hidden="1" outlineLevel="1" x14ac:dyDescent="0.2">
      <c r="A189" s="148" t="s">
        <v>702</v>
      </c>
    </row>
    <row r="190" spans="1:1" hidden="1" outlineLevel="1" x14ac:dyDescent="0.2"/>
    <row r="191" spans="1:1" hidden="1" outlineLevel="1" x14ac:dyDescent="0.2"/>
    <row r="192" spans="1:1" hidden="1" outlineLevel="1" x14ac:dyDescent="0.2"/>
    <row r="193" hidden="1" outlineLevel="1" x14ac:dyDescent="0.2"/>
    <row r="194" hidden="1" outlineLevel="1" x14ac:dyDescent="0.2"/>
    <row r="195" hidden="1" outlineLevel="1" x14ac:dyDescent="0.2"/>
    <row r="196" hidden="1" outlineLevel="1" x14ac:dyDescent="0.2"/>
    <row r="197" hidden="1" outlineLevel="1" x14ac:dyDescent="0.2"/>
    <row r="198" hidden="1" outlineLevel="1" x14ac:dyDescent="0.2"/>
    <row r="199" hidden="1" outlineLevel="1" x14ac:dyDescent="0.2"/>
    <row r="200" hidden="1" outlineLevel="1" x14ac:dyDescent="0.2"/>
    <row r="201" hidden="1" outlineLevel="1" x14ac:dyDescent="0.2"/>
    <row r="202" hidden="1" outlineLevel="1" x14ac:dyDescent="0.2"/>
    <row r="203" hidden="1" outlineLevel="1" x14ac:dyDescent="0.2"/>
    <row r="204" hidden="1" outlineLevel="1" x14ac:dyDescent="0.2"/>
    <row r="205" hidden="1" outlineLevel="1" x14ac:dyDescent="0.2"/>
    <row r="206" hidden="1" outlineLevel="1" x14ac:dyDescent="0.2"/>
    <row r="207" hidden="1" outlineLevel="1" x14ac:dyDescent="0.2"/>
    <row r="208" hidden="1" outlineLevel="1" x14ac:dyDescent="0.2"/>
    <row r="209" spans="1:1" hidden="1" outlineLevel="1" x14ac:dyDescent="0.2"/>
    <row r="210" spans="1:1" hidden="1" outlineLevel="1" x14ac:dyDescent="0.2"/>
    <row r="211" spans="1:1" hidden="1" outlineLevel="1" x14ac:dyDescent="0.2">
      <c r="A211" s="148" t="s">
        <v>703</v>
      </c>
    </row>
    <row r="212" spans="1:1" hidden="1" outlineLevel="1" x14ac:dyDescent="0.2"/>
    <row r="213" spans="1:1" hidden="1" outlineLevel="1" x14ac:dyDescent="0.2"/>
    <row r="214" spans="1:1" hidden="1" outlineLevel="1" x14ac:dyDescent="0.2"/>
    <row r="215" spans="1:1" hidden="1" outlineLevel="1" x14ac:dyDescent="0.2"/>
    <row r="216" spans="1:1" hidden="1" outlineLevel="1" x14ac:dyDescent="0.2"/>
    <row r="217" spans="1:1" hidden="1" outlineLevel="1" x14ac:dyDescent="0.2"/>
    <row r="218" spans="1:1" hidden="1" outlineLevel="1" x14ac:dyDescent="0.2"/>
    <row r="219" spans="1:1" hidden="1" outlineLevel="1" x14ac:dyDescent="0.2"/>
    <row r="220" spans="1:1" hidden="1" outlineLevel="1" x14ac:dyDescent="0.2"/>
    <row r="221" spans="1:1" hidden="1" outlineLevel="1" x14ac:dyDescent="0.2"/>
    <row r="222" spans="1:1" hidden="1" outlineLevel="1" x14ac:dyDescent="0.2"/>
    <row r="223" spans="1:1" hidden="1" outlineLevel="1" x14ac:dyDescent="0.2"/>
    <row r="224" spans="1:1" hidden="1" outlineLevel="1" x14ac:dyDescent="0.2"/>
    <row r="225" spans="1:1" hidden="1" outlineLevel="1" x14ac:dyDescent="0.2"/>
    <row r="226" spans="1:1" hidden="1" outlineLevel="1" x14ac:dyDescent="0.2"/>
    <row r="227" spans="1:1" hidden="1" outlineLevel="1" x14ac:dyDescent="0.2"/>
    <row r="228" spans="1:1" hidden="1" outlineLevel="1" x14ac:dyDescent="0.2"/>
    <row r="229" spans="1:1" hidden="1" outlineLevel="1" x14ac:dyDescent="0.2"/>
    <row r="230" spans="1:1" hidden="1" outlineLevel="1" x14ac:dyDescent="0.2"/>
    <row r="231" spans="1:1" hidden="1" outlineLevel="1" x14ac:dyDescent="0.2"/>
    <row r="232" spans="1:1" hidden="1" outlineLevel="1" x14ac:dyDescent="0.2"/>
    <row r="233" spans="1:1" hidden="1" outlineLevel="1" x14ac:dyDescent="0.2">
      <c r="A233" s="148" t="s">
        <v>691</v>
      </c>
    </row>
    <row r="234" spans="1:1" hidden="1" outlineLevel="1" x14ac:dyDescent="0.2"/>
    <row r="235" spans="1:1" hidden="1" outlineLevel="1" x14ac:dyDescent="0.2"/>
    <row r="236" spans="1:1" hidden="1" outlineLevel="1" x14ac:dyDescent="0.2"/>
    <row r="237" spans="1:1" hidden="1" outlineLevel="1" x14ac:dyDescent="0.2"/>
    <row r="238" spans="1:1" hidden="1" outlineLevel="1" x14ac:dyDescent="0.2"/>
    <row r="239" spans="1:1" hidden="1" outlineLevel="1" x14ac:dyDescent="0.2"/>
    <row r="240" spans="1:1" hidden="1" outlineLevel="1" x14ac:dyDescent="0.2"/>
    <row r="241" spans="1:1" hidden="1" outlineLevel="1" x14ac:dyDescent="0.2"/>
    <row r="242" spans="1:1" hidden="1" outlineLevel="1" x14ac:dyDescent="0.2"/>
    <row r="243" spans="1:1" hidden="1" outlineLevel="1" x14ac:dyDescent="0.2"/>
    <row r="244" spans="1:1" hidden="1" outlineLevel="1" x14ac:dyDescent="0.2"/>
    <row r="245" spans="1:1" hidden="1" outlineLevel="1" x14ac:dyDescent="0.2"/>
    <row r="246" spans="1:1" hidden="1" outlineLevel="1" x14ac:dyDescent="0.2"/>
    <row r="247" spans="1:1" hidden="1" outlineLevel="1" x14ac:dyDescent="0.2"/>
    <row r="248" spans="1:1" hidden="1" outlineLevel="1" x14ac:dyDescent="0.2"/>
    <row r="249" spans="1:1" hidden="1" outlineLevel="1" x14ac:dyDescent="0.2"/>
    <row r="250" spans="1:1" hidden="1" outlineLevel="1" x14ac:dyDescent="0.2"/>
    <row r="251" spans="1:1" hidden="1" outlineLevel="1" x14ac:dyDescent="0.2"/>
    <row r="252" spans="1:1" hidden="1" outlineLevel="1" x14ac:dyDescent="0.2"/>
    <row r="253" spans="1:1" hidden="1" outlineLevel="1" x14ac:dyDescent="0.2"/>
    <row r="254" spans="1:1" hidden="1" outlineLevel="1" x14ac:dyDescent="0.2"/>
    <row r="255" spans="1:1" hidden="1" outlineLevel="1" x14ac:dyDescent="0.2">
      <c r="A255" s="148" t="s">
        <v>704</v>
      </c>
    </row>
    <row r="256" spans="1:1" hidden="1" outlineLevel="1" x14ac:dyDescent="0.2"/>
    <row r="257" hidden="1" outlineLevel="1" x14ac:dyDescent="0.2"/>
    <row r="258" hidden="1" outlineLevel="1" x14ac:dyDescent="0.2"/>
    <row r="259" hidden="1" outlineLevel="1" x14ac:dyDescent="0.2"/>
    <row r="260" hidden="1" outlineLevel="1" x14ac:dyDescent="0.2"/>
    <row r="261" hidden="1" outlineLevel="1" x14ac:dyDescent="0.2"/>
    <row r="262" hidden="1" outlineLevel="1" x14ac:dyDescent="0.2"/>
    <row r="263" hidden="1" outlineLevel="1" x14ac:dyDescent="0.2"/>
    <row r="264" hidden="1" outlineLevel="1" x14ac:dyDescent="0.2"/>
    <row r="265" hidden="1" outlineLevel="1" x14ac:dyDescent="0.2"/>
    <row r="266" hidden="1" outlineLevel="1" x14ac:dyDescent="0.2"/>
    <row r="267" hidden="1" outlineLevel="1" x14ac:dyDescent="0.2"/>
    <row r="268" hidden="1" outlineLevel="1" x14ac:dyDescent="0.2"/>
    <row r="269" hidden="1" outlineLevel="1" x14ac:dyDescent="0.2"/>
    <row r="270" hidden="1" outlineLevel="1" x14ac:dyDescent="0.2"/>
    <row r="271" hidden="1" outlineLevel="1" x14ac:dyDescent="0.2"/>
    <row r="272" hidden="1" outlineLevel="1" x14ac:dyDescent="0.2"/>
    <row r="273" spans="1:1" hidden="1" outlineLevel="1" x14ac:dyDescent="0.2"/>
    <row r="274" spans="1:1" hidden="1" outlineLevel="1" x14ac:dyDescent="0.2"/>
    <row r="275" spans="1:1" hidden="1" outlineLevel="1" x14ac:dyDescent="0.2"/>
    <row r="276" spans="1:1" hidden="1" outlineLevel="1" x14ac:dyDescent="0.2"/>
    <row r="277" spans="1:1" collapsed="1" x14ac:dyDescent="0.2">
      <c r="A277" s="139"/>
    </row>
    <row r="280" spans="1:1" x14ac:dyDescent="0.2">
      <c r="A280" s="117" t="s">
        <v>659</v>
      </c>
    </row>
  </sheetData>
  <dataValidations count="1">
    <dataValidation type="decimal" allowBlank="1" showInputMessage="1" showErrorMessage="1" error="Please enter a confidence level between 0 and 1." sqref="I10" xr:uid="{00000000-0002-0000-1500-000000000000}">
      <formula1>0</formula1>
      <formula2>1</formula2>
    </dataValidation>
  </dataValidations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U57"/>
  <sheetViews>
    <sheetView showGridLines="0" showRowColHeaders="0" topLeftCell="A32" zoomScaleNormal="100" workbookViewId="0">
      <pane xSplit="1" topLeftCell="B1" activePane="topRight" state="frozenSplit"/>
      <selection activeCell="E20" sqref="E20"/>
      <selection pane="topRight" activeCell="E20" sqref="E20"/>
    </sheetView>
  </sheetViews>
  <sheetFormatPr defaultRowHeight="11.25" outlineLevelRow="1" x14ac:dyDescent="0.2"/>
  <cols>
    <col min="1" max="1" width="32.5703125" style="137" bestFit="1" customWidth="1"/>
    <col min="2" max="7" width="19.28515625" style="137" customWidth="1"/>
    <col min="8" max="16384" width="9.140625" style="137"/>
  </cols>
  <sheetData>
    <row r="1" spans="1:21" x14ac:dyDescent="0.2">
      <c r="A1" s="152" t="s">
        <v>767</v>
      </c>
      <c r="M1" s="156" t="s">
        <v>660</v>
      </c>
      <c r="N1" s="156" t="s">
        <v>661</v>
      </c>
      <c r="U1" s="156"/>
    </row>
    <row r="2" spans="1:21" x14ac:dyDescent="0.2">
      <c r="B2" s="156" t="s">
        <v>780</v>
      </c>
      <c r="C2" s="156" t="s">
        <v>804</v>
      </c>
      <c r="D2" s="156" t="s">
        <v>828</v>
      </c>
      <c r="E2" s="156" t="s">
        <v>857</v>
      </c>
      <c r="F2" s="156" t="s">
        <v>876</v>
      </c>
    </row>
    <row r="3" spans="1:21" x14ac:dyDescent="0.2">
      <c r="A3" s="154" t="s">
        <v>768</v>
      </c>
      <c r="B3" s="153" t="s">
        <v>747</v>
      </c>
      <c r="C3" s="153" t="s">
        <v>794</v>
      </c>
      <c r="D3" s="153" t="s">
        <v>816</v>
      </c>
      <c r="E3" s="153" t="s">
        <v>835</v>
      </c>
      <c r="F3" s="153" t="s">
        <v>866</v>
      </c>
    </row>
    <row r="4" spans="1:21" x14ac:dyDescent="0.2">
      <c r="A4" s="155" t="s">
        <v>769</v>
      </c>
      <c r="B4" s="157">
        <v>43398.668298611112</v>
      </c>
      <c r="C4" s="157">
        <v>43398.671898148146</v>
      </c>
      <c r="D4" s="157">
        <v>43398.677430555559</v>
      </c>
      <c r="E4" s="157">
        <v>43398.682812500003</v>
      </c>
      <c r="F4" s="157">
        <v>43398.697002314817</v>
      </c>
    </row>
    <row r="5" spans="1:21" x14ac:dyDescent="0.2">
      <c r="A5" s="155" t="s">
        <v>628</v>
      </c>
      <c r="B5" s="158">
        <v>136</v>
      </c>
      <c r="C5" s="158">
        <v>136</v>
      </c>
      <c r="D5" s="158">
        <v>136</v>
      </c>
      <c r="E5" s="158">
        <v>136</v>
      </c>
      <c r="F5" s="158">
        <v>126</v>
      </c>
    </row>
    <row r="6" spans="1:21" x14ac:dyDescent="0.2">
      <c r="A6" s="155" t="s">
        <v>483</v>
      </c>
      <c r="B6" s="137">
        <v>13834.988011764701</v>
      </c>
      <c r="C6" s="137">
        <v>13834.988011764701</v>
      </c>
      <c r="D6" s="137">
        <v>13834.988011764701</v>
      </c>
      <c r="E6" s="137">
        <v>13834.988011764701</v>
      </c>
      <c r="F6" s="137">
        <v>4054.6972571428601</v>
      </c>
    </row>
    <row r="7" spans="1:21" x14ac:dyDescent="0.2">
      <c r="A7" s="155" t="s">
        <v>770</v>
      </c>
      <c r="B7" s="137">
        <v>67743.179756151963</v>
      </c>
      <c r="C7" s="137">
        <v>67743.179756151963</v>
      </c>
      <c r="D7" s="137">
        <v>67743.179756151963</v>
      </c>
      <c r="E7" s="137">
        <v>67743.179756151963</v>
      </c>
      <c r="F7" s="137">
        <v>4466.7908433297034</v>
      </c>
    </row>
    <row r="8" spans="1:21" x14ac:dyDescent="0.2">
      <c r="A8" s="155" t="s">
        <v>771</v>
      </c>
      <c r="B8" s="158">
        <v>6</v>
      </c>
      <c r="C8" s="163">
        <v>7</v>
      </c>
      <c r="D8" s="163">
        <v>4</v>
      </c>
      <c r="E8" s="163">
        <v>3</v>
      </c>
      <c r="F8" s="163">
        <v>3</v>
      </c>
      <c r="G8" s="160"/>
      <c r="H8" s="160"/>
    </row>
    <row r="9" spans="1:21" x14ac:dyDescent="0.2">
      <c r="A9" s="155" t="s">
        <v>772</v>
      </c>
      <c r="B9" s="161">
        <v>67036.453295685234</v>
      </c>
      <c r="C9" s="161">
        <v>10304.535714315063</v>
      </c>
      <c r="D9" s="161">
        <v>7870.3200566690266</v>
      </c>
      <c r="E9" s="161">
        <v>7884.3367408729364</v>
      </c>
      <c r="F9" s="161">
        <v>2252.1567654029786</v>
      </c>
      <c r="G9" s="160"/>
      <c r="H9" s="160"/>
    </row>
    <row r="10" spans="1:21" x14ac:dyDescent="0.2">
      <c r="A10" s="155" t="s">
        <v>773</v>
      </c>
      <c r="B10" s="137">
        <v>6.4277992266442263E-2</v>
      </c>
      <c r="C10" s="160">
        <v>0.978061753952151</v>
      </c>
      <c r="D10" s="160">
        <v>0.98690241700413484</v>
      </c>
      <c r="E10" s="160">
        <v>0.98675538506292571</v>
      </c>
      <c r="F10" s="160">
        <v>0.75188340219990002</v>
      </c>
      <c r="G10" s="160"/>
      <c r="H10" s="160"/>
    </row>
    <row r="11" spans="1:21" x14ac:dyDescent="0.2">
      <c r="A11" s="155" t="s">
        <v>774</v>
      </c>
      <c r="B11" s="161">
        <v>2.0756038418369815E-2</v>
      </c>
      <c r="C11" s="161">
        <v>0.97686200612140917</v>
      </c>
      <c r="D11" s="161">
        <v>0.98650249080578778</v>
      </c>
      <c r="E11" s="161">
        <v>0.98645437108708312</v>
      </c>
      <c r="F11" s="161">
        <v>0.7457821743851436</v>
      </c>
      <c r="G11" s="160"/>
      <c r="H11" s="160"/>
    </row>
    <row r="12" spans="1:21" outlineLevel="1" x14ac:dyDescent="0.2">
      <c r="A12" s="155" t="s">
        <v>775</v>
      </c>
      <c r="B12" s="150">
        <v>21715.068330609749</v>
      </c>
      <c r="C12" s="164">
        <v>3508.9051512036021</v>
      </c>
      <c r="D12" s="164">
        <v>2903.6887924584803</v>
      </c>
      <c r="E12" s="164">
        <v>2966.9318888024745</v>
      </c>
      <c r="F12" s="164">
        <v>1514.4742340179002</v>
      </c>
      <c r="G12" s="160"/>
      <c r="H12" s="160"/>
    </row>
    <row r="13" spans="1:21" outlineLevel="1" x14ac:dyDescent="0.2">
      <c r="A13" s="155" t="s">
        <v>776</v>
      </c>
      <c r="B13" s="159">
        <v>12.658234349302036</v>
      </c>
      <c r="C13" s="165">
        <v>1.2187998204846424</v>
      </c>
      <c r="D13" s="165">
        <v>0.94912691896956003</v>
      </c>
      <c r="E13" s="165">
        <v>0.87273718842314063</v>
      </c>
      <c r="F13" s="165">
        <v>1.0549976865173205</v>
      </c>
      <c r="G13" s="160"/>
      <c r="H13" s="160"/>
    </row>
    <row r="14" spans="1:21" outlineLevel="1" x14ac:dyDescent="0.2">
      <c r="A14" s="155" t="s">
        <v>777</v>
      </c>
      <c r="B14" s="137">
        <v>17.604239874810933</v>
      </c>
      <c r="C14" s="160">
        <v>18.076905749797859</v>
      </c>
      <c r="D14" s="160">
        <v>308.98639795745902</v>
      </c>
      <c r="E14" s="160">
        <v>305.92194484478819</v>
      </c>
      <c r="F14" s="160">
        <v>30.417662598604863</v>
      </c>
      <c r="G14" s="160"/>
      <c r="H14" s="160"/>
    </row>
    <row r="15" spans="1:21" outlineLevel="1" x14ac:dyDescent="0.2">
      <c r="A15" s="155" t="s">
        <v>778</v>
      </c>
      <c r="B15" s="137" t="s">
        <v>781</v>
      </c>
      <c r="C15" s="160" t="s">
        <v>781</v>
      </c>
      <c r="D15" s="160" t="s">
        <v>781</v>
      </c>
      <c r="E15" s="160" t="s">
        <v>781</v>
      </c>
      <c r="F15" s="160" t="s">
        <v>781</v>
      </c>
      <c r="G15" s="160"/>
      <c r="H15" s="160"/>
    </row>
    <row r="16" spans="1:21" outlineLevel="1" x14ac:dyDescent="0.2">
      <c r="A16" s="155" t="s">
        <v>783</v>
      </c>
      <c r="B16" s="137" t="s">
        <v>782</v>
      </c>
      <c r="C16" s="160"/>
      <c r="D16" s="160"/>
      <c r="E16" s="160" t="s">
        <v>858</v>
      </c>
      <c r="F16" s="160"/>
      <c r="G16" s="160"/>
      <c r="H16" s="160"/>
    </row>
    <row r="17" spans="1:8" outlineLevel="1" x14ac:dyDescent="0.2">
      <c r="A17" s="155" t="s">
        <v>785</v>
      </c>
      <c r="B17" s="137" t="s">
        <v>784</v>
      </c>
      <c r="C17" s="160"/>
      <c r="D17" s="160"/>
      <c r="E17" s="160" t="s">
        <v>859</v>
      </c>
      <c r="F17" s="160"/>
      <c r="G17" s="160"/>
      <c r="H17" s="160"/>
    </row>
    <row r="19" spans="1:8" outlineLevel="1" x14ac:dyDescent="0.2">
      <c r="A19" s="155" t="s">
        <v>779</v>
      </c>
      <c r="B19" s="137" t="s">
        <v>747</v>
      </c>
      <c r="C19" s="160" t="s">
        <v>794</v>
      </c>
      <c r="D19" s="160" t="s">
        <v>816</v>
      </c>
      <c r="E19" s="160" t="s">
        <v>835</v>
      </c>
      <c r="F19" s="160" t="s">
        <v>866</v>
      </c>
      <c r="G19" s="160"/>
      <c r="H19" s="160"/>
    </row>
    <row r="20" spans="1:8" outlineLevel="1" x14ac:dyDescent="0.2">
      <c r="A20" s="155" t="s">
        <v>638</v>
      </c>
      <c r="B20" s="161" t="s">
        <v>786</v>
      </c>
      <c r="C20" s="161" t="s">
        <v>805</v>
      </c>
      <c r="D20" s="161" t="s">
        <v>829</v>
      </c>
      <c r="E20" s="161" t="s">
        <v>860</v>
      </c>
      <c r="F20" s="161" t="s">
        <v>877</v>
      </c>
      <c r="G20" s="160"/>
      <c r="H20" s="160"/>
    </row>
    <row r="21" spans="1:8" outlineLevel="1" x14ac:dyDescent="0.2">
      <c r="A21" s="155" t="s">
        <v>639</v>
      </c>
      <c r="B21" s="161" t="s">
        <v>787</v>
      </c>
      <c r="C21" s="161" t="s">
        <v>806</v>
      </c>
      <c r="D21" s="166"/>
      <c r="E21" s="166"/>
      <c r="F21" s="166"/>
      <c r="G21" s="160"/>
      <c r="H21" s="160"/>
    </row>
    <row r="22" spans="1:8" outlineLevel="1" x14ac:dyDescent="0.2">
      <c r="A22" s="155" t="s">
        <v>640</v>
      </c>
      <c r="B22" s="161" t="s">
        <v>788</v>
      </c>
      <c r="C22" s="161" t="s">
        <v>807</v>
      </c>
      <c r="D22" s="166"/>
      <c r="E22" s="166"/>
      <c r="F22" s="166"/>
      <c r="G22" s="160"/>
      <c r="H22" s="160"/>
    </row>
    <row r="23" spans="1:8" outlineLevel="1" x14ac:dyDescent="0.2">
      <c r="A23" s="155" t="s">
        <v>641</v>
      </c>
      <c r="B23" s="161" t="s">
        <v>789</v>
      </c>
      <c r="C23" s="161" t="s">
        <v>808</v>
      </c>
      <c r="D23" s="166"/>
      <c r="E23" s="166"/>
      <c r="F23" s="166"/>
      <c r="G23" s="160"/>
      <c r="H23" s="160"/>
    </row>
    <row r="24" spans="1:8" outlineLevel="1" x14ac:dyDescent="0.2">
      <c r="A24" s="155" t="s">
        <v>642</v>
      </c>
      <c r="B24" s="161" t="s">
        <v>790</v>
      </c>
      <c r="C24" s="161" t="s">
        <v>809</v>
      </c>
      <c r="D24" s="166"/>
      <c r="E24" s="166"/>
      <c r="F24" s="166"/>
      <c r="G24" s="160"/>
      <c r="H24" s="160"/>
    </row>
    <row r="25" spans="1:8" outlineLevel="1" x14ac:dyDescent="0.2">
      <c r="A25" s="155" t="s">
        <v>513</v>
      </c>
      <c r="B25" s="161"/>
      <c r="C25" s="167" t="s">
        <v>810</v>
      </c>
      <c r="D25" s="166"/>
      <c r="E25" s="166"/>
      <c r="F25" s="166"/>
      <c r="G25" s="160"/>
      <c r="H25" s="160"/>
    </row>
    <row r="26" spans="1:8" outlineLevel="1" x14ac:dyDescent="0.2">
      <c r="A26" s="155" t="s">
        <v>643</v>
      </c>
      <c r="B26" s="161" t="s">
        <v>791</v>
      </c>
      <c r="C26" s="167" t="s">
        <v>811</v>
      </c>
      <c r="D26" s="161" t="s">
        <v>830</v>
      </c>
      <c r="E26" s="166"/>
      <c r="F26" s="166"/>
      <c r="G26" s="160"/>
      <c r="H26" s="160"/>
    </row>
    <row r="27" spans="1:8" outlineLevel="1" x14ac:dyDescent="0.2">
      <c r="A27" s="155" t="s">
        <v>644</v>
      </c>
      <c r="B27" s="161" t="s">
        <v>792</v>
      </c>
      <c r="C27" s="167" t="s">
        <v>812</v>
      </c>
      <c r="D27" s="166"/>
      <c r="E27" s="166"/>
      <c r="F27" s="166"/>
      <c r="G27" s="160"/>
      <c r="H27" s="160"/>
    </row>
    <row r="28" spans="1:8" outlineLevel="1" x14ac:dyDescent="0.2">
      <c r="A28" s="155" t="s">
        <v>822</v>
      </c>
      <c r="B28" s="161"/>
      <c r="C28" s="167"/>
      <c r="D28" s="167" t="s">
        <v>831</v>
      </c>
      <c r="E28" s="161" t="s">
        <v>861</v>
      </c>
      <c r="F28" s="161" t="s">
        <v>878</v>
      </c>
      <c r="G28" s="160"/>
      <c r="H28" s="160"/>
    </row>
    <row r="29" spans="1:8" outlineLevel="1" x14ac:dyDescent="0.2">
      <c r="A29" s="155" t="s">
        <v>823</v>
      </c>
      <c r="B29" s="161"/>
      <c r="C29" s="167"/>
      <c r="D29" s="167" t="s">
        <v>832</v>
      </c>
      <c r="E29" s="161" t="s">
        <v>862</v>
      </c>
      <c r="F29" s="161" t="s">
        <v>879</v>
      </c>
      <c r="G29" s="160"/>
      <c r="H29" s="160"/>
    </row>
    <row r="30" spans="1:8" outlineLevel="1" x14ac:dyDescent="0.2">
      <c r="A30" s="155" t="s">
        <v>824</v>
      </c>
      <c r="B30" s="161"/>
      <c r="C30" s="167"/>
      <c r="D30" s="167" t="s">
        <v>833</v>
      </c>
      <c r="E30" s="161" t="s">
        <v>863</v>
      </c>
      <c r="F30" s="161" t="s">
        <v>880</v>
      </c>
      <c r="G30" s="160"/>
      <c r="H30" s="160"/>
    </row>
    <row r="31" spans="1:8" outlineLevel="1" x14ac:dyDescent="0.2"/>
    <row r="32" spans="1:8" x14ac:dyDescent="0.2">
      <c r="B32" s="156" t="s">
        <v>892</v>
      </c>
      <c r="C32" s="156" t="s">
        <v>904</v>
      </c>
      <c r="D32" s="156" t="s">
        <v>916</v>
      </c>
      <c r="E32" s="156" t="s">
        <v>926</v>
      </c>
      <c r="F32" s="156" t="s">
        <v>935</v>
      </c>
      <c r="G32" s="156" t="s">
        <v>943</v>
      </c>
    </row>
    <row r="33" spans="1:8" x14ac:dyDescent="0.2">
      <c r="A33" s="154" t="s">
        <v>891</v>
      </c>
      <c r="B33" s="153" t="s">
        <v>882</v>
      </c>
      <c r="C33" s="153" t="s">
        <v>903</v>
      </c>
      <c r="D33" s="153" t="s">
        <v>915</v>
      </c>
      <c r="E33" s="153" t="s">
        <v>925</v>
      </c>
      <c r="F33" s="153" t="s">
        <v>934</v>
      </c>
      <c r="G33" s="153" t="s">
        <v>942</v>
      </c>
      <c r="H33" s="160"/>
    </row>
    <row r="34" spans="1:8" x14ac:dyDescent="0.2">
      <c r="A34" s="155" t="s">
        <v>769</v>
      </c>
      <c r="B34" s="157">
        <v>43398.702789351853</v>
      </c>
      <c r="C34" s="168">
        <v>43403.436643518522</v>
      </c>
      <c r="D34" s="168">
        <v>43404.443576388891</v>
      </c>
      <c r="E34" s="168">
        <v>43404.45008101852</v>
      </c>
      <c r="F34" s="168">
        <v>43405.589247685188</v>
      </c>
      <c r="G34" s="168">
        <v>43405.615474537037</v>
      </c>
      <c r="H34" s="160"/>
    </row>
    <row r="35" spans="1:8" x14ac:dyDescent="0.2">
      <c r="A35" s="155" t="s">
        <v>628</v>
      </c>
      <c r="B35" s="158">
        <v>126</v>
      </c>
      <c r="C35" s="163">
        <v>121</v>
      </c>
      <c r="D35" s="163">
        <v>121</v>
      </c>
      <c r="E35" s="163">
        <v>121</v>
      </c>
      <c r="F35" s="163">
        <v>121</v>
      </c>
      <c r="G35" s="163">
        <v>121</v>
      </c>
      <c r="H35" s="160"/>
    </row>
    <row r="36" spans="1:8" x14ac:dyDescent="0.2">
      <c r="A36" s="155" t="s">
        <v>483</v>
      </c>
      <c r="B36" s="137">
        <v>5.7330458190430598</v>
      </c>
      <c r="C36" s="160">
        <v>7.3697784914532001</v>
      </c>
      <c r="D36" s="160">
        <v>7.3697784914532001</v>
      </c>
      <c r="E36" s="160">
        <v>7.3697784914532001</v>
      </c>
      <c r="F36" s="160">
        <v>7.3697784914532001</v>
      </c>
      <c r="G36" s="160">
        <v>7.3697784914532001</v>
      </c>
      <c r="H36" s="160"/>
    </row>
    <row r="37" spans="1:8" x14ac:dyDescent="0.2">
      <c r="A37" s="155" t="s">
        <v>770</v>
      </c>
      <c r="B37" s="137">
        <v>2.8969926568350455</v>
      </c>
      <c r="C37" s="160">
        <v>4.1573087710889229</v>
      </c>
      <c r="D37" s="160">
        <v>4.1573087710889229</v>
      </c>
      <c r="E37" s="160">
        <v>4.1573087710889229</v>
      </c>
      <c r="F37" s="160">
        <v>4.1573087710889229</v>
      </c>
      <c r="G37" s="160">
        <v>4.1573087710889229</v>
      </c>
      <c r="H37" s="160"/>
    </row>
    <row r="38" spans="1:8" x14ac:dyDescent="0.2">
      <c r="A38" s="155" t="s">
        <v>771</v>
      </c>
      <c r="B38" s="158">
        <v>6</v>
      </c>
      <c r="C38" s="163">
        <v>6</v>
      </c>
      <c r="D38" s="163">
        <v>4</v>
      </c>
      <c r="E38" s="163">
        <v>4</v>
      </c>
      <c r="F38" s="163">
        <v>5</v>
      </c>
      <c r="G38" s="163">
        <v>3</v>
      </c>
      <c r="H38" s="160"/>
    </row>
    <row r="39" spans="1:8" x14ac:dyDescent="0.2">
      <c r="A39" s="155" t="s">
        <v>772</v>
      </c>
      <c r="B39" s="161">
        <v>2.6484238818595718</v>
      </c>
      <c r="C39" s="161">
        <v>3.2033772564996736</v>
      </c>
      <c r="D39" s="161">
        <v>3.2846470264669834</v>
      </c>
      <c r="E39" s="161">
        <v>3.2128905828675016</v>
      </c>
      <c r="F39" s="161">
        <v>3.1903772300650362</v>
      </c>
      <c r="G39" s="161">
        <v>3.2846043378799714</v>
      </c>
      <c r="H39" s="160"/>
    </row>
    <row r="40" spans="1:8" x14ac:dyDescent="0.2">
      <c r="A40" s="155" t="s">
        <v>773</v>
      </c>
      <c r="B40" s="137">
        <v>0.20435900746054159</v>
      </c>
      <c r="C40" s="160">
        <v>0.43595309854215425</v>
      </c>
      <c r="D40" s="160">
        <v>0.3965662551531941</v>
      </c>
      <c r="E40" s="160">
        <v>0.42264351100710362</v>
      </c>
      <c r="F40" s="160">
        <v>0.43561416497588168</v>
      </c>
      <c r="G40" s="160">
        <v>0.39138006015633564</v>
      </c>
      <c r="H40" s="160"/>
    </row>
    <row r="41" spans="1:8" x14ac:dyDescent="0.2">
      <c r="A41" s="155" t="s">
        <v>774</v>
      </c>
      <c r="B41" s="161">
        <v>0.16424265489552703</v>
      </c>
      <c r="C41" s="161">
        <v>0.40626641951805698</v>
      </c>
      <c r="D41" s="161">
        <v>0.375758194986063</v>
      </c>
      <c r="E41" s="161">
        <v>0.40273466655907253</v>
      </c>
      <c r="F41" s="161">
        <v>0.41107565040961558</v>
      </c>
      <c r="G41" s="161">
        <v>0.3757744206731648</v>
      </c>
      <c r="H41" s="160"/>
    </row>
    <row r="42" spans="1:8" outlineLevel="1" x14ac:dyDescent="0.2">
      <c r="A42" s="155" t="s">
        <v>775</v>
      </c>
      <c r="B42" s="132">
        <v>2.0389491573973602</v>
      </c>
      <c r="C42" s="166">
        <v>2.439570136138919</v>
      </c>
      <c r="D42" s="166">
        <v>2.5406686554812943</v>
      </c>
      <c r="E42" s="166">
        <v>2.510852262808728</v>
      </c>
      <c r="F42" s="166">
        <v>2.4417328834164032</v>
      </c>
      <c r="G42" s="166">
        <v>2.5557530586927779</v>
      </c>
      <c r="H42" s="160"/>
    </row>
    <row r="43" spans="1:8" outlineLevel="1" x14ac:dyDescent="0.2">
      <c r="A43" s="155" t="s">
        <v>776</v>
      </c>
      <c r="B43" s="159">
        <v>0.50539372226855039</v>
      </c>
      <c r="C43" s="165">
        <v>0.45384857827938119</v>
      </c>
      <c r="D43" s="165">
        <v>0.47114281519617712</v>
      </c>
      <c r="E43" s="165">
        <v>0.4665516709349562</v>
      </c>
      <c r="F43" s="165">
        <v>0.45527533179584173</v>
      </c>
      <c r="G43" s="165">
        <v>0.4738051395317544</v>
      </c>
      <c r="H43" s="160"/>
    </row>
    <row r="44" spans="1:8" outlineLevel="1" x14ac:dyDescent="0.2">
      <c r="A44" s="155" t="s">
        <v>777</v>
      </c>
      <c r="B44" s="137">
        <v>17.439028577053019</v>
      </c>
      <c r="C44" s="160">
        <v>17.667907979409094</v>
      </c>
      <c r="D44" s="160">
        <v>1.7810130169402494</v>
      </c>
      <c r="E44" s="160">
        <v>5.6984315756608668</v>
      </c>
      <c r="F44" s="160">
        <v>7.0670703685144964</v>
      </c>
      <c r="G44" s="160">
        <v>1.1057320850824774</v>
      </c>
      <c r="H44" s="160"/>
    </row>
    <row r="45" spans="1:8" outlineLevel="1" x14ac:dyDescent="0.2">
      <c r="A45" s="155" t="s">
        <v>778</v>
      </c>
      <c r="B45" s="137" t="s">
        <v>893</v>
      </c>
      <c r="C45" s="160" t="s">
        <v>905</v>
      </c>
      <c r="D45" s="160" t="s">
        <v>917</v>
      </c>
      <c r="E45" s="160" t="s">
        <v>917</v>
      </c>
      <c r="F45" s="160" t="s">
        <v>905</v>
      </c>
      <c r="G45" s="160" t="s">
        <v>781</v>
      </c>
      <c r="H45" s="160"/>
    </row>
    <row r="46" spans="1:8" outlineLevel="1" x14ac:dyDescent="0.2">
      <c r="A46" s="155" t="s">
        <v>783</v>
      </c>
      <c r="B46" s="160"/>
      <c r="C46" s="137" t="s">
        <v>906</v>
      </c>
      <c r="D46" s="160" t="s">
        <v>918</v>
      </c>
      <c r="E46" s="160" t="s">
        <v>927</v>
      </c>
      <c r="F46" s="160" t="s">
        <v>906</v>
      </c>
      <c r="G46" s="160" t="s">
        <v>944</v>
      </c>
      <c r="H46" s="160"/>
    </row>
    <row r="47" spans="1:8" outlineLevel="1" x14ac:dyDescent="0.2">
      <c r="A47" s="155" t="s">
        <v>785</v>
      </c>
      <c r="B47" s="160"/>
      <c r="C47" s="137" t="s">
        <v>907</v>
      </c>
      <c r="D47" s="160" t="s">
        <v>919</v>
      </c>
      <c r="E47" s="160" t="s">
        <v>928</v>
      </c>
      <c r="F47" s="160" t="s">
        <v>907</v>
      </c>
      <c r="G47" s="160" t="s">
        <v>945</v>
      </c>
      <c r="H47" s="160"/>
    </row>
    <row r="49" spans="1:8" outlineLevel="1" x14ac:dyDescent="0.2">
      <c r="A49" s="155" t="s">
        <v>779</v>
      </c>
      <c r="B49" s="137" t="s">
        <v>882</v>
      </c>
      <c r="C49" s="160" t="s">
        <v>903</v>
      </c>
      <c r="D49" s="160" t="s">
        <v>915</v>
      </c>
      <c r="E49" s="160" t="s">
        <v>925</v>
      </c>
      <c r="F49" s="160" t="s">
        <v>934</v>
      </c>
      <c r="G49" s="160" t="s">
        <v>942</v>
      </c>
      <c r="H49" s="160"/>
    </row>
    <row r="50" spans="1:8" outlineLevel="1" x14ac:dyDescent="0.2">
      <c r="A50" s="155" t="s">
        <v>638</v>
      </c>
      <c r="B50" s="161" t="s">
        <v>894</v>
      </c>
      <c r="C50" s="161" t="s">
        <v>908</v>
      </c>
      <c r="D50" s="161" t="s">
        <v>920</v>
      </c>
      <c r="E50" s="161" t="s">
        <v>929</v>
      </c>
      <c r="F50" s="161" t="s">
        <v>936</v>
      </c>
      <c r="G50" s="161" t="s">
        <v>946</v>
      </c>
      <c r="H50" s="160"/>
    </row>
    <row r="51" spans="1:8" outlineLevel="1" x14ac:dyDescent="0.2">
      <c r="A51" s="155" t="s">
        <v>639</v>
      </c>
      <c r="B51" s="161" t="s">
        <v>895</v>
      </c>
      <c r="C51" s="161" t="s">
        <v>909</v>
      </c>
      <c r="D51" s="161" t="s">
        <v>921</v>
      </c>
      <c r="E51" s="161" t="s">
        <v>930</v>
      </c>
      <c r="F51" s="161" t="s">
        <v>937</v>
      </c>
      <c r="G51" s="161" t="s">
        <v>947</v>
      </c>
      <c r="H51" s="160"/>
    </row>
    <row r="52" spans="1:8" outlineLevel="1" x14ac:dyDescent="0.2">
      <c r="A52" s="155" t="s">
        <v>640</v>
      </c>
      <c r="B52" s="161" t="s">
        <v>896</v>
      </c>
      <c r="C52" s="161" t="s">
        <v>910</v>
      </c>
      <c r="D52" s="161" t="s">
        <v>922</v>
      </c>
      <c r="E52" s="161" t="s">
        <v>931</v>
      </c>
      <c r="F52" s="161" t="s">
        <v>938</v>
      </c>
      <c r="G52" s="161" t="s">
        <v>948</v>
      </c>
      <c r="H52" s="160"/>
    </row>
    <row r="53" spans="1:8" outlineLevel="1" x14ac:dyDescent="0.2">
      <c r="A53" s="155" t="s">
        <v>641</v>
      </c>
      <c r="B53" s="161" t="s">
        <v>897</v>
      </c>
      <c r="C53" s="161" t="s">
        <v>911</v>
      </c>
      <c r="D53" s="166"/>
      <c r="E53" s="166"/>
      <c r="F53" s="166"/>
      <c r="G53" s="166"/>
      <c r="H53" s="160"/>
    </row>
    <row r="54" spans="1:8" outlineLevel="1" x14ac:dyDescent="0.2">
      <c r="A54" s="155" t="s">
        <v>642</v>
      </c>
      <c r="B54" s="161" t="s">
        <v>898</v>
      </c>
      <c r="C54" s="161" t="s">
        <v>912</v>
      </c>
      <c r="D54" s="161" t="s">
        <v>923</v>
      </c>
      <c r="E54" s="166"/>
      <c r="F54" s="161" t="s">
        <v>939</v>
      </c>
      <c r="G54" s="166"/>
      <c r="H54" s="160"/>
    </row>
    <row r="55" spans="1:8" outlineLevel="1" x14ac:dyDescent="0.2">
      <c r="A55" s="155" t="s">
        <v>643</v>
      </c>
      <c r="B55" s="161" t="s">
        <v>899</v>
      </c>
      <c r="C55" s="161" t="s">
        <v>913</v>
      </c>
      <c r="D55" s="161" t="s">
        <v>924</v>
      </c>
      <c r="E55" s="161" t="s">
        <v>932</v>
      </c>
      <c r="F55" s="161" t="s">
        <v>940</v>
      </c>
      <c r="G55" s="161" t="s">
        <v>949</v>
      </c>
      <c r="H55" s="160"/>
    </row>
    <row r="56" spans="1:8" outlineLevel="1" x14ac:dyDescent="0.2">
      <c r="A56" s="155" t="s">
        <v>644</v>
      </c>
      <c r="B56" s="161" t="s">
        <v>900</v>
      </c>
      <c r="C56" s="161" t="s">
        <v>914</v>
      </c>
      <c r="D56" s="160"/>
      <c r="E56" s="161" t="s">
        <v>933</v>
      </c>
      <c r="F56" s="161" t="s">
        <v>941</v>
      </c>
      <c r="G56" s="160"/>
      <c r="H56" s="160"/>
    </row>
    <row r="57" spans="1:8" outlineLevel="1" x14ac:dyDescent="0.2"/>
  </sheetData>
  <sortState xmlns:xlrd2="http://schemas.microsoft.com/office/spreadsheetml/2017/richdata2" ref="A50:U57">
    <sortCondition ref="A1"/>
  </sortState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M153"/>
  <sheetViews>
    <sheetView workbookViewId="0">
      <selection activeCell="E20" sqref="E20"/>
    </sheetView>
  </sheetViews>
  <sheetFormatPr defaultRowHeight="12.75" x14ac:dyDescent="0.2"/>
  <cols>
    <col min="1" max="9" width="16" customWidth="1"/>
  </cols>
  <sheetData>
    <row r="1" spans="1:9" x14ac:dyDescent="0.2">
      <c r="A1" t="s">
        <v>515</v>
      </c>
    </row>
    <row r="2" spans="1:9" ht="13.5" thickBot="1" x14ac:dyDescent="0.25"/>
    <row r="3" spans="1:9" x14ac:dyDescent="0.2">
      <c r="A3" s="101" t="s">
        <v>516</v>
      </c>
      <c r="B3" s="101"/>
    </row>
    <row r="4" spans="1:9" x14ac:dyDescent="0.2">
      <c r="A4" s="98" t="s">
        <v>517</v>
      </c>
      <c r="B4" s="98">
        <v>0.46375002758038197</v>
      </c>
    </row>
    <row r="5" spans="1:9" x14ac:dyDescent="0.2">
      <c r="A5" s="98" t="s">
        <v>518</v>
      </c>
      <c r="B5" s="98">
        <v>0.21506408808080502</v>
      </c>
    </row>
    <row r="6" spans="1:9" x14ac:dyDescent="0.2">
      <c r="A6" s="98" t="s">
        <v>519</v>
      </c>
      <c r="B6" s="98">
        <v>0.17338607505854686</v>
      </c>
    </row>
    <row r="7" spans="1:9" x14ac:dyDescent="0.2">
      <c r="A7" s="98" t="s">
        <v>520</v>
      </c>
      <c r="B7" s="98">
        <v>2.5914231801111538</v>
      </c>
    </row>
    <row r="8" spans="1:9" ht="13.5" thickBot="1" x14ac:dyDescent="0.25">
      <c r="A8" s="99" t="s">
        <v>521</v>
      </c>
      <c r="B8" s="99">
        <v>120</v>
      </c>
    </row>
    <row r="10" spans="1:9" ht="13.5" thickBot="1" x14ac:dyDescent="0.25">
      <c r="A10" t="s">
        <v>522</v>
      </c>
    </row>
    <row r="11" spans="1:9" x14ac:dyDescent="0.2">
      <c r="A11" s="100"/>
      <c r="B11" s="100" t="s">
        <v>527</v>
      </c>
      <c r="C11" s="100" t="s">
        <v>528</v>
      </c>
      <c r="D11" s="100" t="s">
        <v>529</v>
      </c>
      <c r="E11" s="100" t="s">
        <v>530</v>
      </c>
      <c r="F11" s="100" t="s">
        <v>531</v>
      </c>
    </row>
    <row r="12" spans="1:9" x14ac:dyDescent="0.2">
      <c r="A12" s="98" t="s">
        <v>523</v>
      </c>
      <c r="B12" s="98">
        <v>6</v>
      </c>
      <c r="C12" s="98">
        <v>207.91643482165523</v>
      </c>
      <c r="D12" s="98">
        <v>34.652739136942536</v>
      </c>
      <c r="E12" s="98">
        <v>5.1601329450602664</v>
      </c>
      <c r="F12" s="98">
        <v>1.0092703035545265E-4</v>
      </c>
    </row>
    <row r="13" spans="1:9" x14ac:dyDescent="0.2">
      <c r="A13" s="98" t="s">
        <v>524</v>
      </c>
      <c r="B13" s="98">
        <v>113</v>
      </c>
      <c r="C13" s="98">
        <v>758.84857312116674</v>
      </c>
      <c r="D13" s="98">
        <v>6.7154740984174044</v>
      </c>
      <c r="E13" s="98"/>
      <c r="F13" s="98"/>
    </row>
    <row r="14" spans="1:9" ht="13.5" thickBot="1" x14ac:dyDescent="0.25">
      <c r="A14" s="99" t="s">
        <v>525</v>
      </c>
      <c r="B14" s="99">
        <v>119</v>
      </c>
      <c r="C14" s="99">
        <v>966.76500794282197</v>
      </c>
      <c r="D14" s="99"/>
      <c r="E14" s="99"/>
      <c r="F14" s="99"/>
    </row>
    <row r="15" spans="1:9" ht="13.5" thickBot="1" x14ac:dyDescent="0.25"/>
    <row r="16" spans="1:9" x14ac:dyDescent="0.2">
      <c r="A16" s="100"/>
      <c r="B16" s="100" t="s">
        <v>532</v>
      </c>
      <c r="C16" s="100" t="s">
        <v>520</v>
      </c>
      <c r="D16" s="100" t="s">
        <v>533</v>
      </c>
      <c r="E16" s="100" t="s">
        <v>534</v>
      </c>
      <c r="F16" s="100" t="s">
        <v>535</v>
      </c>
      <c r="G16" s="100" t="s">
        <v>536</v>
      </c>
      <c r="H16" s="100" t="s">
        <v>537</v>
      </c>
      <c r="I16" s="100" t="s">
        <v>538</v>
      </c>
    </row>
    <row r="17" spans="1:13" x14ac:dyDescent="0.2">
      <c r="A17" s="98" t="s">
        <v>526</v>
      </c>
      <c r="B17" s="98">
        <v>-0.63437551872042941</v>
      </c>
      <c r="C17" s="98">
        <v>1.5956006033999708</v>
      </c>
      <c r="D17" s="98">
        <v>-0.39757788845697112</v>
      </c>
      <c r="E17" s="98">
        <v>0.69169139842352378</v>
      </c>
      <c r="F17" s="98">
        <v>-3.7955480956466356</v>
      </c>
      <c r="G17" s="98">
        <v>2.5267970582057764</v>
      </c>
      <c r="H17" s="98">
        <v>-3.7955480956466356</v>
      </c>
      <c r="I17" s="98">
        <v>2.5267970582057764</v>
      </c>
    </row>
    <row r="18" spans="1:13" x14ac:dyDescent="0.2">
      <c r="A18" s="98" t="s">
        <v>464</v>
      </c>
      <c r="B18" s="111">
        <v>5.6926608266561347</v>
      </c>
      <c r="C18" s="98">
        <v>1.2592160218065331</v>
      </c>
      <c r="D18" s="98">
        <v>4.5207976455772565</v>
      </c>
      <c r="E18" s="111">
        <v>1.5265906032747512E-5</v>
      </c>
      <c r="F18" s="98">
        <v>3.1979267759927663</v>
      </c>
      <c r="G18" s="98">
        <v>8.1873948773195035</v>
      </c>
      <c r="H18" s="98">
        <v>3.1979267759927663</v>
      </c>
      <c r="I18" s="98">
        <v>8.1873948773195035</v>
      </c>
    </row>
    <row r="19" spans="1:13" x14ac:dyDescent="0.2">
      <c r="A19" s="98" t="s">
        <v>507</v>
      </c>
      <c r="B19" s="111">
        <v>9.2337734514896574</v>
      </c>
      <c r="C19" s="98">
        <v>2.9702240748348845</v>
      </c>
      <c r="D19" s="98">
        <v>3.1087800848839882</v>
      </c>
      <c r="E19" s="111">
        <v>2.3772880662471531E-3</v>
      </c>
      <c r="F19" s="98">
        <v>3.3492238513661983</v>
      </c>
      <c r="G19" s="98">
        <v>15.118323051613118</v>
      </c>
      <c r="H19" s="98">
        <v>3.3492238513661983</v>
      </c>
      <c r="I19" s="98">
        <v>15.118323051613118</v>
      </c>
    </row>
    <row r="20" spans="1:13" x14ac:dyDescent="0.2">
      <c r="A20" s="98" t="s">
        <v>508</v>
      </c>
      <c r="B20" s="98">
        <v>-5.1302225212744208</v>
      </c>
      <c r="C20" s="98">
        <v>3.4806021957118873</v>
      </c>
      <c r="D20" s="98">
        <v>-1.473946815178957</v>
      </c>
      <c r="E20" s="98">
        <v>0.14327633275682519</v>
      </c>
      <c r="F20" s="98">
        <v>-12.02592323035436</v>
      </c>
      <c r="G20" s="98">
        <v>1.7654781878055186</v>
      </c>
      <c r="H20" s="98">
        <v>-12.02592323035436</v>
      </c>
      <c r="I20" s="98">
        <v>1.7654781878055186</v>
      </c>
    </row>
    <row r="21" spans="1:13" x14ac:dyDescent="0.2">
      <c r="A21" s="98" t="s">
        <v>509</v>
      </c>
      <c r="B21" s="98">
        <v>-1.2140370437437435</v>
      </c>
      <c r="C21" s="98">
        <v>3.1006755310105039</v>
      </c>
      <c r="D21" s="98">
        <v>-0.39153953117696627</v>
      </c>
      <c r="E21" s="98">
        <v>0.69613583862623396</v>
      </c>
      <c r="F21" s="98">
        <v>-7.3570345066993816</v>
      </c>
      <c r="G21" s="98">
        <v>4.9289604192118954</v>
      </c>
      <c r="H21" s="98">
        <v>-7.3570345066993816</v>
      </c>
      <c r="I21" s="98">
        <v>4.9289604192118954</v>
      </c>
    </row>
    <row r="22" spans="1:13" x14ac:dyDescent="0.2">
      <c r="A22" s="98" t="s">
        <v>511</v>
      </c>
      <c r="B22" s="98">
        <v>0.23948840480167169</v>
      </c>
      <c r="C22" s="98">
        <v>4.1646877721660385</v>
      </c>
      <c r="D22" s="98">
        <v>5.7504528047036443E-2</v>
      </c>
      <c r="E22" s="98">
        <v>0.9542448614696688</v>
      </c>
      <c r="F22" s="98">
        <v>-8.0115092125080896</v>
      </c>
      <c r="G22" s="98">
        <v>8.4904860221114316</v>
      </c>
      <c r="H22" s="98">
        <v>-8.0115092125080896</v>
      </c>
      <c r="I22" s="98">
        <v>8.4904860221114316</v>
      </c>
    </row>
    <row r="23" spans="1:13" ht="13.5" thickBot="1" x14ac:dyDescent="0.25">
      <c r="A23" s="99" t="s">
        <v>512</v>
      </c>
      <c r="B23" s="99">
        <v>-2.5458414176497008</v>
      </c>
      <c r="C23" s="99">
        <v>3.5558665395504474</v>
      </c>
      <c r="D23" s="99">
        <v>-0.71595527822356364</v>
      </c>
      <c r="E23" s="99">
        <v>0.47549588268068621</v>
      </c>
      <c r="F23" s="99">
        <v>-9.5906543665068273</v>
      </c>
      <c r="G23" s="99">
        <v>4.4989715312074257</v>
      </c>
      <c r="H23" s="99">
        <v>-9.5906543665068273</v>
      </c>
      <c r="I23" s="99">
        <v>4.4989715312074257</v>
      </c>
    </row>
    <row r="25" spans="1:13" x14ac:dyDescent="0.2">
      <c r="A25" s="103" t="s">
        <v>417</v>
      </c>
      <c r="B25" s="97"/>
      <c r="C25" s="97"/>
      <c r="D25" s="97"/>
      <c r="E25" s="97"/>
      <c r="F25" s="97"/>
      <c r="G25" s="97"/>
      <c r="H25" s="97"/>
      <c r="I25" s="97"/>
      <c r="J25" s="97"/>
      <c r="K25" s="97"/>
    </row>
    <row r="26" spans="1:13" ht="38.25" x14ac:dyDescent="0.2">
      <c r="A26" s="104" t="s">
        <v>543</v>
      </c>
      <c r="B26" s="104" t="s">
        <v>544</v>
      </c>
      <c r="C26" s="104" t="s">
        <v>545</v>
      </c>
      <c r="D26" s="112" t="s">
        <v>508</v>
      </c>
      <c r="E26" s="112" t="s">
        <v>509</v>
      </c>
      <c r="F26" s="104" t="s">
        <v>511</v>
      </c>
      <c r="G26" s="104" t="s">
        <v>546</v>
      </c>
      <c r="H26" s="104" t="s">
        <v>547</v>
      </c>
      <c r="I26" s="104" t="s">
        <v>548</v>
      </c>
      <c r="J26" s="104" t="s">
        <v>549</v>
      </c>
      <c r="K26" s="104" t="s">
        <v>550</v>
      </c>
      <c r="L26" s="104" t="s">
        <v>551</v>
      </c>
      <c r="M26" s="105" t="s">
        <v>552</v>
      </c>
    </row>
    <row r="27" spans="1:13" x14ac:dyDescent="0.2">
      <c r="A27" s="97">
        <v>130.10118946520222</v>
      </c>
      <c r="B27" s="106">
        <v>0.95186293134429523</v>
      </c>
      <c r="C27" s="106">
        <v>0.67130058594359487</v>
      </c>
      <c r="D27" s="106">
        <v>0.57708077788152901</v>
      </c>
      <c r="E27" s="106">
        <v>0.98189943482007602</v>
      </c>
      <c r="F27" s="106">
        <v>1.1489536082332299</v>
      </c>
      <c r="G27" s="107">
        <f>B18*B27+B19*C27</f>
        <v>11.617270350065166</v>
      </c>
      <c r="H27" s="108">
        <f>TINV(0.05,B13)</f>
        <v>1.9811803594146622</v>
      </c>
      <c r="I27" s="108">
        <f>B7*1.1</f>
        <v>2.8505654981222692</v>
      </c>
      <c r="J27" s="108">
        <f>H27*I27</f>
        <v>5.6474843781049131</v>
      </c>
      <c r="K27" s="110">
        <f>G27-J27</f>
        <v>5.9697859719602526</v>
      </c>
      <c r="L27" s="110">
        <f>G27+J27</f>
        <v>17.264754728170079</v>
      </c>
      <c r="M27" s="97">
        <f>L27-K27</f>
        <v>11.294968756209826</v>
      </c>
    </row>
    <row r="31" spans="1:13" x14ac:dyDescent="0.2">
      <c r="A31" t="s">
        <v>539</v>
      </c>
    </row>
    <row r="32" spans="1:13" ht="13.5" thickBot="1" x14ac:dyDescent="0.25"/>
    <row r="33" spans="1:3" x14ac:dyDescent="0.2">
      <c r="A33" s="100" t="s">
        <v>540</v>
      </c>
      <c r="B33" s="100" t="s">
        <v>541</v>
      </c>
      <c r="C33" s="100" t="s">
        <v>542</v>
      </c>
    </row>
    <row r="34" spans="1:3" x14ac:dyDescent="0.2">
      <c r="A34" s="98">
        <v>1</v>
      </c>
      <c r="B34" s="98">
        <v>6.831336748277252</v>
      </c>
      <c r="C34" s="98">
        <v>-6.2548555241674704</v>
      </c>
    </row>
    <row r="35" spans="1:3" x14ac:dyDescent="0.2">
      <c r="A35" s="98">
        <v>2</v>
      </c>
      <c r="B35" s="98">
        <v>5.4741213688361228</v>
      </c>
      <c r="C35" s="98">
        <v>2.3388292571974238</v>
      </c>
    </row>
    <row r="36" spans="1:3" x14ac:dyDescent="0.2">
      <c r="A36" s="98">
        <v>3</v>
      </c>
      <c r="B36" s="98">
        <v>4.2149817996501646</v>
      </c>
      <c r="C36" s="98">
        <v>5.8975533948614753</v>
      </c>
    </row>
    <row r="37" spans="1:3" x14ac:dyDescent="0.2">
      <c r="A37" s="98">
        <v>4</v>
      </c>
      <c r="B37" s="98">
        <v>4.1656997720974651</v>
      </c>
      <c r="C37" s="98">
        <v>-0.79423438884828101</v>
      </c>
    </row>
    <row r="38" spans="1:3" x14ac:dyDescent="0.2">
      <c r="A38" s="98">
        <v>5</v>
      </c>
      <c r="B38" s="98">
        <v>7.0412352623512264</v>
      </c>
      <c r="C38" s="98">
        <v>5.2255515441580043</v>
      </c>
    </row>
    <row r="39" spans="1:3" x14ac:dyDescent="0.2">
      <c r="A39" s="98">
        <v>6</v>
      </c>
      <c r="B39" s="98">
        <v>5.637885463090953</v>
      </c>
      <c r="C39" s="98">
        <v>-3.9580528639720103</v>
      </c>
    </row>
    <row r="40" spans="1:3" x14ac:dyDescent="0.2">
      <c r="A40" s="98">
        <v>7</v>
      </c>
      <c r="B40" s="98">
        <v>3.2843803239666127</v>
      </c>
      <c r="C40" s="98">
        <v>-2.7240927737658094</v>
      </c>
    </row>
    <row r="41" spans="1:3" x14ac:dyDescent="0.2">
      <c r="A41" s="98">
        <v>8</v>
      </c>
      <c r="B41" s="98">
        <v>5.271063988370198</v>
      </c>
      <c r="C41" s="98">
        <v>0.53116812609721009</v>
      </c>
    </row>
    <row r="42" spans="1:3" x14ac:dyDescent="0.2">
      <c r="A42" s="98">
        <v>9</v>
      </c>
      <c r="B42" s="98">
        <v>5.5855528715550085</v>
      </c>
      <c r="C42" s="98">
        <v>2.5741057462100985</v>
      </c>
    </row>
    <row r="43" spans="1:3" x14ac:dyDescent="0.2">
      <c r="A43" s="98">
        <v>10</v>
      </c>
      <c r="B43" s="98">
        <v>5.4671383741151462</v>
      </c>
      <c r="C43" s="98">
        <v>0.98521427982600329</v>
      </c>
    </row>
    <row r="44" spans="1:3" x14ac:dyDescent="0.2">
      <c r="A44" s="98">
        <v>11</v>
      </c>
      <c r="B44" s="98">
        <v>9.625549506716542</v>
      </c>
      <c r="C44" s="98">
        <v>3.1384565596767633</v>
      </c>
    </row>
    <row r="45" spans="1:3" x14ac:dyDescent="0.2">
      <c r="A45" s="98">
        <v>12</v>
      </c>
      <c r="B45" s="98">
        <v>6.8646200725212756</v>
      </c>
      <c r="C45" s="98">
        <v>3.2822477673191335</v>
      </c>
    </row>
    <row r="46" spans="1:3" x14ac:dyDescent="0.2">
      <c r="A46" s="98">
        <v>13</v>
      </c>
      <c r="B46" s="98">
        <v>5.7395366134855221</v>
      </c>
      <c r="C46" s="98">
        <v>1.3298781570661093</v>
      </c>
    </row>
    <row r="47" spans="1:3" x14ac:dyDescent="0.2">
      <c r="A47" s="98">
        <v>14</v>
      </c>
      <c r="B47" s="98">
        <v>3.4690548421810687</v>
      </c>
      <c r="C47" s="98">
        <v>-2.4575889885225322</v>
      </c>
    </row>
    <row r="48" spans="1:3" x14ac:dyDescent="0.2">
      <c r="A48" s="98">
        <v>15</v>
      </c>
      <c r="B48" s="98">
        <v>6.0380041797036359</v>
      </c>
      <c r="C48" s="98">
        <v>-2.3795780828963302</v>
      </c>
    </row>
    <row r="49" spans="1:3" x14ac:dyDescent="0.2">
      <c r="A49" s="98">
        <v>16</v>
      </c>
      <c r="B49" s="98">
        <v>7.1934921010749848</v>
      </c>
      <c r="C49" s="98">
        <v>-0.81948115812833233</v>
      </c>
    </row>
    <row r="50" spans="1:3" x14ac:dyDescent="0.2">
      <c r="A50" s="98">
        <v>17</v>
      </c>
      <c r="B50" s="98">
        <v>5.5852384389740486</v>
      </c>
      <c r="C50" s="98">
        <v>0.51483743809965254</v>
      </c>
    </row>
    <row r="51" spans="1:3" x14ac:dyDescent="0.2">
      <c r="A51" s="98">
        <v>18</v>
      </c>
      <c r="B51" s="98">
        <v>5.4674001827196363</v>
      </c>
      <c r="C51" s="98">
        <v>-1.5451235704430242</v>
      </c>
    </row>
    <row r="52" spans="1:3" x14ac:dyDescent="0.2">
      <c r="A52" s="98">
        <v>19</v>
      </c>
      <c r="B52" s="98">
        <v>8.750899694111256</v>
      </c>
      <c r="C52" s="98">
        <v>1.3174686691530368</v>
      </c>
    </row>
    <row r="53" spans="1:3" x14ac:dyDescent="0.2">
      <c r="A53" s="98">
        <v>20</v>
      </c>
      <c r="B53" s="98">
        <v>4.4973445237899385</v>
      </c>
      <c r="C53" s="98">
        <v>-0.74997183327263528</v>
      </c>
    </row>
    <row r="54" spans="1:3" x14ac:dyDescent="0.2">
      <c r="A54" s="98">
        <v>21</v>
      </c>
      <c r="B54" s="98">
        <v>4.3664998923891947</v>
      </c>
      <c r="C54" s="98">
        <v>1.5066445496804812</v>
      </c>
    </row>
    <row r="55" spans="1:3" x14ac:dyDescent="0.2">
      <c r="A55" s="98">
        <v>22</v>
      </c>
      <c r="B55" s="98">
        <v>5.2755493651705478</v>
      </c>
      <c r="C55" s="98">
        <v>4.0038318480593027E-2</v>
      </c>
    </row>
    <row r="56" spans="1:3" x14ac:dyDescent="0.2">
      <c r="A56" s="98">
        <v>23</v>
      </c>
      <c r="B56" s="98">
        <v>4.8104526533721677</v>
      </c>
      <c r="C56" s="98">
        <v>-0.71837238416158478</v>
      </c>
    </row>
    <row r="57" spans="1:3" x14ac:dyDescent="0.2">
      <c r="A57" s="98">
        <v>24</v>
      </c>
      <c r="B57" s="98">
        <v>7.1939137646912359</v>
      </c>
      <c r="C57" s="98">
        <v>-5.1103392838455957</v>
      </c>
    </row>
    <row r="58" spans="1:3" x14ac:dyDescent="0.2">
      <c r="A58" s="98">
        <v>25</v>
      </c>
      <c r="B58" s="98">
        <v>4.8660975215083733</v>
      </c>
      <c r="C58" s="98">
        <v>-3.6201481001624667</v>
      </c>
    </row>
    <row r="59" spans="1:3" x14ac:dyDescent="0.2">
      <c r="A59" s="98">
        <v>26</v>
      </c>
      <c r="B59" s="98">
        <v>5.0715226751320595</v>
      </c>
      <c r="C59" s="98">
        <v>-0.50675379987742364</v>
      </c>
    </row>
    <row r="60" spans="1:3" x14ac:dyDescent="0.2">
      <c r="A60" s="98">
        <v>27</v>
      </c>
      <c r="B60" s="98">
        <v>6.0484656613897281</v>
      </c>
      <c r="C60" s="98">
        <v>-1.6762996699245054</v>
      </c>
    </row>
    <row r="61" spans="1:3" x14ac:dyDescent="0.2">
      <c r="A61" s="98">
        <v>28</v>
      </c>
      <c r="B61" s="98">
        <v>3.5323004869229546</v>
      </c>
      <c r="C61" s="98">
        <v>4.9915842669786059</v>
      </c>
    </row>
    <row r="62" spans="1:3" x14ac:dyDescent="0.2">
      <c r="A62" s="98">
        <v>29</v>
      </c>
      <c r="B62" s="98">
        <v>5.4134123386227557</v>
      </c>
      <c r="C62" s="98">
        <v>0.39479786844741316</v>
      </c>
    </row>
    <row r="63" spans="1:3" x14ac:dyDescent="0.2">
      <c r="A63" s="98">
        <v>30</v>
      </c>
      <c r="B63" s="98">
        <v>9.0930038896035477</v>
      </c>
      <c r="C63" s="98">
        <v>-1.8319635303372115</v>
      </c>
    </row>
    <row r="64" spans="1:3" x14ac:dyDescent="0.2">
      <c r="A64" s="98">
        <v>31</v>
      </c>
      <c r="B64" s="98">
        <v>5.9644442429738129</v>
      </c>
      <c r="C64" s="98">
        <v>-2.0989507281095201</v>
      </c>
    </row>
    <row r="65" spans="1:3" x14ac:dyDescent="0.2">
      <c r="A65" s="98">
        <v>32</v>
      </c>
      <c r="B65" s="98">
        <v>4.8662329483203681</v>
      </c>
      <c r="C65" s="98">
        <v>-3.6855327153799746</v>
      </c>
    </row>
    <row r="66" spans="1:3" x14ac:dyDescent="0.2">
      <c r="A66" s="98">
        <v>33</v>
      </c>
      <c r="B66" s="98">
        <v>4.185906024943896</v>
      </c>
      <c r="C66" s="98">
        <v>-1.1875586923672783</v>
      </c>
    </row>
    <row r="67" spans="1:3" x14ac:dyDescent="0.2">
      <c r="A67" s="98">
        <v>34</v>
      </c>
      <c r="B67" s="98">
        <v>6.106805662603227</v>
      </c>
      <c r="C67" s="98">
        <v>2.5166892082393382</v>
      </c>
    </row>
    <row r="68" spans="1:3" x14ac:dyDescent="0.2">
      <c r="A68" s="98">
        <v>35</v>
      </c>
      <c r="B68" s="98">
        <v>5.6516354006623315</v>
      </c>
      <c r="C68" s="98">
        <v>-0.11294961379601975</v>
      </c>
    </row>
    <row r="69" spans="1:3" x14ac:dyDescent="0.2">
      <c r="A69" s="98">
        <v>36</v>
      </c>
      <c r="B69" s="98">
        <v>6.1373015655432122</v>
      </c>
      <c r="C69" s="98">
        <v>2.4706132449296296</v>
      </c>
    </row>
    <row r="70" spans="1:3" x14ac:dyDescent="0.2">
      <c r="A70" s="98">
        <v>37</v>
      </c>
      <c r="B70" s="98">
        <v>6.4783214239950375</v>
      </c>
      <c r="C70" s="98">
        <v>1.9294183064415531</v>
      </c>
    </row>
    <row r="71" spans="1:3" x14ac:dyDescent="0.2">
      <c r="A71" s="98">
        <v>38</v>
      </c>
      <c r="B71" s="98">
        <v>3.7153173316846333</v>
      </c>
      <c r="C71" s="98">
        <v>-1.4496460609664013</v>
      </c>
    </row>
    <row r="72" spans="1:3" x14ac:dyDescent="0.2">
      <c r="A72" s="98">
        <v>39</v>
      </c>
      <c r="B72" s="98">
        <v>5.7739512450529471</v>
      </c>
      <c r="C72" s="98">
        <v>-3.6720425440725548</v>
      </c>
    </row>
    <row r="73" spans="1:3" x14ac:dyDescent="0.2">
      <c r="A73" s="98">
        <v>40</v>
      </c>
      <c r="B73" s="98">
        <v>6.3497434116467488</v>
      </c>
      <c r="C73" s="98">
        <v>0.18556473257045081</v>
      </c>
    </row>
    <row r="74" spans="1:3" x14ac:dyDescent="0.2">
      <c r="A74" s="98">
        <v>41</v>
      </c>
      <c r="B74" s="98">
        <v>7.1070053627717176</v>
      </c>
      <c r="C74" s="98">
        <v>-0.26225205498187965</v>
      </c>
    </row>
    <row r="75" spans="1:3" x14ac:dyDescent="0.2">
      <c r="A75" s="98">
        <v>42</v>
      </c>
      <c r="B75" s="98">
        <v>5.3386859665584474</v>
      </c>
      <c r="C75" s="98">
        <v>8.6753103312958935E-2</v>
      </c>
    </row>
    <row r="76" spans="1:3" x14ac:dyDescent="0.2">
      <c r="A76" s="98">
        <v>43</v>
      </c>
      <c r="B76" s="98">
        <v>5.9379124598901178</v>
      </c>
      <c r="C76" s="98">
        <v>6.3124579411362447</v>
      </c>
    </row>
    <row r="77" spans="1:3" x14ac:dyDescent="0.2">
      <c r="A77" s="98">
        <v>44</v>
      </c>
      <c r="B77" s="98">
        <v>3.7617266744691245</v>
      </c>
      <c r="C77" s="98">
        <v>-0.62769344083668877</v>
      </c>
    </row>
    <row r="78" spans="1:3" x14ac:dyDescent="0.2">
      <c r="A78" s="98">
        <v>45</v>
      </c>
      <c r="B78" s="98">
        <v>5.8903334157735987</v>
      </c>
      <c r="C78" s="98">
        <v>2.0194190884855097</v>
      </c>
    </row>
    <row r="79" spans="1:3" x14ac:dyDescent="0.2">
      <c r="A79" s="98">
        <v>46</v>
      </c>
      <c r="B79" s="98">
        <v>5.0014162326358784</v>
      </c>
      <c r="C79" s="98">
        <v>-1.9347506211669554</v>
      </c>
    </row>
    <row r="80" spans="1:3" x14ac:dyDescent="0.2">
      <c r="A80" s="98">
        <v>47</v>
      </c>
      <c r="B80" s="98">
        <v>3.44241738645345</v>
      </c>
      <c r="C80" s="98">
        <v>0.65718451729176897</v>
      </c>
    </row>
    <row r="81" spans="1:3" x14ac:dyDescent="0.2">
      <c r="A81" s="98">
        <v>48</v>
      </c>
      <c r="B81" s="98">
        <v>7.2468203073919613</v>
      </c>
      <c r="C81" s="98">
        <v>-1.5078812337132117</v>
      </c>
    </row>
    <row r="82" spans="1:3" x14ac:dyDescent="0.2">
      <c r="A82" s="98">
        <v>49</v>
      </c>
      <c r="B82" s="98">
        <v>7.1939118145853183</v>
      </c>
      <c r="C82" s="98">
        <v>1.8612832463871793</v>
      </c>
    </row>
    <row r="83" spans="1:3" x14ac:dyDescent="0.2">
      <c r="A83" s="98">
        <v>50</v>
      </c>
      <c r="B83" s="98">
        <v>6.8039023371462006</v>
      </c>
      <c r="C83" s="98">
        <v>2.1325412115260525</v>
      </c>
    </row>
    <row r="84" spans="1:3" x14ac:dyDescent="0.2">
      <c r="A84" s="98">
        <v>51</v>
      </c>
      <c r="B84" s="98">
        <v>4.6170978674126104</v>
      </c>
      <c r="C84" s="98">
        <v>0.4623272710935673</v>
      </c>
    </row>
    <row r="85" spans="1:3" x14ac:dyDescent="0.2">
      <c r="A85" s="98">
        <v>52</v>
      </c>
      <c r="B85" s="98">
        <v>6.8170238487729762</v>
      </c>
      <c r="C85" s="98">
        <v>-3.3102873218268689</v>
      </c>
    </row>
    <row r="86" spans="1:3" x14ac:dyDescent="0.2">
      <c r="A86" s="98">
        <v>53</v>
      </c>
      <c r="B86" s="98">
        <v>5.3461271534007029</v>
      </c>
      <c r="C86" s="98">
        <v>-1.8041092354196304</v>
      </c>
    </row>
    <row r="87" spans="1:3" x14ac:dyDescent="0.2">
      <c r="A87" s="98">
        <v>54</v>
      </c>
      <c r="B87" s="98">
        <v>4.4663747940201608</v>
      </c>
      <c r="C87" s="98">
        <v>-0.27618261898243723</v>
      </c>
    </row>
    <row r="88" spans="1:3" x14ac:dyDescent="0.2">
      <c r="A88" s="98">
        <v>55</v>
      </c>
      <c r="B88" s="98">
        <v>5.1432437625344996</v>
      </c>
      <c r="C88" s="98">
        <v>2.8582898309492517</v>
      </c>
    </row>
    <row r="89" spans="1:3" x14ac:dyDescent="0.2">
      <c r="A89" s="98">
        <v>56</v>
      </c>
      <c r="B89" s="98">
        <v>5.5262207033811288</v>
      </c>
      <c r="C89" s="98">
        <v>-1.4464019426659691</v>
      </c>
    </row>
    <row r="90" spans="1:3" x14ac:dyDescent="0.2">
      <c r="A90" s="98">
        <v>57</v>
      </c>
      <c r="B90" s="98">
        <v>8.2754461173909508</v>
      </c>
      <c r="C90" s="98">
        <v>-4.3337847251902719</v>
      </c>
    </row>
    <row r="91" spans="1:3" x14ac:dyDescent="0.2">
      <c r="A91" s="98">
        <v>58</v>
      </c>
      <c r="B91" s="98">
        <v>4.3597303148294158</v>
      </c>
      <c r="C91" s="98">
        <v>3.3890941530955674</v>
      </c>
    </row>
    <row r="92" spans="1:3" x14ac:dyDescent="0.2">
      <c r="A92" s="98">
        <v>59</v>
      </c>
      <c r="B92" s="98">
        <v>5.8485041595949179</v>
      </c>
      <c r="C92" s="98">
        <v>-1.6704521866063766</v>
      </c>
    </row>
    <row r="93" spans="1:3" x14ac:dyDescent="0.2">
      <c r="A93" s="98">
        <v>60</v>
      </c>
      <c r="B93" s="98">
        <v>6.5058823202392944</v>
      </c>
      <c r="C93" s="98">
        <v>-3.3697639115787279</v>
      </c>
    </row>
    <row r="94" spans="1:3" x14ac:dyDescent="0.2">
      <c r="A94" s="98">
        <v>61</v>
      </c>
      <c r="B94" s="98">
        <v>6.3428695621889739</v>
      </c>
      <c r="C94" s="98">
        <v>-1.0158718165901135</v>
      </c>
    </row>
    <row r="95" spans="1:3" x14ac:dyDescent="0.2">
      <c r="A95" s="98">
        <v>62</v>
      </c>
      <c r="B95" s="98">
        <v>3.9091025550084417</v>
      </c>
      <c r="C95" s="98">
        <v>-0.99709135366428026</v>
      </c>
    </row>
    <row r="96" spans="1:3" x14ac:dyDescent="0.2">
      <c r="A96" s="98">
        <v>63</v>
      </c>
      <c r="B96" s="98">
        <v>6.9939915109406527</v>
      </c>
      <c r="C96" s="98">
        <v>1.9297281672619917</v>
      </c>
    </row>
    <row r="97" spans="1:3" x14ac:dyDescent="0.2">
      <c r="A97" s="98">
        <v>64</v>
      </c>
      <c r="B97" s="98">
        <v>8.3866298533258732</v>
      </c>
      <c r="C97" s="98">
        <v>2.1494558935709733</v>
      </c>
    </row>
    <row r="98" spans="1:3" x14ac:dyDescent="0.2">
      <c r="A98" s="98">
        <v>65</v>
      </c>
      <c r="B98" s="98">
        <v>5.6258938026952103</v>
      </c>
      <c r="C98" s="98">
        <v>-0.93444070558255188</v>
      </c>
    </row>
    <row r="99" spans="1:3" x14ac:dyDescent="0.2">
      <c r="A99" s="98">
        <v>66</v>
      </c>
      <c r="B99" s="98">
        <v>5.6611288334120307</v>
      </c>
      <c r="C99" s="98">
        <v>-3.6629867707224451</v>
      </c>
    </row>
    <row r="100" spans="1:3" x14ac:dyDescent="0.2">
      <c r="A100" s="98">
        <v>67</v>
      </c>
      <c r="B100" s="98">
        <v>6.6943037555037712</v>
      </c>
      <c r="C100" s="98">
        <v>-1.4840529829179454</v>
      </c>
    </row>
    <row r="101" spans="1:3" x14ac:dyDescent="0.2">
      <c r="A101" s="98">
        <v>68</v>
      </c>
      <c r="B101" s="98">
        <v>4.5215558440028607</v>
      </c>
      <c r="C101" s="98">
        <v>1.8812545945091426</v>
      </c>
    </row>
    <row r="102" spans="1:3" x14ac:dyDescent="0.2">
      <c r="A102" s="98">
        <v>69</v>
      </c>
      <c r="B102" s="98">
        <v>6.0106268426918712</v>
      </c>
      <c r="C102" s="98">
        <v>2.3238025538754554</v>
      </c>
    </row>
    <row r="103" spans="1:3" x14ac:dyDescent="0.2">
      <c r="A103" s="98">
        <v>70</v>
      </c>
      <c r="B103" s="98">
        <v>6.8092259683502956</v>
      </c>
      <c r="C103" s="98">
        <v>3.3570505004281266</v>
      </c>
    </row>
    <row r="104" spans="1:3" x14ac:dyDescent="0.2">
      <c r="A104" s="98">
        <v>71</v>
      </c>
      <c r="B104" s="98">
        <v>5.5344313828947689</v>
      </c>
      <c r="C104" s="98">
        <v>3.6756671102543015</v>
      </c>
    </row>
    <row r="105" spans="1:3" x14ac:dyDescent="0.2">
      <c r="A105" s="98">
        <v>72</v>
      </c>
      <c r="B105" s="98">
        <v>6.4725019997150257</v>
      </c>
      <c r="C105" s="98">
        <v>6.0960000684157096</v>
      </c>
    </row>
    <row r="106" spans="1:3" x14ac:dyDescent="0.2">
      <c r="A106" s="98">
        <v>73</v>
      </c>
      <c r="B106" s="98">
        <v>3.7143299473003162</v>
      </c>
      <c r="C106" s="98">
        <v>-1.6455574445403478</v>
      </c>
    </row>
    <row r="107" spans="1:3" x14ac:dyDescent="0.2">
      <c r="A107" s="98">
        <v>74</v>
      </c>
      <c r="B107" s="98">
        <v>5.5449793888961594</v>
      </c>
      <c r="C107" s="98">
        <v>2.7278453338930504</v>
      </c>
    </row>
    <row r="108" spans="1:3" x14ac:dyDescent="0.2">
      <c r="A108" s="98">
        <v>75</v>
      </c>
      <c r="B108" s="98">
        <v>7.1833375485487467</v>
      </c>
      <c r="C108" s="98">
        <v>1.3069822517619683</v>
      </c>
    </row>
    <row r="109" spans="1:3" x14ac:dyDescent="0.2">
      <c r="A109" s="98">
        <v>76</v>
      </c>
      <c r="B109" s="98">
        <v>5.4640634922369236</v>
      </c>
      <c r="C109" s="98">
        <v>-4.0643564883458732</v>
      </c>
    </row>
    <row r="110" spans="1:3" x14ac:dyDescent="0.2">
      <c r="A110" s="98">
        <v>77</v>
      </c>
      <c r="B110" s="98">
        <v>5.5881245338726027</v>
      </c>
      <c r="C110" s="98">
        <v>-2.5166792044656447</v>
      </c>
    </row>
    <row r="111" spans="1:3" x14ac:dyDescent="0.2">
      <c r="A111" s="98">
        <v>78</v>
      </c>
      <c r="B111" s="98">
        <v>5.9429221546398505</v>
      </c>
      <c r="C111" s="98">
        <v>-1.7983898480245202</v>
      </c>
    </row>
    <row r="112" spans="1:3" x14ac:dyDescent="0.2">
      <c r="A112" s="98">
        <v>79</v>
      </c>
      <c r="B112" s="98">
        <v>5.1390592665265062</v>
      </c>
      <c r="C112" s="98">
        <v>-0.70917212116950523</v>
      </c>
    </row>
    <row r="113" spans="1:3" x14ac:dyDescent="0.2">
      <c r="A113" s="98">
        <v>80</v>
      </c>
      <c r="B113" s="98">
        <v>7.323840526819299</v>
      </c>
      <c r="C113" s="98">
        <v>3.3996880308944988E-2</v>
      </c>
    </row>
    <row r="114" spans="1:3" x14ac:dyDescent="0.2">
      <c r="A114" s="98">
        <v>81</v>
      </c>
      <c r="B114" s="98">
        <v>4.7156611514033502</v>
      </c>
      <c r="C114" s="98">
        <v>3.2320709279211712E-2</v>
      </c>
    </row>
    <row r="115" spans="1:3" x14ac:dyDescent="0.2">
      <c r="A115" s="98">
        <v>82</v>
      </c>
      <c r="B115" s="98">
        <v>5.1481515982069403</v>
      </c>
      <c r="C115" s="98">
        <v>1.8641838850421895</v>
      </c>
    </row>
    <row r="116" spans="1:3" x14ac:dyDescent="0.2">
      <c r="A116" s="98">
        <v>83</v>
      </c>
      <c r="B116" s="98">
        <v>4.0212270351283843</v>
      </c>
      <c r="C116" s="98">
        <v>2.4836709106906332</v>
      </c>
    </row>
    <row r="117" spans="1:3" x14ac:dyDescent="0.2">
      <c r="A117" s="98">
        <v>84</v>
      </c>
      <c r="B117" s="98">
        <v>3.3059046287164486</v>
      </c>
      <c r="C117" s="98">
        <v>-1.2908277889628774</v>
      </c>
    </row>
    <row r="118" spans="1:3" x14ac:dyDescent="0.2">
      <c r="A118" s="98">
        <v>85</v>
      </c>
      <c r="B118" s="98">
        <v>6.7591938151910211</v>
      </c>
      <c r="C118" s="98">
        <v>-0.68364772109877237</v>
      </c>
    </row>
    <row r="119" spans="1:3" x14ac:dyDescent="0.2">
      <c r="A119" s="98">
        <v>86</v>
      </c>
      <c r="B119" s="98">
        <v>5.7518508495141445</v>
      </c>
      <c r="C119" s="98">
        <v>-0.9265577659061659</v>
      </c>
    </row>
    <row r="120" spans="1:3" x14ac:dyDescent="0.2">
      <c r="A120" s="98">
        <v>87</v>
      </c>
      <c r="B120" s="98">
        <v>6.8903743002108238</v>
      </c>
      <c r="C120" s="98">
        <v>4.4906348834839127</v>
      </c>
    </row>
    <row r="121" spans="1:3" x14ac:dyDescent="0.2">
      <c r="A121" s="98">
        <v>88</v>
      </c>
      <c r="B121" s="98">
        <v>5.8636992203175939</v>
      </c>
      <c r="C121" s="98">
        <v>3.9254759984221632</v>
      </c>
    </row>
    <row r="122" spans="1:3" x14ac:dyDescent="0.2">
      <c r="A122" s="98">
        <v>89</v>
      </c>
      <c r="B122" s="98">
        <v>5.851320292596613</v>
      </c>
      <c r="C122" s="98">
        <v>-2.5250796930004142</v>
      </c>
    </row>
    <row r="123" spans="1:3" x14ac:dyDescent="0.2">
      <c r="A123" s="98">
        <v>90</v>
      </c>
      <c r="B123" s="98">
        <v>3.9129420544543088</v>
      </c>
      <c r="C123" s="98">
        <v>-0.5728013940769503</v>
      </c>
    </row>
    <row r="124" spans="1:3" x14ac:dyDescent="0.2">
      <c r="A124" s="98">
        <v>91</v>
      </c>
      <c r="B124" s="98">
        <v>6.3802078459490215</v>
      </c>
      <c r="C124" s="98">
        <v>-0.92336029036928213</v>
      </c>
    </row>
    <row r="125" spans="1:3" x14ac:dyDescent="0.2">
      <c r="A125" s="98">
        <v>92</v>
      </c>
      <c r="B125" s="98">
        <v>4.6243645443739947</v>
      </c>
      <c r="C125" s="98">
        <v>1.5524056471861867</v>
      </c>
    </row>
    <row r="126" spans="1:3" x14ac:dyDescent="0.2">
      <c r="A126" s="98">
        <v>93</v>
      </c>
      <c r="B126" s="98">
        <v>6.3096336842761191</v>
      </c>
      <c r="C126" s="98">
        <v>-3.3544518977431022</v>
      </c>
    </row>
    <row r="127" spans="1:3" x14ac:dyDescent="0.2">
      <c r="A127" s="98">
        <v>94</v>
      </c>
      <c r="B127" s="98">
        <v>3.9373989095566428</v>
      </c>
      <c r="C127" s="98">
        <v>-0.73874440423205368</v>
      </c>
    </row>
    <row r="128" spans="1:3" x14ac:dyDescent="0.2">
      <c r="A128" s="98">
        <v>95</v>
      </c>
      <c r="B128" s="98">
        <v>8.240602561161813</v>
      </c>
      <c r="C128" s="98">
        <v>-1.5656512597539338</v>
      </c>
    </row>
    <row r="129" spans="1:3" x14ac:dyDescent="0.2">
      <c r="A129" s="98">
        <v>96</v>
      </c>
      <c r="B129" s="98">
        <v>6.2003340425884943</v>
      </c>
      <c r="C129" s="98">
        <v>1.0122113984638439</v>
      </c>
    </row>
    <row r="130" spans="1:3" x14ac:dyDescent="0.2">
      <c r="A130" s="98">
        <v>97</v>
      </c>
      <c r="B130" s="98">
        <v>7.1086912389692909</v>
      </c>
      <c r="C130" s="98">
        <v>0.1031733446566605</v>
      </c>
    </row>
    <row r="131" spans="1:3" x14ac:dyDescent="0.2">
      <c r="A131" s="98">
        <v>98</v>
      </c>
      <c r="B131" s="98">
        <v>6.6988259016627589</v>
      </c>
      <c r="C131" s="98">
        <v>1.15196160911868</v>
      </c>
    </row>
    <row r="132" spans="1:3" x14ac:dyDescent="0.2">
      <c r="A132" s="98">
        <v>99</v>
      </c>
      <c r="B132" s="98">
        <v>5.8879693322954374</v>
      </c>
      <c r="C132" s="98">
        <v>0.58569135300304787</v>
      </c>
    </row>
    <row r="133" spans="1:3" x14ac:dyDescent="0.2">
      <c r="A133" s="98">
        <v>100</v>
      </c>
      <c r="B133" s="98">
        <v>6.8124495321124927</v>
      </c>
      <c r="C133" s="98">
        <v>-1.9786721731370349</v>
      </c>
    </row>
    <row r="134" spans="1:3" x14ac:dyDescent="0.2">
      <c r="A134" s="98">
        <v>101</v>
      </c>
      <c r="B134" s="98">
        <v>7.519476187681998</v>
      </c>
      <c r="C134" s="98">
        <v>-3.1902132872561229</v>
      </c>
    </row>
    <row r="135" spans="1:3" x14ac:dyDescent="0.2">
      <c r="A135" s="98">
        <v>102</v>
      </c>
      <c r="B135" s="98">
        <v>4.9043528309781275</v>
      </c>
      <c r="C135" s="98">
        <v>2.8601363989585904</v>
      </c>
    </row>
    <row r="136" spans="1:3" x14ac:dyDescent="0.2">
      <c r="A136" s="98">
        <v>103</v>
      </c>
      <c r="B136" s="98">
        <v>5.1627829209417726</v>
      </c>
      <c r="C136" s="98">
        <v>-7.2683122791278088E-2</v>
      </c>
    </row>
    <row r="137" spans="1:3" x14ac:dyDescent="0.2">
      <c r="A137" s="98">
        <v>104</v>
      </c>
      <c r="B137" s="98">
        <v>6.9172431669514127</v>
      </c>
      <c r="C137" s="98">
        <v>1.8559520451334519</v>
      </c>
    </row>
    <row r="138" spans="1:3" x14ac:dyDescent="0.2">
      <c r="A138" s="98">
        <v>105</v>
      </c>
      <c r="B138" s="98">
        <v>5.2597771780976617</v>
      </c>
      <c r="C138" s="98">
        <v>0.33857431893188572</v>
      </c>
    </row>
    <row r="139" spans="1:3" x14ac:dyDescent="0.2">
      <c r="A139" s="98">
        <v>106</v>
      </c>
      <c r="B139" s="98">
        <v>5.5711935109212165</v>
      </c>
      <c r="C139" s="98">
        <v>-2.882153859469903</v>
      </c>
    </row>
    <row r="140" spans="1:3" x14ac:dyDescent="0.2">
      <c r="A140" s="98">
        <v>107</v>
      </c>
      <c r="B140" s="98">
        <v>4.6559524303917943</v>
      </c>
      <c r="C140" s="98">
        <v>-0.80413985308801195</v>
      </c>
    </row>
    <row r="141" spans="1:3" x14ac:dyDescent="0.2">
      <c r="A141" s="98">
        <v>108</v>
      </c>
      <c r="B141" s="98">
        <v>5.7103790805007035</v>
      </c>
      <c r="C141" s="98">
        <v>-1.6740900368733822</v>
      </c>
    </row>
    <row r="142" spans="1:3" x14ac:dyDescent="0.2">
      <c r="A142" s="98">
        <v>109</v>
      </c>
      <c r="B142" s="98">
        <v>3.7314724686154692</v>
      </c>
      <c r="C142" s="98">
        <v>0.37835985922063564</v>
      </c>
    </row>
    <row r="143" spans="1:3" x14ac:dyDescent="0.2">
      <c r="A143" s="98">
        <v>110</v>
      </c>
      <c r="B143" s="98">
        <v>3.7658846295658788</v>
      </c>
      <c r="C143" s="98">
        <v>-1.5592842965100919</v>
      </c>
    </row>
    <row r="144" spans="1:3" x14ac:dyDescent="0.2">
      <c r="A144" s="98">
        <v>111</v>
      </c>
      <c r="B144" s="98">
        <v>3.6632296594025124</v>
      </c>
      <c r="C144" s="98">
        <v>1.383256090508425</v>
      </c>
    </row>
    <row r="145" spans="1:3" x14ac:dyDescent="0.2">
      <c r="A145" s="98">
        <v>112</v>
      </c>
      <c r="B145" s="98">
        <v>6.0426688408794984</v>
      </c>
      <c r="C145" s="98">
        <v>0.5842898725219916</v>
      </c>
    </row>
    <row r="146" spans="1:3" x14ac:dyDescent="0.2">
      <c r="A146" s="98">
        <v>113</v>
      </c>
      <c r="B146" s="98">
        <v>5.5206811839069552</v>
      </c>
      <c r="C146" s="98">
        <v>4.2646902030252782</v>
      </c>
    </row>
    <row r="147" spans="1:3" x14ac:dyDescent="0.2">
      <c r="A147" s="98">
        <v>114</v>
      </c>
      <c r="B147" s="98">
        <v>5.2675513128108049</v>
      </c>
      <c r="C147" s="98">
        <v>1.8074388554120064</v>
      </c>
    </row>
    <row r="148" spans="1:3" x14ac:dyDescent="0.2">
      <c r="A148" s="98">
        <v>115</v>
      </c>
      <c r="B148" s="98">
        <v>5.050272213684627</v>
      </c>
      <c r="C148" s="98">
        <v>0.18062302858989732</v>
      </c>
    </row>
    <row r="149" spans="1:3" x14ac:dyDescent="0.2">
      <c r="A149" s="98">
        <v>116</v>
      </c>
      <c r="B149" s="98">
        <v>5.7917389253228162</v>
      </c>
      <c r="C149" s="98">
        <v>-1.6313594123024062</v>
      </c>
    </row>
    <row r="150" spans="1:3" x14ac:dyDescent="0.2">
      <c r="A150" s="98">
        <v>117</v>
      </c>
      <c r="B150" s="98">
        <v>8.2299896341995584</v>
      </c>
      <c r="C150" s="98">
        <v>-4.0334683329071144</v>
      </c>
    </row>
    <row r="151" spans="1:3" x14ac:dyDescent="0.2">
      <c r="A151" s="98">
        <v>118</v>
      </c>
      <c r="B151" s="98">
        <v>7.3582227578831203</v>
      </c>
      <c r="C151" s="98">
        <v>4.5551618278091075</v>
      </c>
    </row>
    <row r="152" spans="1:3" x14ac:dyDescent="0.2">
      <c r="A152" s="98">
        <v>119</v>
      </c>
      <c r="B152" s="98">
        <v>6.7961226510940129</v>
      </c>
      <c r="C152" s="98">
        <v>-3.3847143435591964</v>
      </c>
    </row>
    <row r="153" spans="1:3" ht="13.5" thickBot="1" x14ac:dyDescent="0.25">
      <c r="A153" s="99">
        <v>120</v>
      </c>
      <c r="B153" s="99">
        <v>2.5699463426707325</v>
      </c>
      <c r="C153" s="99">
        <v>-1.3244121234016295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K121"/>
  <sheetViews>
    <sheetView zoomScale="85" zoomScaleNormal="85" workbookViewId="0">
      <selection activeCell="E20" sqref="E20"/>
    </sheetView>
  </sheetViews>
  <sheetFormatPr defaultRowHeight="12.75" x14ac:dyDescent="0.2"/>
  <cols>
    <col min="1" max="1" width="42.42578125" customWidth="1"/>
    <col min="2" max="2" width="29.85546875" bestFit="1" customWidth="1"/>
  </cols>
  <sheetData>
    <row r="1" spans="1:11" ht="25.5" x14ac:dyDescent="0.2">
      <c r="A1" s="95" t="s">
        <v>424</v>
      </c>
      <c r="B1" s="16" t="s">
        <v>463</v>
      </c>
      <c r="C1" s="40" t="s">
        <v>514</v>
      </c>
      <c r="D1" s="40" t="s">
        <v>464</v>
      </c>
      <c r="E1" s="40" t="s">
        <v>507</v>
      </c>
      <c r="F1" s="40" t="s">
        <v>508</v>
      </c>
      <c r="G1" s="40" t="s">
        <v>509</v>
      </c>
      <c r="H1" s="40" t="s">
        <v>511</v>
      </c>
      <c r="I1" s="96" t="s">
        <v>512</v>
      </c>
    </row>
    <row r="2" spans="1:11" x14ac:dyDescent="0.2">
      <c r="A2" s="2" t="s">
        <v>398</v>
      </c>
      <c r="B2" s="91" t="s">
        <v>495</v>
      </c>
      <c r="C2" s="36">
        <v>0.57648122410978131</v>
      </c>
      <c r="D2" s="91">
        <v>1.0939254096816726</v>
      </c>
      <c r="E2" s="94">
        <v>0.41391975074461967</v>
      </c>
      <c r="F2" s="94">
        <v>0.82395931437182146</v>
      </c>
      <c r="G2" s="94">
        <v>0.19540403089093994</v>
      </c>
      <c r="H2" s="94">
        <v>-0.77476925974759847</v>
      </c>
      <c r="I2" s="109">
        <v>-0.81159625164814475</v>
      </c>
      <c r="K2" t="s">
        <v>553</v>
      </c>
    </row>
    <row r="3" spans="1:11" x14ac:dyDescent="0.2">
      <c r="A3" s="2" t="s">
        <v>346</v>
      </c>
      <c r="B3" s="91" t="s">
        <v>495</v>
      </c>
      <c r="C3" s="36">
        <v>7.8129506260335466</v>
      </c>
      <c r="D3" s="91">
        <v>0.36518189524897715</v>
      </c>
      <c r="E3" s="94">
        <v>0.58609155578489558</v>
      </c>
      <c r="F3" s="94">
        <v>0.72114002432641622</v>
      </c>
      <c r="G3" s="94">
        <v>1.2144963326084552</v>
      </c>
      <c r="H3" s="94">
        <v>-1.4617596107773396</v>
      </c>
      <c r="I3" s="109">
        <v>-1.6269396631159929</v>
      </c>
      <c r="K3" t="s">
        <v>554</v>
      </c>
    </row>
    <row r="4" spans="1:11" x14ac:dyDescent="0.2">
      <c r="A4" s="2" t="s">
        <v>372</v>
      </c>
      <c r="B4" s="91" t="s">
        <v>495</v>
      </c>
      <c r="C4" s="36">
        <v>10.11253519451164</v>
      </c>
      <c r="D4" s="91">
        <v>2.5665012608801829E-2</v>
      </c>
      <c r="E4" s="94">
        <v>0.6535019975037103</v>
      </c>
      <c r="F4" s="94">
        <v>0.62779630684129173</v>
      </c>
      <c r="G4" s="94">
        <v>0.67664524526153091</v>
      </c>
      <c r="H4" s="94">
        <v>-1.1143740340030912</v>
      </c>
      <c r="I4" s="109">
        <v>-1.1697714146262099</v>
      </c>
      <c r="K4" t="s">
        <v>555</v>
      </c>
    </row>
    <row r="5" spans="1:11" x14ac:dyDescent="0.2">
      <c r="A5" s="1" t="s">
        <v>216</v>
      </c>
      <c r="B5" s="36" t="s">
        <v>495</v>
      </c>
      <c r="C5" s="36">
        <v>3.3714653832491841</v>
      </c>
      <c r="D5" s="44">
        <v>0.18481063775957018</v>
      </c>
      <c r="E5" s="94">
        <v>0.68025418110004043</v>
      </c>
      <c r="F5" s="94">
        <v>0.52472364400677263</v>
      </c>
      <c r="G5" s="94">
        <v>0.72608401611427897</v>
      </c>
      <c r="H5" s="94">
        <v>-0.42935893194247121</v>
      </c>
      <c r="I5" s="109">
        <v>-0.44895429908724671</v>
      </c>
    </row>
    <row r="6" spans="1:11" x14ac:dyDescent="0.2">
      <c r="A6" s="1" t="s">
        <v>52</v>
      </c>
      <c r="B6" s="36" t="s">
        <v>495</v>
      </c>
      <c r="C6" s="36">
        <v>12.266786806509231</v>
      </c>
      <c r="D6" s="44">
        <v>0.32427403147904221</v>
      </c>
      <c r="E6" s="94">
        <v>0.81234907806795387</v>
      </c>
      <c r="F6" s="94">
        <v>0.43884892086330929</v>
      </c>
      <c r="G6" s="94">
        <v>0.19842224811699938</v>
      </c>
      <c r="H6" s="94">
        <v>4.5932971932313299E-2</v>
      </c>
      <c r="I6" s="109">
        <v>-0.31811310458675307</v>
      </c>
    </row>
    <row r="7" spans="1:11" x14ac:dyDescent="0.2">
      <c r="A7" s="2" t="s">
        <v>344</v>
      </c>
      <c r="B7" s="91" t="s">
        <v>495</v>
      </c>
      <c r="C7" s="36">
        <v>1.6798325991189427</v>
      </c>
      <c r="D7" s="91">
        <v>0.12643285236175972</v>
      </c>
      <c r="E7" s="94">
        <v>0.83011981789181555</v>
      </c>
      <c r="F7" s="94">
        <v>0.41545137261604792</v>
      </c>
      <c r="G7" s="94">
        <v>0.53193765196918985</v>
      </c>
      <c r="H7" s="94">
        <v>-0.25936626435609172</v>
      </c>
      <c r="I7" s="109">
        <v>-0.28542567914031614</v>
      </c>
    </row>
    <row r="8" spans="1:11" x14ac:dyDescent="0.2">
      <c r="A8" s="2" t="s">
        <v>412</v>
      </c>
      <c r="B8" s="91" t="s">
        <v>505</v>
      </c>
      <c r="C8" s="36">
        <v>0.56028755020080312</v>
      </c>
      <c r="D8" s="91">
        <v>3.6360003995604906E-2</v>
      </c>
      <c r="E8" s="94">
        <v>0.5148919555518755</v>
      </c>
      <c r="F8" s="94">
        <v>0.39539839509872476</v>
      </c>
      <c r="G8" s="94">
        <v>0.43114241001564946</v>
      </c>
      <c r="H8" s="94">
        <v>-0.3627509739286785</v>
      </c>
      <c r="I8" s="109">
        <v>-0.62696531372440323</v>
      </c>
    </row>
    <row r="9" spans="1:11" x14ac:dyDescent="0.2">
      <c r="A9" s="1" t="s">
        <v>68</v>
      </c>
      <c r="B9" s="36" t="s">
        <v>495</v>
      </c>
      <c r="C9" s="36">
        <v>5.8022321144674081</v>
      </c>
      <c r="D9" s="44">
        <v>6.3581033618146598E-2</v>
      </c>
      <c r="E9" s="94">
        <v>0.88264760994686642</v>
      </c>
      <c r="F9" s="94">
        <v>0.38853342248443634</v>
      </c>
      <c r="G9" s="94">
        <v>0.20250360646487209</v>
      </c>
      <c r="H9" s="94">
        <v>0.25035919713763116</v>
      </c>
      <c r="I9" s="109">
        <v>0.16792960779188498</v>
      </c>
    </row>
    <row r="10" spans="1:11" x14ac:dyDescent="0.2">
      <c r="A10" s="1" t="s">
        <v>34</v>
      </c>
      <c r="B10" s="36" t="s">
        <v>495</v>
      </c>
      <c r="C10" s="36">
        <v>8.1596586177651069</v>
      </c>
      <c r="D10" s="44">
        <v>0.28482204336323713</v>
      </c>
      <c r="E10" s="94">
        <v>0.70649098895806062</v>
      </c>
      <c r="F10" s="94">
        <v>0.37499876453320768</v>
      </c>
      <c r="G10" s="94">
        <v>0.28142574515120466</v>
      </c>
      <c r="H10" s="94">
        <v>-4.4409677493748537E-2</v>
      </c>
      <c r="I10" s="109">
        <v>-0.137903072523548</v>
      </c>
    </row>
    <row r="11" spans="1:11" x14ac:dyDescent="0.2">
      <c r="A11" s="1" t="s">
        <v>84</v>
      </c>
      <c r="B11" s="36" t="s">
        <v>495</v>
      </c>
      <c r="C11" s="36">
        <v>6.4523526539411495</v>
      </c>
      <c r="D11" s="44">
        <v>0.33777285869172391</v>
      </c>
      <c r="E11" s="94">
        <v>0.66669678352005779</v>
      </c>
      <c r="F11" s="94">
        <v>0.3436031803397181</v>
      </c>
      <c r="G11" s="94">
        <v>0.28370075894470548</v>
      </c>
      <c r="H11" s="94">
        <v>6.1528731478135174E-2</v>
      </c>
      <c r="I11" s="109">
        <v>-4.517528008673654E-2</v>
      </c>
    </row>
    <row r="12" spans="1:11" x14ac:dyDescent="0.2">
      <c r="A12" s="1" t="s">
        <v>202</v>
      </c>
      <c r="B12" s="36" t="s">
        <v>495</v>
      </c>
      <c r="C12" s="36">
        <v>12.764006066393305</v>
      </c>
      <c r="D12" s="44">
        <v>0.76024916182035529</v>
      </c>
      <c r="E12" s="94">
        <v>0.80511087341464949</v>
      </c>
      <c r="F12" s="94">
        <v>0.3378785291183159</v>
      </c>
      <c r="G12" s="94">
        <v>0.65548794189819592</v>
      </c>
      <c r="H12" s="94">
        <v>-0.40360259948046345</v>
      </c>
      <c r="I12" s="109">
        <v>-0.44139034453003517</v>
      </c>
    </row>
    <row r="13" spans="1:11" x14ac:dyDescent="0.2">
      <c r="A13" s="1" t="s">
        <v>32</v>
      </c>
      <c r="B13" s="36" t="s">
        <v>495</v>
      </c>
      <c r="C13" s="36">
        <v>10.146867839840409</v>
      </c>
      <c r="D13" s="44">
        <v>0.25282277859597468</v>
      </c>
      <c r="E13" s="94">
        <v>0.87182577145691786</v>
      </c>
      <c r="F13" s="94">
        <v>0.33717141964564645</v>
      </c>
      <c r="G13" s="94">
        <v>0.48525014504395947</v>
      </c>
      <c r="H13" s="94">
        <v>-5.8508501807470879E-2</v>
      </c>
      <c r="I13" s="109">
        <v>-0.13449689685759542</v>
      </c>
    </row>
    <row r="14" spans="1:11" x14ac:dyDescent="0.2">
      <c r="A14" s="1" t="s">
        <v>90</v>
      </c>
      <c r="B14" s="36" t="s">
        <v>505</v>
      </c>
      <c r="C14" s="36">
        <v>7.0694147705516315</v>
      </c>
      <c r="D14" s="44">
        <v>6.0124762155143952E-2</v>
      </c>
      <c r="E14" s="94">
        <v>0.87117950854779347</v>
      </c>
      <c r="F14" s="94">
        <v>0.33658182316329377</v>
      </c>
      <c r="G14" s="94">
        <v>0.52121490497789513</v>
      </c>
      <c r="H14" s="94">
        <v>-0.12485180339031537</v>
      </c>
      <c r="I14" s="109">
        <v>-0.14799918208566143</v>
      </c>
    </row>
    <row r="15" spans="1:11" x14ac:dyDescent="0.2">
      <c r="A15" s="2" t="s">
        <v>410</v>
      </c>
      <c r="B15" s="91" t="s">
        <v>495</v>
      </c>
      <c r="C15" s="36">
        <v>1.0114658536585366</v>
      </c>
      <c r="D15" s="91">
        <v>-3.982098141349466E-2</v>
      </c>
      <c r="E15" s="94">
        <v>0.56622606522251473</v>
      </c>
      <c r="F15" s="94">
        <v>0.32742904682981983</v>
      </c>
      <c r="G15" s="94">
        <v>0.15005284263262289</v>
      </c>
      <c r="H15" s="94">
        <v>-0.18292972351403164</v>
      </c>
      <c r="I15" s="109">
        <v>-0.39573463359162725</v>
      </c>
    </row>
    <row r="16" spans="1:11" x14ac:dyDescent="0.2">
      <c r="A16" s="1" t="s">
        <v>268</v>
      </c>
      <c r="B16" s="36" t="s">
        <v>495</v>
      </c>
      <c r="C16" s="36">
        <v>3.6584260968073057</v>
      </c>
      <c r="D16" s="44">
        <v>0.21536079842022415</v>
      </c>
      <c r="E16" s="94">
        <v>0.71251830040758768</v>
      </c>
      <c r="F16" s="94">
        <v>0.32673046530343136</v>
      </c>
      <c r="G16" s="94">
        <v>0.64699703630446226</v>
      </c>
      <c r="H16" s="94">
        <v>-0.52720814709237873</v>
      </c>
      <c r="I16" s="109">
        <v>-0.57156338979545007</v>
      </c>
    </row>
    <row r="17" spans="1:9" x14ac:dyDescent="0.2">
      <c r="A17" s="1" t="s">
        <v>290</v>
      </c>
      <c r="B17" s="36" t="s">
        <v>505</v>
      </c>
      <c r="C17" s="36">
        <v>6.3740109429466525</v>
      </c>
      <c r="D17" s="44">
        <v>0.39882973076400785</v>
      </c>
      <c r="E17" s="94">
        <v>0.78003135531497281</v>
      </c>
      <c r="F17" s="94">
        <v>0.3212500154307652</v>
      </c>
      <c r="G17" s="94">
        <v>0.66160949053785467</v>
      </c>
      <c r="H17" s="94">
        <v>-0.29694347402076365</v>
      </c>
      <c r="I17" s="109">
        <v>-0.34458133247744022</v>
      </c>
    </row>
    <row r="18" spans="1:9" x14ac:dyDescent="0.2">
      <c r="A18" s="1" t="s">
        <v>140</v>
      </c>
      <c r="B18" s="36" t="s">
        <v>495</v>
      </c>
      <c r="C18" s="36">
        <v>6.1000758770737011</v>
      </c>
      <c r="D18" s="44">
        <v>0.44355718873420802</v>
      </c>
      <c r="E18" s="94">
        <v>0.55167283034571557</v>
      </c>
      <c r="F18" s="94">
        <v>0.31593173627305493</v>
      </c>
      <c r="G18" s="94">
        <v>0.43418015216828026</v>
      </c>
      <c r="H18" s="94">
        <v>-0.2867072605783651</v>
      </c>
      <c r="I18" s="109">
        <v>-0.32097260499846886</v>
      </c>
    </row>
    <row r="19" spans="1:9" x14ac:dyDescent="0.2">
      <c r="A19" s="2" t="s">
        <v>414</v>
      </c>
      <c r="B19" s="91" t="s">
        <v>505</v>
      </c>
      <c r="C19" s="36">
        <v>3.9222766122766122</v>
      </c>
      <c r="D19" s="91">
        <v>0.21000344730326859</v>
      </c>
      <c r="E19" s="94">
        <v>0.59622677011593583</v>
      </c>
      <c r="F19" s="94">
        <v>0.30790686013350466</v>
      </c>
      <c r="G19" s="94">
        <v>0.48735466482810497</v>
      </c>
      <c r="H19" s="94">
        <v>-0.38988999968660876</v>
      </c>
      <c r="I19" s="109">
        <v>-0.65422214829671888</v>
      </c>
    </row>
    <row r="20" spans="1:9" x14ac:dyDescent="0.2">
      <c r="A20" s="1" t="s">
        <v>188</v>
      </c>
      <c r="B20" s="36" t="s">
        <v>505</v>
      </c>
      <c r="C20" s="36">
        <v>10.068368363264293</v>
      </c>
      <c r="D20" s="44">
        <v>0.56704682863946054</v>
      </c>
      <c r="E20" s="94">
        <v>0.86369568575644429</v>
      </c>
      <c r="F20" s="94">
        <v>0.30721739547321375</v>
      </c>
      <c r="G20" s="94">
        <v>0.61951131163870943</v>
      </c>
      <c r="H20" s="94">
        <v>-0.19213006120590004</v>
      </c>
      <c r="I20" s="109">
        <v>-0.21851944579096239</v>
      </c>
    </row>
    <row r="21" spans="1:9" x14ac:dyDescent="0.2">
      <c r="A21" s="1" t="s">
        <v>166</v>
      </c>
      <c r="B21" s="36" t="s">
        <v>505</v>
      </c>
      <c r="C21" s="36">
        <v>3.7473726905173033</v>
      </c>
      <c r="D21" s="44">
        <v>7.4866249518044548E-2</v>
      </c>
      <c r="E21" s="94">
        <v>0.65626694351170867</v>
      </c>
      <c r="F21" s="94">
        <v>0.30652737632332966</v>
      </c>
      <c r="G21" s="94">
        <v>0.46864329256768161</v>
      </c>
      <c r="H21" s="94">
        <v>-0.1616257708135406</v>
      </c>
      <c r="I21" s="109">
        <v>-0.32442046693600513</v>
      </c>
    </row>
    <row r="22" spans="1:9" x14ac:dyDescent="0.2">
      <c r="A22" s="1" t="s">
        <v>304</v>
      </c>
      <c r="B22" s="36" t="s">
        <v>495</v>
      </c>
      <c r="C22" s="36">
        <v>5.8731444420696759</v>
      </c>
      <c r="D22" s="44">
        <v>0.12118158993992911</v>
      </c>
      <c r="E22" s="94">
        <v>0.59635545611995044</v>
      </c>
      <c r="F22" s="94">
        <v>0.30509702260683919</v>
      </c>
      <c r="G22" s="94">
        <v>0.37096782977611004</v>
      </c>
      <c r="H22" s="94">
        <v>-0.24097986569870977</v>
      </c>
      <c r="I22" s="109">
        <v>-0.3447641020578105</v>
      </c>
    </row>
    <row r="23" spans="1:9" x14ac:dyDescent="0.2">
      <c r="A23" s="1" t="s">
        <v>280</v>
      </c>
      <c r="B23" s="36" t="s">
        <v>495</v>
      </c>
      <c r="C23" s="36">
        <v>5.3155876836511409</v>
      </c>
      <c r="D23" s="44">
        <v>0.13434688178715493</v>
      </c>
      <c r="E23" s="94">
        <v>0.71389566349394595</v>
      </c>
      <c r="F23" s="94">
        <v>0.30216745711626253</v>
      </c>
      <c r="G23" s="94">
        <v>0.37303754266211603</v>
      </c>
      <c r="H23" s="94">
        <v>-0.21606597921023002</v>
      </c>
      <c r="I23" s="109">
        <v>-0.23881920127653916</v>
      </c>
    </row>
    <row r="24" spans="1:9" x14ac:dyDescent="0.2">
      <c r="A24" s="1" t="s">
        <v>64</v>
      </c>
      <c r="B24" s="36" t="s">
        <v>495</v>
      </c>
      <c r="C24" s="36">
        <v>4.0920802692105829</v>
      </c>
      <c r="D24" s="44">
        <v>7.1619985310756862E-2</v>
      </c>
      <c r="E24" s="94">
        <v>0.76438323562474364</v>
      </c>
      <c r="F24" s="94">
        <v>0.30067987375191063</v>
      </c>
      <c r="G24" s="94">
        <v>0.18171255400943553</v>
      </c>
      <c r="H24" s="94">
        <v>0.21514513898538351</v>
      </c>
      <c r="I24" s="109">
        <v>0.12152605918890333</v>
      </c>
    </row>
    <row r="25" spans="1:9" x14ac:dyDescent="0.2">
      <c r="A25" s="2" t="s">
        <v>400</v>
      </c>
      <c r="B25" s="91" t="s">
        <v>495</v>
      </c>
      <c r="C25" s="36">
        <v>2.0835744808456407</v>
      </c>
      <c r="D25" s="91">
        <v>0.20755124106546718</v>
      </c>
      <c r="E25" s="94">
        <v>0.8503453377377399</v>
      </c>
      <c r="F25" s="94">
        <v>0.30038213606097808</v>
      </c>
      <c r="G25" s="94">
        <v>0.28332800411495862</v>
      </c>
      <c r="H25" s="94">
        <v>-0.13064671777998982</v>
      </c>
      <c r="I25" s="109">
        <v>-0.27934203627576876</v>
      </c>
    </row>
    <row r="26" spans="1:9" x14ac:dyDescent="0.2">
      <c r="A26" s="2" t="s">
        <v>352</v>
      </c>
      <c r="B26" s="91" t="s">
        <v>505</v>
      </c>
      <c r="C26" s="36">
        <v>1.2459494213459066</v>
      </c>
      <c r="D26" s="91">
        <v>8.4287875513293642E-3</v>
      </c>
      <c r="E26" s="94">
        <v>0.77716878910365639</v>
      </c>
      <c r="F26" s="94">
        <v>0.27227577263885894</v>
      </c>
      <c r="G26" s="94">
        <v>0.43812405446293501</v>
      </c>
      <c r="H26" s="94">
        <v>-4.0006784613153233E-2</v>
      </c>
      <c r="I26" s="109">
        <v>-8.4296520423600627E-2</v>
      </c>
    </row>
    <row r="27" spans="1:9" x14ac:dyDescent="0.2">
      <c r="A27" s="1" t="s">
        <v>108</v>
      </c>
      <c r="B27" s="36" t="s">
        <v>495</v>
      </c>
      <c r="C27" s="36">
        <v>4.5647688752546358</v>
      </c>
      <c r="D27" s="44">
        <v>0.18236074557512727</v>
      </c>
      <c r="E27" s="94">
        <v>0.66590708286343891</v>
      </c>
      <c r="F27" s="94">
        <v>0.27156094947713327</v>
      </c>
      <c r="G27" s="94">
        <v>0.56225112661050991</v>
      </c>
      <c r="H27" s="94">
        <v>-0.19213684348227064</v>
      </c>
      <c r="I27" s="109">
        <v>-0.25167377453250095</v>
      </c>
    </row>
    <row r="28" spans="1:9" x14ac:dyDescent="0.2">
      <c r="A28" s="1" t="s">
        <v>306</v>
      </c>
      <c r="B28" s="36" t="s">
        <v>495</v>
      </c>
      <c r="C28" s="36">
        <v>4.3721659914652227</v>
      </c>
      <c r="D28" s="44">
        <v>0.25131331930295331</v>
      </c>
      <c r="E28" s="94">
        <v>0.70595174026734853</v>
      </c>
      <c r="F28" s="94">
        <v>0.26127344633379679</v>
      </c>
      <c r="G28" s="94">
        <v>0.45291797637918807</v>
      </c>
      <c r="H28" s="94">
        <v>-0.21769450921622832</v>
      </c>
      <c r="I28" s="109">
        <v>-0.2655258416875409</v>
      </c>
    </row>
    <row r="29" spans="1:9" x14ac:dyDescent="0.2">
      <c r="A29" s="1" t="s">
        <v>102</v>
      </c>
      <c r="B29" s="36" t="s">
        <v>495</v>
      </c>
      <c r="C29" s="36">
        <v>8.5238847539015605</v>
      </c>
      <c r="D29" s="44">
        <v>0.13407566857822273</v>
      </c>
      <c r="E29" s="94">
        <v>0.55116954899297743</v>
      </c>
      <c r="F29" s="94">
        <v>0.25966656934924898</v>
      </c>
      <c r="G29" s="94">
        <v>0.18775252735350578</v>
      </c>
      <c r="H29" s="94">
        <v>4.2780837645805925E-2</v>
      </c>
      <c r="I29" s="109">
        <v>5.3461994018760582E-2</v>
      </c>
    </row>
    <row r="30" spans="1:9" x14ac:dyDescent="0.2">
      <c r="A30" s="1" t="s">
        <v>198</v>
      </c>
      <c r="B30" s="36" t="s">
        <v>495</v>
      </c>
      <c r="C30" s="36">
        <v>5.8082102070701689</v>
      </c>
      <c r="D30" s="44">
        <v>0.11455611954642619</v>
      </c>
      <c r="E30" s="94">
        <v>0.69230493276187233</v>
      </c>
      <c r="F30" s="94">
        <v>0.25747993659245183</v>
      </c>
      <c r="G30" s="94">
        <v>0.22081623409978404</v>
      </c>
      <c r="H30" s="94">
        <v>-9.5939818062313938E-3</v>
      </c>
      <c r="I30" s="109">
        <v>-0.23347012720172772</v>
      </c>
    </row>
    <row r="31" spans="1:9" x14ac:dyDescent="0.2">
      <c r="A31" s="2" t="s">
        <v>330</v>
      </c>
      <c r="B31" s="91" t="s">
        <v>495</v>
      </c>
      <c r="C31" s="36">
        <v>7.2610403592663362</v>
      </c>
      <c r="D31" s="91">
        <v>1.4443445708518534</v>
      </c>
      <c r="E31" s="94">
        <v>0.25056812394409728</v>
      </c>
      <c r="F31" s="94">
        <v>0.25166397971261883</v>
      </c>
      <c r="G31" s="94">
        <v>0.20959295280444246</v>
      </c>
      <c r="H31" s="94">
        <v>-0.29354885163447586</v>
      </c>
      <c r="I31" s="109">
        <v>-0.31713433716531614</v>
      </c>
    </row>
    <row r="32" spans="1:9" x14ac:dyDescent="0.2">
      <c r="A32" s="1" t="s">
        <v>186</v>
      </c>
      <c r="B32" s="36" t="s">
        <v>495</v>
      </c>
      <c r="C32" s="36">
        <v>3.8654935148642928</v>
      </c>
      <c r="D32" s="44">
        <v>0.20546846268667451</v>
      </c>
      <c r="E32" s="94">
        <v>0.72702756269789404</v>
      </c>
      <c r="F32" s="94">
        <v>0.24660001297980194</v>
      </c>
      <c r="G32" s="94">
        <v>0.54680841091168686</v>
      </c>
      <c r="H32" s="94">
        <v>-0.18767712021459937</v>
      </c>
      <c r="I32" s="109">
        <v>-0.27097319670889908</v>
      </c>
    </row>
    <row r="33" spans="1:9" x14ac:dyDescent="0.2">
      <c r="A33" s="2" t="s">
        <v>392</v>
      </c>
      <c r="B33" s="91" t="s">
        <v>505</v>
      </c>
      <c r="C33" s="36">
        <v>1.1807002329403935</v>
      </c>
      <c r="D33" s="91">
        <v>0.11687126928708191</v>
      </c>
      <c r="E33" s="94">
        <v>0.68128167371624215</v>
      </c>
      <c r="F33" s="94">
        <v>0.24610879603558961</v>
      </c>
      <c r="G33" s="94">
        <v>0.43153508277959235</v>
      </c>
      <c r="H33" s="94">
        <v>-9.7116792431580154E-2</v>
      </c>
      <c r="I33" s="109">
        <v>-0.13914855276495103</v>
      </c>
    </row>
    <row r="34" spans="1:9" x14ac:dyDescent="0.2">
      <c r="A34" s="2" t="s">
        <v>396</v>
      </c>
      <c r="B34" s="91" t="s">
        <v>495</v>
      </c>
      <c r="C34" s="36">
        <v>2.9983473325766177</v>
      </c>
      <c r="D34" s="91">
        <v>7.7772521897988778E-2</v>
      </c>
      <c r="E34" s="94">
        <v>0.63566967234935934</v>
      </c>
      <c r="F34" s="94">
        <v>0.23995628557913448</v>
      </c>
      <c r="G34" s="94">
        <v>0.28840099825468546</v>
      </c>
      <c r="H34" s="94">
        <v>2.6946351966333371E-2</v>
      </c>
      <c r="I34" s="109">
        <v>-3.2454695222405273E-2</v>
      </c>
    </row>
    <row r="35" spans="1:9" x14ac:dyDescent="0.2">
      <c r="A35" s="1" t="s">
        <v>260</v>
      </c>
      <c r="B35" s="36" t="s">
        <v>495</v>
      </c>
      <c r="C35" s="36">
        <v>8.6234948708425652</v>
      </c>
      <c r="D35" s="44">
        <v>0.21729844335835513</v>
      </c>
      <c r="E35" s="94">
        <v>0.74233956395664935</v>
      </c>
      <c r="F35" s="94">
        <v>0.23106423777564716</v>
      </c>
      <c r="G35" s="94">
        <v>0.21969927273577627</v>
      </c>
      <c r="H35" s="94">
        <v>3.5092642393346273E-2</v>
      </c>
      <c r="I35" s="109">
        <v>-3.6651622508554908E-2</v>
      </c>
    </row>
    <row r="36" spans="1:9" x14ac:dyDescent="0.2">
      <c r="A36" s="1" t="s">
        <v>264</v>
      </c>
      <c r="B36" s="36" t="s">
        <v>505</v>
      </c>
      <c r="C36" s="36">
        <v>5.5386857868663117</v>
      </c>
      <c r="D36" s="44">
        <v>0.17806318035514068</v>
      </c>
      <c r="E36" s="94">
        <v>0.70365447448971064</v>
      </c>
      <c r="F36" s="94">
        <v>0.2302719612310585</v>
      </c>
      <c r="G36" s="94">
        <v>0.50447090521138471</v>
      </c>
      <c r="H36" s="94">
        <v>-0.21380507217218181</v>
      </c>
      <c r="I36" s="109">
        <v>-0.24352193410726553</v>
      </c>
    </row>
    <row r="37" spans="1:9" x14ac:dyDescent="0.2">
      <c r="A37" s="1" t="s">
        <v>228</v>
      </c>
      <c r="B37" s="36" t="s">
        <v>505</v>
      </c>
      <c r="C37" s="36">
        <v>8.6079148104728418</v>
      </c>
      <c r="D37" s="44">
        <v>0.52388552100329933</v>
      </c>
      <c r="E37" s="94">
        <v>0.52415945118683227</v>
      </c>
      <c r="F37" s="94">
        <v>0.23009539916391744</v>
      </c>
      <c r="G37" s="94">
        <v>0.43523337660636235</v>
      </c>
      <c r="H37" s="94">
        <v>-0.23658039850886703</v>
      </c>
      <c r="I37" s="109">
        <v>-0.28080821314150284</v>
      </c>
    </row>
    <row r="38" spans="1:9" x14ac:dyDescent="0.2">
      <c r="A38" s="1" t="s">
        <v>114</v>
      </c>
      <c r="B38" s="36" t="s">
        <v>495</v>
      </c>
      <c r="C38" s="36">
        <v>8.4077397304365906</v>
      </c>
      <c r="D38" s="44">
        <v>0.31519733798005456</v>
      </c>
      <c r="E38" s="94">
        <v>0.70098153174246813</v>
      </c>
      <c r="F38" s="94">
        <v>0.2270021756893785</v>
      </c>
      <c r="G38" s="94">
        <v>0.43462988668694685</v>
      </c>
      <c r="H38" s="94">
        <v>-0.16941854797937722</v>
      </c>
      <c r="I38" s="109">
        <v>-0.22722663595105191</v>
      </c>
    </row>
    <row r="39" spans="1:9" x14ac:dyDescent="0.2">
      <c r="A39" s="2" t="s">
        <v>362</v>
      </c>
      <c r="B39" s="91" t="s">
        <v>495</v>
      </c>
      <c r="C39" s="36">
        <v>2.265671270718232</v>
      </c>
      <c r="D39" s="91">
        <v>0.13566846010258682</v>
      </c>
      <c r="E39" s="94">
        <v>0.51478408726353231</v>
      </c>
      <c r="F39" s="94">
        <v>0.21910244545183605</v>
      </c>
      <c r="G39" s="94">
        <v>0.14176248215714263</v>
      </c>
      <c r="H39" s="94">
        <v>5.2352119966745631E-2</v>
      </c>
      <c r="I39" s="109">
        <v>-4.2261141001709773E-2</v>
      </c>
    </row>
    <row r="40" spans="1:9" x14ac:dyDescent="0.2">
      <c r="A40" s="2" t="s">
        <v>386</v>
      </c>
      <c r="B40" s="91" t="s">
        <v>505</v>
      </c>
      <c r="C40" s="36">
        <v>2.1019087009803923</v>
      </c>
      <c r="D40" s="91">
        <v>4.5909889906875501E-2</v>
      </c>
      <c r="E40" s="94">
        <v>0.85231386595492098</v>
      </c>
      <c r="F40" s="94">
        <v>0.21421277037176539</v>
      </c>
      <c r="G40" s="94">
        <v>0.43699714186323541</v>
      </c>
      <c r="H40" s="94">
        <v>0.19263254750238168</v>
      </c>
      <c r="I40" s="109">
        <v>5.4889192725901793E-2</v>
      </c>
    </row>
    <row r="41" spans="1:9" x14ac:dyDescent="0.2">
      <c r="A41" s="1" t="s">
        <v>128</v>
      </c>
      <c r="B41" s="36" t="s">
        <v>505</v>
      </c>
      <c r="C41" s="36">
        <v>6.5353081442171996</v>
      </c>
      <c r="D41" s="44">
        <v>0.29012158698208257</v>
      </c>
      <c r="E41" s="94">
        <v>0.71608316536046746</v>
      </c>
      <c r="F41" s="94">
        <v>0.21138970044589492</v>
      </c>
      <c r="G41" s="94">
        <v>0.42152705171925225</v>
      </c>
      <c r="H41" s="94">
        <v>-3.7534647241411888E-2</v>
      </c>
      <c r="I41" s="109">
        <v>-0.12790277669230971</v>
      </c>
    </row>
    <row r="42" spans="1:9" x14ac:dyDescent="0.2">
      <c r="A42" s="1" t="s">
        <v>58</v>
      </c>
      <c r="B42" s="36" t="s">
        <v>495</v>
      </c>
      <c r="C42" s="36">
        <v>6.8447533077898379</v>
      </c>
      <c r="D42" s="44">
        <v>0.28899937720859659</v>
      </c>
      <c r="E42" s="94">
        <v>0.79280240098719257</v>
      </c>
      <c r="F42" s="94">
        <v>0.20790599854451852</v>
      </c>
      <c r="G42" s="94">
        <v>0.55817645019947282</v>
      </c>
      <c r="H42" s="94">
        <v>-0.17765987856258086</v>
      </c>
      <c r="I42" s="109">
        <v>-0.22092738611271831</v>
      </c>
    </row>
    <row r="43" spans="1:9" x14ac:dyDescent="0.2">
      <c r="A43" s="1" t="s">
        <v>18</v>
      </c>
      <c r="B43" s="36" t="s">
        <v>505</v>
      </c>
      <c r="C43" s="36">
        <v>5.4254390698714063</v>
      </c>
      <c r="D43" s="44">
        <v>7.2605999763788898E-2</v>
      </c>
      <c r="E43" s="94">
        <v>0.8603991968820125</v>
      </c>
      <c r="F43" s="94">
        <v>0.20727530412188497</v>
      </c>
      <c r="G43" s="94">
        <v>0.30624778552025511</v>
      </c>
      <c r="H43" s="94">
        <v>0.29703554978150465</v>
      </c>
      <c r="I43" s="109">
        <v>0.40103169059199528</v>
      </c>
    </row>
    <row r="44" spans="1:9" x14ac:dyDescent="0.2">
      <c r="A44" s="1" t="s">
        <v>156</v>
      </c>
      <c r="B44" s="36" t="s">
        <v>495</v>
      </c>
      <c r="C44" s="36">
        <v>12.250370401026363</v>
      </c>
      <c r="D44" s="44">
        <v>0.21314041853990284</v>
      </c>
      <c r="E44" s="94">
        <v>0.68860084305431146</v>
      </c>
      <c r="F44" s="94">
        <v>0.20327255300212238</v>
      </c>
      <c r="G44" s="94">
        <v>0.40494762545927565</v>
      </c>
      <c r="H44" s="94">
        <v>-0.15957917798215387</v>
      </c>
      <c r="I44" s="109">
        <v>-0.22516716492845568</v>
      </c>
    </row>
    <row r="45" spans="1:9" x14ac:dyDescent="0.2">
      <c r="A45" s="2" t="s">
        <v>340</v>
      </c>
      <c r="B45" s="91" t="s">
        <v>495</v>
      </c>
      <c r="C45" s="36">
        <v>3.1340332336324357</v>
      </c>
      <c r="D45" s="91">
        <v>-3.2419882822799839E-2</v>
      </c>
      <c r="E45" s="94">
        <v>0.58941031848887282</v>
      </c>
      <c r="F45" s="94">
        <v>0.19978005157854797</v>
      </c>
      <c r="G45" s="94">
        <v>0.2658610466200616</v>
      </c>
      <c r="H45" s="94">
        <v>-8.3200956968570536E-2</v>
      </c>
      <c r="I45" s="109">
        <v>-0.19867034104867806</v>
      </c>
    </row>
    <row r="46" spans="1:9" x14ac:dyDescent="0.2">
      <c r="A46" s="1" t="s">
        <v>20</v>
      </c>
      <c r="B46" s="36" t="s">
        <v>495</v>
      </c>
      <c r="C46" s="36">
        <v>7.9097525042591084</v>
      </c>
      <c r="D46" s="44">
        <v>0.10840677397719656</v>
      </c>
      <c r="E46" s="94">
        <v>0.83702213279678073</v>
      </c>
      <c r="F46" s="94">
        <v>0.19885982562038901</v>
      </c>
      <c r="G46" s="94">
        <v>0.27397719651240776</v>
      </c>
      <c r="H46" s="94">
        <v>0.3056673373574782</v>
      </c>
      <c r="I46" s="109">
        <v>0.21276932914404878</v>
      </c>
    </row>
    <row r="47" spans="1:9" x14ac:dyDescent="0.2">
      <c r="A47" s="1" t="s">
        <v>74</v>
      </c>
      <c r="B47" s="36" t="s">
        <v>505</v>
      </c>
      <c r="C47" s="36">
        <v>3.066665611468923</v>
      </c>
      <c r="D47" s="44">
        <v>-1.180070437124503E-2</v>
      </c>
      <c r="E47" s="94">
        <v>0.78785995442303713</v>
      </c>
      <c r="F47" s="94">
        <v>0.19825978868862648</v>
      </c>
      <c r="G47" s="94">
        <v>0.33001864512119328</v>
      </c>
      <c r="H47" s="94">
        <v>0.26434638491816864</v>
      </c>
      <c r="I47" s="109">
        <v>8.5428483887666037E-2</v>
      </c>
    </row>
    <row r="48" spans="1:9" x14ac:dyDescent="0.2">
      <c r="A48" s="1" t="s">
        <v>308</v>
      </c>
      <c r="B48" s="36" t="s">
        <v>495</v>
      </c>
      <c r="C48" s="36">
        <v>4.0996019037452189</v>
      </c>
      <c r="D48" s="44">
        <v>6.989213197969546E-2</v>
      </c>
      <c r="E48" s="94">
        <v>0.50090814362927738</v>
      </c>
      <c r="F48" s="94">
        <v>0.19649825507614213</v>
      </c>
      <c r="G48" s="94">
        <v>0.27474619289340102</v>
      </c>
      <c r="H48" s="94">
        <v>-4.4693393384950028E-2</v>
      </c>
      <c r="I48" s="109">
        <v>-0.15946938451776649</v>
      </c>
    </row>
    <row r="49" spans="1:9" x14ac:dyDescent="0.2">
      <c r="A49" s="1" t="s">
        <v>242</v>
      </c>
      <c r="B49" s="36" t="s">
        <v>505</v>
      </c>
      <c r="C49" s="36">
        <v>5.7389390736787496</v>
      </c>
      <c r="D49" s="44">
        <v>0.1762724303997889</v>
      </c>
      <c r="E49" s="94">
        <v>0.90019708259201003</v>
      </c>
      <c r="F49" s="94">
        <v>0.19531353080881383</v>
      </c>
      <c r="G49" s="94">
        <v>0.56033117825570655</v>
      </c>
      <c r="H49" s="94">
        <v>-8.4031534503232599E-2</v>
      </c>
      <c r="I49" s="109">
        <v>-0.10523436469191186</v>
      </c>
    </row>
    <row r="50" spans="1:9" x14ac:dyDescent="0.2">
      <c r="A50" s="1" t="s">
        <v>138</v>
      </c>
      <c r="B50" s="36" t="s">
        <v>495</v>
      </c>
      <c r="C50" s="36">
        <v>9.0551950609724976</v>
      </c>
      <c r="D50" s="44">
        <v>0.27870379794405276</v>
      </c>
      <c r="E50" s="94">
        <v>0.83089453283393444</v>
      </c>
      <c r="F50" s="94">
        <v>0.1939866538267816</v>
      </c>
      <c r="G50" s="94">
        <v>0.54026948100245054</v>
      </c>
      <c r="H50" s="94">
        <v>-5.8953862534937762E-3</v>
      </c>
      <c r="I50" s="109">
        <v>-8.7178644035064382E-2</v>
      </c>
    </row>
    <row r="51" spans="1:9" x14ac:dyDescent="0.2">
      <c r="A51" s="1" t="s">
        <v>212</v>
      </c>
      <c r="B51" s="36" t="s">
        <v>495</v>
      </c>
      <c r="C51" s="36">
        <v>8.9364435486722531</v>
      </c>
      <c r="D51" s="44">
        <v>0.32675608348697449</v>
      </c>
      <c r="E51" s="94">
        <v>0.72801054611815585</v>
      </c>
      <c r="F51" s="94">
        <v>0.19358319376615576</v>
      </c>
      <c r="G51" s="94">
        <v>0.62767230095843951</v>
      </c>
      <c r="H51" s="94">
        <v>-0.20314882317894153</v>
      </c>
      <c r="I51" s="109">
        <v>-0.25911901444461649</v>
      </c>
    </row>
    <row r="52" spans="1:9" x14ac:dyDescent="0.2">
      <c r="A52" s="1" t="s">
        <v>214</v>
      </c>
      <c r="B52" s="36" t="s">
        <v>495</v>
      </c>
      <c r="C52" s="36">
        <v>5.0794251385061777</v>
      </c>
      <c r="D52" s="44">
        <v>9.2588012202160064E-2</v>
      </c>
      <c r="E52" s="94">
        <v>0.66866135379671465</v>
      </c>
      <c r="F52" s="94">
        <v>0.19349785504748682</v>
      </c>
      <c r="G52" s="94">
        <v>0.11566520123723734</v>
      </c>
      <c r="H52" s="94">
        <v>0.2095776850470347</v>
      </c>
      <c r="I52" s="109">
        <v>0.14413653216825575</v>
      </c>
    </row>
    <row r="53" spans="1:9" x14ac:dyDescent="0.2">
      <c r="A53" s="2" t="s">
        <v>366</v>
      </c>
      <c r="B53" s="91" t="s">
        <v>505</v>
      </c>
      <c r="C53" s="36">
        <v>3.5067365269461073</v>
      </c>
      <c r="D53" s="91">
        <v>0.19284075768190023</v>
      </c>
      <c r="E53" s="94">
        <v>0.85252949591562377</v>
      </c>
      <c r="F53" s="94">
        <v>0.1924424115053365</v>
      </c>
      <c r="G53" s="94">
        <v>0.49302894191013868</v>
      </c>
      <c r="H53" s="94">
        <v>4.9642175244845543E-2</v>
      </c>
      <c r="I53" s="109">
        <v>-2.1799151110561674E-2</v>
      </c>
    </row>
    <row r="54" spans="1:9" x14ac:dyDescent="0.2">
      <c r="A54" s="1" t="s">
        <v>278</v>
      </c>
      <c r="B54" s="36" t="s">
        <v>505</v>
      </c>
      <c r="C54" s="36">
        <v>3.5420179179810725</v>
      </c>
      <c r="D54" s="44">
        <v>-1.4085207919166232E-2</v>
      </c>
      <c r="E54" s="94">
        <v>0.83030820149922224</v>
      </c>
      <c r="F54" s="94">
        <v>0.19155484671979617</v>
      </c>
      <c r="G54" s="94">
        <v>0.23971725083413989</v>
      </c>
      <c r="H54" s="94">
        <v>0.35425007028919331</v>
      </c>
      <c r="I54" s="109">
        <v>0.16390927344611117</v>
      </c>
    </row>
    <row r="55" spans="1:9" x14ac:dyDescent="0.2">
      <c r="A55" s="1" t="s">
        <v>148</v>
      </c>
      <c r="B55" s="36" t="s">
        <v>495</v>
      </c>
      <c r="C55" s="36">
        <v>4.1901921750377236</v>
      </c>
      <c r="D55" s="44">
        <v>8.9842079791757845E-2</v>
      </c>
      <c r="E55" s="94">
        <v>0.65566369754343934</v>
      </c>
      <c r="F55" s="94">
        <v>0.19133435762983428</v>
      </c>
      <c r="G55" s="94">
        <v>0.36086482575212958</v>
      </c>
      <c r="H55" s="94">
        <v>1.9566177541594419E-2</v>
      </c>
      <c r="I55" s="109">
        <v>1.9614338271570129E-2</v>
      </c>
    </row>
    <row r="56" spans="1:9" x14ac:dyDescent="0.2">
      <c r="A56" s="1" t="s">
        <v>80</v>
      </c>
      <c r="B56" s="36" t="s">
        <v>495</v>
      </c>
      <c r="C56" s="36">
        <v>8.0015335934837513</v>
      </c>
      <c r="D56" s="44">
        <v>7.5705500520764524E-2</v>
      </c>
      <c r="E56" s="94">
        <v>0.73217241692812174</v>
      </c>
      <c r="F56" s="94">
        <v>0.19103524123905566</v>
      </c>
      <c r="G56" s="94">
        <v>0.30181365285433243</v>
      </c>
      <c r="H56" s="94">
        <v>0.1382021117066432</v>
      </c>
      <c r="I56" s="109">
        <v>3.955165157037363E-2</v>
      </c>
    </row>
    <row r="57" spans="1:9" x14ac:dyDescent="0.2">
      <c r="A57" s="1" t="s">
        <v>292</v>
      </c>
      <c r="B57" s="36" t="s">
        <v>495</v>
      </c>
      <c r="C57" s="36">
        <v>4.0798187607151597</v>
      </c>
      <c r="D57" s="44">
        <v>0.17218253183859034</v>
      </c>
      <c r="E57" s="94">
        <v>0.69293761861751924</v>
      </c>
      <c r="F57" s="94">
        <v>0.19084328730503861</v>
      </c>
      <c r="G57" s="94">
        <v>0.41392050000470637</v>
      </c>
      <c r="H57" s="94">
        <v>-6.748499114904602E-2</v>
      </c>
      <c r="I57" s="109">
        <v>-0.10987946987452818</v>
      </c>
    </row>
    <row r="58" spans="1:9" x14ac:dyDescent="0.2">
      <c r="A58" s="2" t="s">
        <v>370</v>
      </c>
      <c r="B58" s="91" t="s">
        <v>495</v>
      </c>
      <c r="C58" s="36">
        <v>3.9416613922006789</v>
      </c>
      <c r="D58" s="91">
        <v>0.39676325190343875</v>
      </c>
      <c r="E58" s="94">
        <v>0.87099917488234413</v>
      </c>
      <c r="F58" s="94">
        <v>0.1881788330386461</v>
      </c>
      <c r="G58" s="94">
        <v>0.2613214015083174</v>
      </c>
      <c r="H58" s="94">
        <v>0.11639635938702053</v>
      </c>
      <c r="I58" s="109">
        <v>5.3675170497600407E-2</v>
      </c>
    </row>
    <row r="59" spans="1:9" x14ac:dyDescent="0.2">
      <c r="A59" s="1" t="s">
        <v>220</v>
      </c>
      <c r="B59" s="36" t="s">
        <v>495</v>
      </c>
      <c r="C59" s="36">
        <v>7.7488244679249831</v>
      </c>
      <c r="D59" s="44">
        <v>0.2349013248079701</v>
      </c>
      <c r="E59" s="94">
        <v>0.49505345881129004</v>
      </c>
      <c r="F59" s="94">
        <v>0.18744336689885269</v>
      </c>
      <c r="G59" s="94">
        <v>0.19130951993717502</v>
      </c>
      <c r="H59" s="94">
        <v>-3.5297233748913803E-2</v>
      </c>
      <c r="I59" s="109">
        <v>-0.11313237392019553</v>
      </c>
    </row>
    <row r="60" spans="1:9" x14ac:dyDescent="0.2">
      <c r="A60" s="1" t="s">
        <v>230</v>
      </c>
      <c r="B60" s="36" t="s">
        <v>505</v>
      </c>
      <c r="C60" s="36">
        <v>4.1780519729885413</v>
      </c>
      <c r="D60" s="44">
        <v>7.4856765799364622E-2</v>
      </c>
      <c r="E60" s="94">
        <v>0.79773963771628198</v>
      </c>
      <c r="F60" s="94">
        <v>0.1844443733885244</v>
      </c>
      <c r="G60" s="94">
        <v>0.44235604635817416</v>
      </c>
      <c r="H60" s="94">
        <v>2.0510319938192006E-2</v>
      </c>
      <c r="I60" s="109">
        <v>-6.636852248580738E-2</v>
      </c>
    </row>
    <row r="61" spans="1:9" x14ac:dyDescent="0.2">
      <c r="A61" s="1" t="s">
        <v>300</v>
      </c>
      <c r="B61" s="36" t="s">
        <v>505</v>
      </c>
      <c r="C61" s="36">
        <v>3.1361184086605665</v>
      </c>
      <c r="D61" s="44">
        <v>0.17472622601444865</v>
      </c>
      <c r="E61" s="94">
        <v>0.75474664005567371</v>
      </c>
      <c r="F61" s="94">
        <v>0.18413993625850628</v>
      </c>
      <c r="G61" s="94">
        <v>0.58653431831151026</v>
      </c>
      <c r="H61" s="94">
        <v>-0.32206534861783442</v>
      </c>
      <c r="I61" s="109">
        <v>-0.35757347546418328</v>
      </c>
    </row>
    <row r="62" spans="1:9" x14ac:dyDescent="0.2">
      <c r="A62" s="1" t="s">
        <v>38</v>
      </c>
      <c r="B62" s="36" t="s">
        <v>505</v>
      </c>
      <c r="C62" s="36">
        <v>5.3269977455988604</v>
      </c>
      <c r="D62" s="44">
        <v>0.14021314793477901</v>
      </c>
      <c r="E62" s="94">
        <v>0.85236806652495634</v>
      </c>
      <c r="F62" s="94">
        <v>0.18321370518221103</v>
      </c>
      <c r="G62" s="94">
        <v>0.37970630937781852</v>
      </c>
      <c r="H62" s="94">
        <v>0.19092963381018804</v>
      </c>
      <c r="I62" s="109">
        <v>0.13211163371598883</v>
      </c>
    </row>
    <row r="63" spans="1:9" x14ac:dyDescent="0.2">
      <c r="A63" s="2" t="s">
        <v>384</v>
      </c>
      <c r="B63" s="91" t="s">
        <v>495</v>
      </c>
      <c r="C63" s="36">
        <v>2.9120112013441615</v>
      </c>
      <c r="D63" s="91">
        <v>8.9157738796050046E-2</v>
      </c>
      <c r="E63" s="94">
        <v>0.54081939028252479</v>
      </c>
      <c r="F63" s="94">
        <v>0.18228546517503072</v>
      </c>
      <c r="G63" s="94">
        <v>0.27482441807348168</v>
      </c>
      <c r="H63" s="94">
        <v>-5.2773514104278572E-2</v>
      </c>
      <c r="I63" s="109">
        <v>-0.12710149340941534</v>
      </c>
    </row>
    <row r="64" spans="1:9" x14ac:dyDescent="0.2">
      <c r="A64" s="1" t="s">
        <v>270</v>
      </c>
      <c r="B64" s="36" t="s">
        <v>495</v>
      </c>
      <c r="C64" s="36">
        <v>8.9237196782026444</v>
      </c>
      <c r="D64" s="44">
        <v>0.32774285993421692</v>
      </c>
      <c r="E64" s="94">
        <v>0.69223629840944378</v>
      </c>
      <c r="F64" s="94">
        <v>0.18107434786856416</v>
      </c>
      <c r="G64" s="94">
        <v>0.38263262448301688</v>
      </c>
      <c r="H64" s="94">
        <v>-0.20080926173185265</v>
      </c>
      <c r="I64" s="109">
        <v>-0.3190529846614778</v>
      </c>
    </row>
    <row r="65" spans="1:9" x14ac:dyDescent="0.2">
      <c r="A65" s="1" t="s">
        <v>190</v>
      </c>
      <c r="B65" s="36" t="s">
        <v>495</v>
      </c>
      <c r="C65" s="36">
        <v>10.536085746896847</v>
      </c>
      <c r="D65" s="44">
        <v>0.3814239960581427</v>
      </c>
      <c r="E65" s="94">
        <v>0.86476966442513215</v>
      </c>
      <c r="F65" s="94">
        <v>0.1807218526730722</v>
      </c>
      <c r="G65" s="94">
        <v>0.40909090909090912</v>
      </c>
      <c r="H65" s="94">
        <v>-8.3431879773343209E-2</v>
      </c>
      <c r="I65" s="109">
        <v>-0.12112952697708795</v>
      </c>
    </row>
    <row r="66" spans="1:9" x14ac:dyDescent="0.2">
      <c r="A66" s="1" t="s">
        <v>288</v>
      </c>
      <c r="B66" s="36" t="s">
        <v>495</v>
      </c>
      <c r="C66" s="36">
        <v>4.6914530971126585</v>
      </c>
      <c r="D66" s="44">
        <v>0.10723573897272698</v>
      </c>
      <c r="E66" s="94">
        <v>0.74643259270702</v>
      </c>
      <c r="F66" s="94">
        <v>0.17124354104643602</v>
      </c>
      <c r="G66" s="94">
        <v>0.38884183690928381</v>
      </c>
      <c r="H66" s="94">
        <v>4.1850597132395723E-2</v>
      </c>
      <c r="I66" s="109">
        <v>-3.8488770243618048E-2</v>
      </c>
    </row>
    <row r="67" spans="1:9" x14ac:dyDescent="0.2">
      <c r="A67" s="2" t="s">
        <v>368</v>
      </c>
      <c r="B67" s="91" t="s">
        <v>495</v>
      </c>
      <c r="C67" s="36">
        <v>1.9981420626895856</v>
      </c>
      <c r="D67" s="91">
        <v>4.8298222232614041E-2</v>
      </c>
      <c r="E67" s="94">
        <v>0.79022188481056888</v>
      </c>
      <c r="F67" s="94">
        <v>0.17043497237095404</v>
      </c>
      <c r="G67" s="94">
        <v>0.49486777806355076</v>
      </c>
      <c r="H67" s="94">
        <v>-3.383291636465665E-2</v>
      </c>
      <c r="I67" s="109">
        <v>-8.1343964086137158E-2</v>
      </c>
    </row>
    <row r="68" spans="1:9" x14ac:dyDescent="0.2">
      <c r="A68" s="1" t="s">
        <v>258</v>
      </c>
      <c r="B68" s="36" t="s">
        <v>495</v>
      </c>
      <c r="C68" s="36">
        <v>5.2102507725858258</v>
      </c>
      <c r="D68" s="44">
        <v>0.31887370772507673</v>
      </c>
      <c r="E68" s="94">
        <v>0.70741808526214944</v>
      </c>
      <c r="F68" s="94">
        <v>0.16912330746815651</v>
      </c>
      <c r="G68" s="94">
        <v>0.33921478801732324</v>
      </c>
      <c r="H68" s="94">
        <v>-5.4009471058260393E-2</v>
      </c>
      <c r="I68" s="109">
        <v>-0.10750678901855586</v>
      </c>
    </row>
    <row r="69" spans="1:9" x14ac:dyDescent="0.2">
      <c r="A69" s="1" t="s">
        <v>266</v>
      </c>
      <c r="B69" s="36" t="s">
        <v>505</v>
      </c>
      <c r="C69" s="36">
        <v>6.4028104385120033</v>
      </c>
      <c r="D69" s="44">
        <v>6.44086484290749E-2</v>
      </c>
      <c r="E69" s="94">
        <v>0.62332135603532324</v>
      </c>
      <c r="F69" s="94">
        <v>0.16845673609331249</v>
      </c>
      <c r="G69" s="94">
        <v>0.3963750489629525</v>
      </c>
      <c r="H69" s="94">
        <v>-0.148054296892001</v>
      </c>
      <c r="I69" s="109">
        <v>-0.16283748168422885</v>
      </c>
    </row>
    <row r="70" spans="1:9" x14ac:dyDescent="0.2">
      <c r="A70" s="1" t="s">
        <v>174</v>
      </c>
      <c r="B70" s="36" t="s">
        <v>505</v>
      </c>
      <c r="C70" s="36">
        <v>8.3344293965673266</v>
      </c>
      <c r="D70" s="44">
        <v>0.18951518188509064</v>
      </c>
      <c r="E70" s="94">
        <v>0.76791838483736197</v>
      </c>
      <c r="F70" s="94">
        <v>0.16761928623999747</v>
      </c>
      <c r="G70" s="94">
        <v>0.24998434050016441</v>
      </c>
      <c r="H70" s="94">
        <v>0.2628016411155828</v>
      </c>
      <c r="I70" s="109">
        <v>0.166605485032055</v>
      </c>
    </row>
    <row r="71" spans="1:9" x14ac:dyDescent="0.2">
      <c r="A71" s="1" t="s">
        <v>24</v>
      </c>
      <c r="B71" s="36" t="s">
        <v>505</v>
      </c>
      <c r="C71" s="36">
        <v>10.166276468778422</v>
      </c>
      <c r="D71" s="44">
        <v>0.30594599654365151</v>
      </c>
      <c r="E71" s="94">
        <v>0.75349984737580866</v>
      </c>
      <c r="F71" s="94">
        <v>0.16668800760149377</v>
      </c>
      <c r="G71" s="94">
        <v>0.41796603523991765</v>
      </c>
      <c r="H71" s="94">
        <v>2.6210494618110591E-2</v>
      </c>
      <c r="I71" s="109">
        <v>-3.9516806217013457E-2</v>
      </c>
    </row>
    <row r="72" spans="1:9" x14ac:dyDescent="0.2">
      <c r="A72" s="1" t="s">
        <v>252</v>
      </c>
      <c r="B72" s="36" t="s">
        <v>495</v>
      </c>
      <c r="C72" s="36">
        <v>9.2100984931490704</v>
      </c>
      <c r="D72" s="44">
        <v>0.18090878735600224</v>
      </c>
      <c r="E72" s="94">
        <v>0.70751016911802767</v>
      </c>
      <c r="F72" s="94">
        <v>0.16480466358728924</v>
      </c>
      <c r="G72" s="94">
        <v>0.20368412265568483</v>
      </c>
      <c r="H72" s="94">
        <v>0.2457844064778229</v>
      </c>
      <c r="I72" s="109">
        <v>0.14145890144137127</v>
      </c>
    </row>
    <row r="73" spans="1:9" x14ac:dyDescent="0.2">
      <c r="A73" s="1" t="s">
        <v>106</v>
      </c>
      <c r="B73" s="36" t="s">
        <v>495</v>
      </c>
      <c r="C73" s="36">
        <v>12.568502068130735</v>
      </c>
      <c r="D73" s="44">
        <v>9.8193444027594667E-2</v>
      </c>
      <c r="E73" s="94">
        <v>0.89861346901551586</v>
      </c>
      <c r="F73" s="94">
        <v>0.16431171098307554</v>
      </c>
      <c r="G73" s="94">
        <v>0.20235068486568944</v>
      </c>
      <c r="H73" s="94">
        <v>0.43761536213199226</v>
      </c>
      <c r="I73" s="109">
        <v>0.30083750676574428</v>
      </c>
    </row>
    <row r="74" spans="1:9" x14ac:dyDescent="0.2">
      <c r="A74" s="1" t="s">
        <v>294</v>
      </c>
      <c r="B74" s="36" t="s">
        <v>505</v>
      </c>
      <c r="C74" s="36">
        <v>2.0687725027599684</v>
      </c>
      <c r="D74" s="44">
        <v>9.5959012522825571E-2</v>
      </c>
      <c r="E74" s="94">
        <v>0.51518485568527572</v>
      </c>
      <c r="F74" s="94">
        <v>0.162466382526818</v>
      </c>
      <c r="G74" s="94">
        <v>0.3067190359511896</v>
      </c>
      <c r="H74" s="94">
        <v>-6.6681664062389165E-2</v>
      </c>
      <c r="I74" s="109">
        <v>-0.10494352130105246</v>
      </c>
    </row>
    <row r="75" spans="1:9" x14ac:dyDescent="0.2">
      <c r="A75" s="1" t="s">
        <v>206</v>
      </c>
      <c r="B75" s="36" t="s">
        <v>495</v>
      </c>
      <c r="C75" s="36">
        <v>8.2728247227892098</v>
      </c>
      <c r="D75" s="44">
        <v>0.11651685176986892</v>
      </c>
      <c r="E75" s="94">
        <v>0.72852385657525642</v>
      </c>
      <c r="F75" s="94">
        <v>0.16093007141069812</v>
      </c>
      <c r="G75" s="94">
        <v>0.12753065270532982</v>
      </c>
      <c r="H75" s="94">
        <v>0.3204203799588089</v>
      </c>
      <c r="I75" s="109">
        <v>0.12069220256770544</v>
      </c>
    </row>
    <row r="76" spans="1:9" x14ac:dyDescent="0.2">
      <c r="A76" s="1" t="s">
        <v>130</v>
      </c>
      <c r="B76" s="36" t="s">
        <v>495</v>
      </c>
      <c r="C76" s="36">
        <v>8.490319800310715</v>
      </c>
      <c r="D76" s="44">
        <v>0.26431414661111607</v>
      </c>
      <c r="E76" s="94">
        <v>0.80223336455862504</v>
      </c>
      <c r="F76" s="94">
        <v>0.15943171597579511</v>
      </c>
      <c r="G76" s="94">
        <v>0.48223715957670954</v>
      </c>
      <c r="H76" s="94">
        <v>-5.5513968374604379E-2</v>
      </c>
      <c r="I76" s="109">
        <v>-0.1265161452563327</v>
      </c>
    </row>
    <row r="77" spans="1:9" x14ac:dyDescent="0.2">
      <c r="A77" s="1" t="s">
        <v>276</v>
      </c>
      <c r="B77" s="36" t="s">
        <v>495</v>
      </c>
      <c r="C77" s="36">
        <v>1.3997070038910506</v>
      </c>
      <c r="D77" s="44">
        <v>1.3954699502491508E-2</v>
      </c>
      <c r="E77" s="94">
        <v>0.803981239901987</v>
      </c>
      <c r="F77" s="94">
        <v>0.15537968066344987</v>
      </c>
      <c r="G77" s="94">
        <v>0.34445264200297476</v>
      </c>
      <c r="H77" s="94">
        <v>9.3816454472644931E-2</v>
      </c>
      <c r="I77" s="109">
        <v>8.3248837108374787E-2</v>
      </c>
    </row>
    <row r="78" spans="1:9" x14ac:dyDescent="0.2">
      <c r="A78" s="2" t="s">
        <v>318</v>
      </c>
      <c r="B78" s="91" t="s">
        <v>495</v>
      </c>
      <c r="C78" s="36">
        <v>3.0714453294069579</v>
      </c>
      <c r="D78" s="91">
        <v>1.7802077457975241E-2</v>
      </c>
      <c r="E78" s="94">
        <v>0.8117360266383209</v>
      </c>
      <c r="F78" s="94">
        <v>0.15506004701658752</v>
      </c>
      <c r="G78" s="94">
        <v>0.37674202220730935</v>
      </c>
      <c r="H78" s="94">
        <v>0.16492942904952795</v>
      </c>
      <c r="I78" s="109">
        <v>6.3183463541559445E-2</v>
      </c>
    </row>
    <row r="79" spans="1:9" x14ac:dyDescent="0.2">
      <c r="A79" s="1" t="s">
        <v>44</v>
      </c>
      <c r="B79" s="36" t="s">
        <v>505</v>
      </c>
      <c r="C79" s="36">
        <v>4.1445323066153303</v>
      </c>
      <c r="D79" s="44">
        <v>3.3148505303760789E-2</v>
      </c>
      <c r="E79" s="94">
        <v>0.85486981677917073</v>
      </c>
      <c r="F79" s="94">
        <v>0.15477338476374156</v>
      </c>
      <c r="G79" s="94">
        <v>0.25578592092574737</v>
      </c>
      <c r="H79" s="94">
        <v>0.34715525554484089</v>
      </c>
      <c r="I79" s="109">
        <v>0.18998194877144337</v>
      </c>
    </row>
    <row r="80" spans="1:9" x14ac:dyDescent="0.2">
      <c r="A80" s="1" t="s">
        <v>8</v>
      </c>
      <c r="B80" s="36" t="s">
        <v>505</v>
      </c>
      <c r="C80" s="36">
        <v>4.429887145357001</v>
      </c>
      <c r="D80" s="44">
        <v>1.3397856210463077E-2</v>
      </c>
      <c r="E80" s="94">
        <v>0.79669143488302041</v>
      </c>
      <c r="F80" s="94">
        <v>0.15290189778090169</v>
      </c>
      <c r="G80" s="94">
        <v>0.21164273521437896</v>
      </c>
      <c r="H80" s="94">
        <v>0.42810523144894064</v>
      </c>
      <c r="I80" s="109">
        <v>0.2829972991471616</v>
      </c>
    </row>
    <row r="81" spans="1:9" x14ac:dyDescent="0.2">
      <c r="A81" s="1" t="s">
        <v>246</v>
      </c>
      <c r="B81" s="36" t="s">
        <v>505</v>
      </c>
      <c r="C81" s="36">
        <v>7.357837407128244</v>
      </c>
      <c r="D81" s="44">
        <v>0.31555089667677128</v>
      </c>
      <c r="E81" s="94">
        <v>0.76684702958527584</v>
      </c>
      <c r="F81" s="94">
        <v>0.15205258237243957</v>
      </c>
      <c r="G81" s="94">
        <v>0.49234779159701952</v>
      </c>
      <c r="H81" s="94">
        <v>-0.17408844944329543</v>
      </c>
      <c r="I81" s="109">
        <v>-0.19658894523613904</v>
      </c>
    </row>
    <row r="82" spans="1:9" x14ac:dyDescent="0.2">
      <c r="A82" s="1" t="s">
        <v>184</v>
      </c>
      <c r="B82" s="36" t="s">
        <v>495</v>
      </c>
      <c r="C82" s="36">
        <v>4.7479818606825619</v>
      </c>
      <c r="D82" s="44">
        <v>0.15533940728225715</v>
      </c>
      <c r="E82" s="94">
        <v>0.59195940671389624</v>
      </c>
      <c r="F82" s="94">
        <v>0.14965075153775187</v>
      </c>
      <c r="G82" s="94">
        <v>0.14052470449453497</v>
      </c>
      <c r="H82" s="94">
        <v>0.1855197460953957</v>
      </c>
      <c r="I82" s="109">
        <v>4.177908225325213E-2</v>
      </c>
    </row>
    <row r="83" spans="1:9" x14ac:dyDescent="0.2">
      <c r="A83" s="1" t="s">
        <v>88</v>
      </c>
      <c r="B83" s="36" t="s">
        <v>495</v>
      </c>
      <c r="C83" s="36">
        <v>7.0123354832491298</v>
      </c>
      <c r="D83" s="44">
        <v>0.20237266299744738</v>
      </c>
      <c r="E83" s="94">
        <v>0.62616458462270208</v>
      </c>
      <c r="F83" s="94">
        <v>0.14542604694913666</v>
      </c>
      <c r="G83" s="94">
        <v>0.26054192287300054</v>
      </c>
      <c r="H83" s="94">
        <v>0.11049378006511108</v>
      </c>
      <c r="I83" s="109">
        <v>4.5352465055309668E-2</v>
      </c>
    </row>
    <row r="84" spans="1:9" x14ac:dyDescent="0.2">
      <c r="A84" s="1" t="s">
        <v>182</v>
      </c>
      <c r="B84" s="36" t="s">
        <v>495</v>
      </c>
      <c r="C84" s="36">
        <v>6.5048979458190175</v>
      </c>
      <c r="D84" s="44">
        <v>8.4931082781860345E-2</v>
      </c>
      <c r="E84" s="94">
        <v>0.56069079800967758</v>
      </c>
      <c r="F84" s="94">
        <v>0.14542142016158499</v>
      </c>
      <c r="G84" s="94">
        <v>0.2179976452437985</v>
      </c>
      <c r="H84" s="94">
        <v>0.13823535382241892</v>
      </c>
      <c r="I84" s="109">
        <v>1.0832333013623581E-2</v>
      </c>
    </row>
    <row r="85" spans="1:9" x14ac:dyDescent="0.2">
      <c r="A85" s="2" t="s">
        <v>314</v>
      </c>
      <c r="B85" s="91" t="s">
        <v>495</v>
      </c>
      <c r="C85" s="36">
        <v>2.0150768397535712</v>
      </c>
      <c r="D85" s="91">
        <v>3.4475093708797866E-2</v>
      </c>
      <c r="E85" s="94">
        <v>0.51473002068741491</v>
      </c>
      <c r="F85" s="94">
        <v>0.14512607677574746</v>
      </c>
      <c r="G85" s="94">
        <v>0.22949292197886184</v>
      </c>
      <c r="H85" s="94">
        <v>2.0635727792309023E-2</v>
      </c>
      <c r="I85" s="109">
        <v>-3.6627147080944304E-3</v>
      </c>
    </row>
    <row r="86" spans="1:9" x14ac:dyDescent="0.2">
      <c r="A86" s="1" t="s">
        <v>196</v>
      </c>
      <c r="B86" s="36" t="s">
        <v>505</v>
      </c>
      <c r="C86" s="36">
        <v>6.0755460940922488</v>
      </c>
      <c r="D86" s="44">
        <v>0.1851860649785193</v>
      </c>
      <c r="E86" s="94">
        <v>0.84533496607909919</v>
      </c>
      <c r="F86" s="94">
        <v>0.14384658716854101</v>
      </c>
      <c r="G86" s="94">
        <v>0.43008734839589802</v>
      </c>
      <c r="H86" s="94">
        <v>0.11518518267148996</v>
      </c>
      <c r="I86" s="109">
        <v>9.1813351439375343E-2</v>
      </c>
    </row>
    <row r="87" spans="1:9" x14ac:dyDescent="0.2">
      <c r="A87" s="1" t="s">
        <v>62</v>
      </c>
      <c r="B87" s="36" t="s">
        <v>495</v>
      </c>
      <c r="C87" s="36">
        <v>4.8252930836079786</v>
      </c>
      <c r="D87" s="44">
        <v>2.8465388663426294E-2</v>
      </c>
      <c r="E87" s="94">
        <v>0.84702230782544607</v>
      </c>
      <c r="F87" s="94">
        <v>0.14296854665154235</v>
      </c>
      <c r="G87" s="94">
        <v>0.34594041478658438</v>
      </c>
      <c r="H87" s="94">
        <v>0.30666060593348987</v>
      </c>
      <c r="I87" s="109">
        <v>0.2030865917039695</v>
      </c>
    </row>
    <row r="88" spans="1:9" x14ac:dyDescent="0.2">
      <c r="A88" s="1" t="s">
        <v>10</v>
      </c>
      <c r="B88" s="36" t="s">
        <v>495</v>
      </c>
      <c r="C88" s="36">
        <v>11.381009183694736</v>
      </c>
      <c r="D88" s="44">
        <v>0.20340544504430613</v>
      </c>
      <c r="E88" s="94">
        <v>0.8709037817895926</v>
      </c>
      <c r="F88" s="94">
        <v>0.14279772999884041</v>
      </c>
      <c r="G88" s="94">
        <v>0.25636930006119946</v>
      </c>
      <c r="H88" s="94">
        <v>0.36045472818525676</v>
      </c>
      <c r="I88" s="109">
        <v>0.28179107087920752</v>
      </c>
    </row>
    <row r="89" spans="1:9" x14ac:dyDescent="0.2">
      <c r="A89" s="2" t="s">
        <v>354</v>
      </c>
      <c r="B89" s="87" t="s">
        <v>495</v>
      </c>
      <c r="C89" s="36">
        <v>9.7891752187397572</v>
      </c>
      <c r="D89" s="87">
        <v>0.35823144628240677</v>
      </c>
      <c r="E89" s="94">
        <v>0.54570361240958798</v>
      </c>
      <c r="F89" s="94">
        <v>0.14243638480769888</v>
      </c>
      <c r="G89" s="94">
        <v>0.2116168361930203</v>
      </c>
      <c r="H89" s="94">
        <v>3.130244186444741E-2</v>
      </c>
      <c r="I89" s="109">
        <v>-0.15712901126750914</v>
      </c>
    </row>
    <row r="90" spans="1:9" x14ac:dyDescent="0.2">
      <c r="A90" s="1" t="s">
        <v>154</v>
      </c>
      <c r="B90" s="92" t="s">
        <v>495</v>
      </c>
      <c r="C90" s="36">
        <v>3.3262405995961988</v>
      </c>
      <c r="D90" s="93">
        <v>8.1155047470734543E-2</v>
      </c>
      <c r="E90" s="94">
        <v>0.78162312134613177</v>
      </c>
      <c r="F90" s="94">
        <v>0.13867913676703503</v>
      </c>
      <c r="G90" s="94">
        <v>0.30699894706106162</v>
      </c>
      <c r="H90" s="94">
        <v>0.34477556473804827</v>
      </c>
      <c r="I90" s="109">
        <v>7.5428893232798611E-2</v>
      </c>
    </row>
    <row r="91" spans="1:9" x14ac:dyDescent="0.2">
      <c r="A91" s="1" t="s">
        <v>176</v>
      </c>
      <c r="B91" s="92" t="s">
        <v>495</v>
      </c>
      <c r="C91" s="36">
        <v>3.3401406603773585</v>
      </c>
      <c r="D91" s="93">
        <v>6.3792419977218628E-2</v>
      </c>
      <c r="E91" s="94">
        <v>0.55141779914388933</v>
      </c>
      <c r="F91" s="94">
        <v>0.13741086975066108</v>
      </c>
      <c r="G91" s="94">
        <v>0.10827098606532287</v>
      </c>
      <c r="H91" s="94">
        <v>0.21546212246659341</v>
      </c>
      <c r="I91" s="109">
        <v>4.819837721477066E-2</v>
      </c>
    </row>
    <row r="92" spans="1:9" x14ac:dyDescent="0.2">
      <c r="A92" s="1" t="s">
        <v>224</v>
      </c>
      <c r="B92" s="92" t="s">
        <v>495</v>
      </c>
      <c r="C92" s="36">
        <v>5.4568475555797393</v>
      </c>
      <c r="D92" s="93">
        <v>0.23761000627341433</v>
      </c>
      <c r="E92" s="94">
        <v>0.73267809586697963</v>
      </c>
      <c r="F92" s="94">
        <v>0.13600550075670845</v>
      </c>
      <c r="G92" s="94">
        <v>0.42973244064180216</v>
      </c>
      <c r="H92" s="94">
        <v>6.2447056988831899E-2</v>
      </c>
      <c r="I92" s="109">
        <v>-3.9696454737572787E-2</v>
      </c>
    </row>
    <row r="93" spans="1:9" x14ac:dyDescent="0.2">
      <c r="A93" s="1" t="s">
        <v>2</v>
      </c>
      <c r="B93" s="92" t="s">
        <v>505</v>
      </c>
      <c r="C93" s="36">
        <v>6.1767701915601814</v>
      </c>
      <c r="D93" s="93">
        <v>0.11360512866980788</v>
      </c>
      <c r="E93" s="94">
        <v>0.65247372236317502</v>
      </c>
      <c r="F93" s="94">
        <v>0.13343602754621239</v>
      </c>
      <c r="G93" s="94">
        <v>0.15829104748097136</v>
      </c>
      <c r="H93" s="94">
        <v>0.41064697354113811</v>
      </c>
      <c r="I93" s="109">
        <v>0.24918575570859006</v>
      </c>
    </row>
    <row r="94" spans="1:9" x14ac:dyDescent="0.2">
      <c r="A94" s="1" t="s">
        <v>192</v>
      </c>
      <c r="B94" s="92" t="s">
        <v>505</v>
      </c>
      <c r="C94" s="36">
        <v>2.955181786533017</v>
      </c>
      <c r="D94" s="93">
        <v>7.2713000882189682E-2</v>
      </c>
      <c r="E94" s="94">
        <v>0.85330143641298495</v>
      </c>
      <c r="F94" s="94">
        <v>0.13270048675447227</v>
      </c>
      <c r="G94" s="94">
        <v>0.57881645664164783</v>
      </c>
      <c r="H94" s="94">
        <v>2.8356900667701995E-2</v>
      </c>
      <c r="I94" s="109">
        <v>-1.0834570505356555E-2</v>
      </c>
    </row>
    <row r="95" spans="1:9" x14ac:dyDescent="0.2">
      <c r="A95" s="1" t="s">
        <v>136</v>
      </c>
      <c r="B95" s="92" t="s">
        <v>495</v>
      </c>
      <c r="C95" s="36">
        <v>3.1986545053245892</v>
      </c>
      <c r="D95" s="93">
        <v>4.7487300909792252E-2</v>
      </c>
      <c r="E95" s="94">
        <v>0.56401542074891919</v>
      </c>
      <c r="F95" s="94">
        <v>0.13253024049454606</v>
      </c>
      <c r="G95" s="94">
        <v>0.19828958856392076</v>
      </c>
      <c r="H95" s="94">
        <v>0.17174638575849141</v>
      </c>
      <c r="I95" s="109">
        <v>1.0619681589690514E-2</v>
      </c>
    </row>
    <row r="96" spans="1:9" x14ac:dyDescent="0.2">
      <c r="A96" s="1" t="s">
        <v>162</v>
      </c>
      <c r="B96" s="92" t="s">
        <v>495</v>
      </c>
      <c r="C96" s="36">
        <v>6.6749513014078792</v>
      </c>
      <c r="D96" s="93">
        <v>0.3669350534706135</v>
      </c>
      <c r="E96" s="94">
        <v>0.83004221347896434</v>
      </c>
      <c r="F96" s="94">
        <v>0.13248941982869786</v>
      </c>
      <c r="G96" s="94">
        <v>0.4353895551279573</v>
      </c>
      <c r="H96" s="94">
        <v>-7.7149426348448957E-2</v>
      </c>
      <c r="I96" s="109">
        <v>-0.13688015485851276</v>
      </c>
    </row>
    <row r="97" spans="1:9" x14ac:dyDescent="0.2">
      <c r="A97" s="1" t="s">
        <v>12</v>
      </c>
      <c r="B97" s="92" t="s">
        <v>495</v>
      </c>
      <c r="C97" s="36">
        <v>7.2125454410523382</v>
      </c>
      <c r="D97" s="93">
        <v>0.2188899261151187</v>
      </c>
      <c r="E97" s="94">
        <v>0.74036718925317502</v>
      </c>
      <c r="F97" s="94">
        <v>0.13141762575305613</v>
      </c>
      <c r="G97" s="94">
        <v>0.40864399631607928</v>
      </c>
      <c r="H97" s="94">
        <v>0.11068787166254691</v>
      </c>
      <c r="I97" s="109">
        <v>4.0826302631850615E-2</v>
      </c>
    </row>
    <row r="98" spans="1:9" x14ac:dyDescent="0.2">
      <c r="A98" s="1" t="s">
        <v>244</v>
      </c>
      <c r="B98" s="92" t="s">
        <v>495</v>
      </c>
      <c r="C98" s="36">
        <v>7.2118645836259514</v>
      </c>
      <c r="D98" s="93">
        <v>0.25507824501493381</v>
      </c>
      <c r="E98" s="94">
        <v>0.74437778330125193</v>
      </c>
      <c r="F98" s="94">
        <v>0.12937751519821902</v>
      </c>
      <c r="G98" s="94">
        <v>0.63955918868960371</v>
      </c>
      <c r="H98" s="94">
        <v>-0.34254040686400428</v>
      </c>
      <c r="I98" s="109">
        <v>-0.36914925230302753</v>
      </c>
    </row>
    <row r="99" spans="1:9" x14ac:dyDescent="0.2">
      <c r="A99" s="1" t="s">
        <v>116</v>
      </c>
      <c r="B99" s="92" t="s">
        <v>495</v>
      </c>
      <c r="C99" s="36">
        <v>7.8507875107814389</v>
      </c>
      <c r="D99" s="93">
        <v>0.24618641590165691</v>
      </c>
      <c r="E99" s="94">
        <v>0.762424464362504</v>
      </c>
      <c r="F99" s="94">
        <v>0.12923707680824939</v>
      </c>
      <c r="G99" s="94">
        <v>0.44725817491409769</v>
      </c>
      <c r="H99" s="94">
        <v>3.4080313081651117E-3</v>
      </c>
      <c r="I99" s="109">
        <v>-3.8053292150637866E-2</v>
      </c>
    </row>
    <row r="100" spans="1:9" x14ac:dyDescent="0.2">
      <c r="A100" s="1" t="s">
        <v>60</v>
      </c>
      <c r="B100" s="92" t="s">
        <v>505</v>
      </c>
      <c r="C100" s="36">
        <v>6.4736606852984853</v>
      </c>
      <c r="D100" s="93">
        <v>0.17074887275201789</v>
      </c>
      <c r="E100" s="94">
        <v>0.74903642068615961</v>
      </c>
      <c r="F100" s="94">
        <v>0.12911717555029012</v>
      </c>
      <c r="G100" s="94">
        <v>0.42976486419382226</v>
      </c>
      <c r="H100" s="94">
        <v>0.1310568696990225</v>
      </c>
      <c r="I100" s="109">
        <v>8.3799201194223835E-2</v>
      </c>
    </row>
    <row r="101" spans="1:9" x14ac:dyDescent="0.2">
      <c r="A101" s="2" t="s">
        <v>332</v>
      </c>
      <c r="B101" s="87" t="s">
        <v>495</v>
      </c>
      <c r="C101" s="36">
        <v>4.8337773589754578</v>
      </c>
      <c r="D101" s="87">
        <v>0.34531610141587099</v>
      </c>
      <c r="E101" s="94">
        <v>0.66982218315619402</v>
      </c>
      <c r="F101" s="94">
        <v>0.12555976292393811</v>
      </c>
      <c r="G101" s="94">
        <v>0.12600428054000659</v>
      </c>
      <c r="H101" s="94">
        <v>0.210594336516299</v>
      </c>
      <c r="I101" s="109">
        <v>-1.6795940704626276E-2</v>
      </c>
    </row>
    <row r="102" spans="1:9" x14ac:dyDescent="0.2">
      <c r="A102" s="1" t="s">
        <v>56</v>
      </c>
      <c r="B102" s="92" t="s">
        <v>495</v>
      </c>
      <c r="C102" s="36">
        <v>4.3292629004258751</v>
      </c>
      <c r="D102" s="93">
        <v>0.16425784080600758</v>
      </c>
      <c r="E102" s="94">
        <v>0.88006613303762016</v>
      </c>
      <c r="F102" s="94">
        <v>0.12216788959801611</v>
      </c>
      <c r="G102" s="94">
        <v>6.4733952045345974E-2</v>
      </c>
      <c r="H102" s="94">
        <v>0.25307575733177318</v>
      </c>
      <c r="I102" s="109">
        <v>0.10323290266826267</v>
      </c>
    </row>
    <row r="103" spans="1:9" x14ac:dyDescent="0.2">
      <c r="A103" s="1" t="s">
        <v>218</v>
      </c>
      <c r="B103" s="92" t="s">
        <v>495</v>
      </c>
      <c r="C103" s="36">
        <v>7.7644892299367179</v>
      </c>
      <c r="D103" s="93">
        <v>0.18003272596659103</v>
      </c>
      <c r="E103" s="94">
        <v>0.59036668010725346</v>
      </c>
      <c r="F103" s="94">
        <v>0.12026127560319098</v>
      </c>
      <c r="G103" s="94">
        <v>0.29519886124278849</v>
      </c>
      <c r="H103" s="94">
        <v>4.7195455613744906E-2</v>
      </c>
      <c r="I103" s="109">
        <v>-1.0447476597386358E-2</v>
      </c>
    </row>
    <row r="104" spans="1:9" x14ac:dyDescent="0.2">
      <c r="A104" s="1" t="s">
        <v>180</v>
      </c>
      <c r="B104" s="92" t="s">
        <v>495</v>
      </c>
      <c r="C104" s="36">
        <v>5.0900997981504945</v>
      </c>
      <c r="D104" s="93">
        <v>2.540134236457936E-2</v>
      </c>
      <c r="E104" s="94">
        <v>0.71700598229941115</v>
      </c>
      <c r="F104" s="94">
        <v>0.11932450489235281</v>
      </c>
      <c r="G104" s="94">
        <v>0.46260940887439295</v>
      </c>
      <c r="H104" s="94">
        <v>3.0305247390167545E-2</v>
      </c>
      <c r="I104" s="109">
        <v>-7.793685572468817E-2</v>
      </c>
    </row>
    <row r="105" spans="1:9" x14ac:dyDescent="0.2">
      <c r="A105" s="1" t="s">
        <v>208</v>
      </c>
      <c r="B105" s="92" t="s">
        <v>495</v>
      </c>
      <c r="C105" s="36">
        <v>8.7731952120848646</v>
      </c>
      <c r="D105" s="93">
        <v>0.21665138383569471</v>
      </c>
      <c r="E105" s="94">
        <v>0.77642204217040689</v>
      </c>
      <c r="F105" s="94">
        <v>0.11769751826544797</v>
      </c>
      <c r="G105" s="94">
        <v>0.54118476449650466</v>
      </c>
      <c r="H105" s="94">
        <v>-6.6416225436546669E-2</v>
      </c>
      <c r="I105" s="109">
        <v>-0.16722539085440391</v>
      </c>
    </row>
    <row r="106" spans="1:9" x14ac:dyDescent="0.2">
      <c r="A106" s="1" t="s">
        <v>124</v>
      </c>
      <c r="B106" s="92" t="s">
        <v>495</v>
      </c>
      <c r="C106" s="36">
        <v>5.5983514970295474</v>
      </c>
      <c r="D106" s="93">
        <v>0.21456790793125591</v>
      </c>
      <c r="E106" s="94">
        <v>0.60719161055548021</v>
      </c>
      <c r="F106" s="94">
        <v>0.11552762462691676</v>
      </c>
      <c r="G106" s="94">
        <v>0.21320020509085089</v>
      </c>
      <c r="H106" s="94">
        <v>0.19625825432557015</v>
      </c>
      <c r="I106" s="109">
        <v>5.0853760092755822E-2</v>
      </c>
    </row>
    <row r="107" spans="1:9" x14ac:dyDescent="0.2">
      <c r="A107" s="2" t="s">
        <v>326</v>
      </c>
      <c r="B107" s="87" t="s">
        <v>505</v>
      </c>
      <c r="C107" s="36">
        <v>2.6890396514513135</v>
      </c>
      <c r="D107" s="87">
        <v>0.1109023118563639</v>
      </c>
      <c r="E107" s="94">
        <v>0.71395387976494418</v>
      </c>
      <c r="F107" s="94">
        <v>0.11523891176265338</v>
      </c>
      <c r="G107" s="94">
        <v>0.29406135042717996</v>
      </c>
      <c r="H107" s="94">
        <v>9.2239978466538378E-2</v>
      </c>
      <c r="I107" s="109">
        <v>3.6190930381431376E-2</v>
      </c>
    </row>
    <row r="108" spans="1:9" x14ac:dyDescent="0.2">
      <c r="A108" s="1" t="s">
        <v>86</v>
      </c>
      <c r="B108" s="92" t="s">
        <v>495</v>
      </c>
      <c r="C108" s="36">
        <v>3.8518125773037823</v>
      </c>
      <c r="D108" s="93">
        <v>2.8701272821758383E-2</v>
      </c>
      <c r="E108" s="94">
        <v>0.66204989520726754</v>
      </c>
      <c r="F108" s="94">
        <v>0.11489638009676614</v>
      </c>
      <c r="G108" s="94">
        <v>0.18804109488317342</v>
      </c>
      <c r="H108" s="94">
        <v>0.35220537069472913</v>
      </c>
      <c r="I108" s="109">
        <v>9.9335982673200984E-2</v>
      </c>
    </row>
    <row r="109" spans="1:9" x14ac:dyDescent="0.2">
      <c r="A109" s="1" t="s">
        <v>254</v>
      </c>
      <c r="B109" s="92" t="s">
        <v>495</v>
      </c>
      <c r="C109" s="36">
        <v>4.0362890436273213</v>
      </c>
      <c r="D109" s="93">
        <v>0.17939844250499792</v>
      </c>
      <c r="E109" s="94">
        <v>0.75537864054497039</v>
      </c>
      <c r="F109" s="94">
        <v>0.11202181394405508</v>
      </c>
      <c r="G109" s="94">
        <v>0.5924919598103191</v>
      </c>
      <c r="H109" s="94">
        <v>-4.3202941148065041E-2</v>
      </c>
      <c r="I109" s="109">
        <v>0.13635747211584634</v>
      </c>
    </row>
    <row r="110" spans="1:9" x14ac:dyDescent="0.2">
      <c r="A110" s="1" t="s">
        <v>164</v>
      </c>
      <c r="B110" s="92" t="s">
        <v>495</v>
      </c>
      <c r="C110" s="36">
        <v>4.1098323278361049</v>
      </c>
      <c r="D110" s="93">
        <v>4.5615783060939163E-2</v>
      </c>
      <c r="E110" s="94">
        <v>0.55351752109061769</v>
      </c>
      <c r="F110" s="94">
        <v>0.10793054396821301</v>
      </c>
      <c r="G110" s="94">
        <v>0.20830207251709093</v>
      </c>
      <c r="H110" s="94">
        <v>0.19488262938976889</v>
      </c>
      <c r="I110" s="109">
        <v>9.621988776192282E-2</v>
      </c>
    </row>
    <row r="111" spans="1:9" x14ac:dyDescent="0.2">
      <c r="A111" s="2" t="s">
        <v>364</v>
      </c>
      <c r="B111" s="87" t="s">
        <v>495</v>
      </c>
      <c r="C111" s="36">
        <v>2.2066003330557868</v>
      </c>
      <c r="D111" s="87">
        <v>6.0804126625211952E-2</v>
      </c>
      <c r="E111" s="94">
        <v>0.5408246156655846</v>
      </c>
      <c r="F111" s="94">
        <v>0.1049056670435274</v>
      </c>
      <c r="G111" s="94">
        <v>0.18246537591859807</v>
      </c>
      <c r="H111" s="94">
        <v>0.14979331543244773</v>
      </c>
      <c r="I111" s="109">
        <v>8.4802501413227815E-2</v>
      </c>
    </row>
    <row r="112" spans="1:9" x14ac:dyDescent="0.2">
      <c r="A112" s="1" t="s">
        <v>172</v>
      </c>
      <c r="B112" s="92" t="s">
        <v>495</v>
      </c>
      <c r="C112" s="36">
        <v>5.0464857499109375</v>
      </c>
      <c r="D112" s="93">
        <v>4.5144101474923204E-3</v>
      </c>
      <c r="E112" s="94">
        <v>0.57631465170524854</v>
      </c>
      <c r="F112" s="94">
        <v>0.10324991008755058</v>
      </c>
      <c r="G112" s="94">
        <v>8.4959660175673718E-2</v>
      </c>
      <c r="H112" s="94">
        <v>0.27209922755812105</v>
      </c>
      <c r="I112" s="109">
        <v>0.18931979666366661</v>
      </c>
    </row>
    <row r="113" spans="1:9" x14ac:dyDescent="0.2">
      <c r="A113" s="1" t="s">
        <v>50</v>
      </c>
      <c r="B113" s="92" t="s">
        <v>505</v>
      </c>
      <c r="C113" s="36">
        <v>6.62695871340149</v>
      </c>
      <c r="D113" s="93">
        <v>3.3457797796119682E-2</v>
      </c>
      <c r="E113" s="94">
        <v>0.89545407388358411</v>
      </c>
      <c r="F113" s="94">
        <v>0.1014198226921753</v>
      </c>
      <c r="G113" s="94">
        <v>0.22848902461718351</v>
      </c>
      <c r="H113" s="94">
        <v>0.50062601249283711</v>
      </c>
      <c r="I113" s="109">
        <v>0.43366146404157885</v>
      </c>
    </row>
    <row r="114" spans="1:9" x14ac:dyDescent="0.2">
      <c r="A114" s="1" t="s">
        <v>226</v>
      </c>
      <c r="B114" s="92" t="s">
        <v>495</v>
      </c>
      <c r="C114" s="36">
        <v>9.7853713869322334</v>
      </c>
      <c r="D114" s="93">
        <v>0.24470915467408383</v>
      </c>
      <c r="E114" s="94">
        <v>0.6194763558189732</v>
      </c>
      <c r="F114" s="94">
        <v>0.10024186721489901</v>
      </c>
      <c r="G114" s="94">
        <v>0.17359414681339944</v>
      </c>
      <c r="H114" s="94">
        <v>0.18834804692223969</v>
      </c>
      <c r="I114" s="109">
        <v>0.1092716168823316</v>
      </c>
    </row>
    <row r="115" spans="1:9" x14ac:dyDescent="0.2">
      <c r="A115" s="1" t="s">
        <v>168</v>
      </c>
      <c r="B115" s="92" t="s">
        <v>495</v>
      </c>
      <c r="C115" s="36">
        <v>7.0749901682228113</v>
      </c>
      <c r="D115" s="93">
        <v>0.19889173489578238</v>
      </c>
      <c r="E115" s="94">
        <v>0.60480442215913743</v>
      </c>
      <c r="F115" s="94">
        <v>9.9714722390716423E-2</v>
      </c>
      <c r="G115" s="94">
        <v>0.25291965872639571</v>
      </c>
      <c r="H115" s="94">
        <v>0.12320178424324617</v>
      </c>
      <c r="I115" s="109">
        <v>1.0140546239076941E-2</v>
      </c>
    </row>
    <row r="116" spans="1:9" x14ac:dyDescent="0.2">
      <c r="A116" s="1" t="s">
        <v>272</v>
      </c>
      <c r="B116" s="92" t="s">
        <v>495</v>
      </c>
      <c r="C116" s="36">
        <v>5.2308952422745243</v>
      </c>
      <c r="D116" s="93">
        <v>8.8234917900679388E-2</v>
      </c>
      <c r="E116" s="94">
        <v>0.666298567071818</v>
      </c>
      <c r="F116" s="94">
        <v>9.8847496940729029E-2</v>
      </c>
      <c r="G116" s="94">
        <v>0.31251465678603868</v>
      </c>
      <c r="H116" s="94">
        <v>0.10634750760020978</v>
      </c>
      <c r="I116" s="109">
        <v>4.2834057467392654E-2</v>
      </c>
    </row>
    <row r="117" spans="1:9" x14ac:dyDescent="0.2">
      <c r="A117" s="1" t="s">
        <v>248</v>
      </c>
      <c r="B117" s="92" t="s">
        <v>495</v>
      </c>
      <c r="C117" s="36">
        <v>4.16037951302041</v>
      </c>
      <c r="D117" s="93">
        <v>0.27187065021134593</v>
      </c>
      <c r="E117" s="94">
        <v>0.63627342087059102</v>
      </c>
      <c r="F117" s="94">
        <v>7.8668578346737558E-2</v>
      </c>
      <c r="G117" s="94">
        <v>3.7884262798690331E-2</v>
      </c>
      <c r="H117" s="94">
        <v>0.33725429140417862</v>
      </c>
      <c r="I117" s="109">
        <v>0.24665552810936545</v>
      </c>
    </row>
    <row r="118" spans="1:9" x14ac:dyDescent="0.2">
      <c r="A118" s="1" t="s">
        <v>72</v>
      </c>
      <c r="B118" s="92" t="s">
        <v>495</v>
      </c>
      <c r="C118" s="36">
        <v>4.1965213012924441</v>
      </c>
      <c r="D118" s="93">
        <v>1.003082767454107</v>
      </c>
      <c r="E118" s="94">
        <v>0.4120739852790079</v>
      </c>
      <c r="F118" s="94">
        <v>7.0519627749966091E-2</v>
      </c>
      <c r="G118" s="94">
        <v>5.4475715675295321E-2</v>
      </c>
      <c r="H118" s="94">
        <v>0.34420158714463439</v>
      </c>
      <c r="I118" s="109">
        <v>0.11994384890125027</v>
      </c>
    </row>
    <row r="119" spans="1:9" x14ac:dyDescent="0.2">
      <c r="A119" s="1" t="s">
        <v>98</v>
      </c>
      <c r="B119" s="92" t="s">
        <v>495</v>
      </c>
      <c r="C119" s="36">
        <v>11.913384585692228</v>
      </c>
      <c r="D119" s="93">
        <v>0.24844386259407103</v>
      </c>
      <c r="E119" s="94">
        <v>0.83627025868933325</v>
      </c>
      <c r="F119" s="94">
        <v>6.1100982274089007E-2</v>
      </c>
      <c r="G119" s="94">
        <v>0.30221593966604288</v>
      </c>
      <c r="H119" s="94">
        <v>0.29743909980964922</v>
      </c>
      <c r="I119" s="109">
        <v>0.20995365661793713</v>
      </c>
    </row>
    <row r="120" spans="1:9" x14ac:dyDescent="0.2">
      <c r="A120" s="1" t="s">
        <v>158</v>
      </c>
      <c r="B120" s="92" t="s">
        <v>495</v>
      </c>
      <c r="C120" s="36">
        <v>3.4114083075348165</v>
      </c>
      <c r="D120" s="93">
        <v>8.0987787740784078E-2</v>
      </c>
      <c r="E120" s="94">
        <v>0.84096872684757851</v>
      </c>
      <c r="F120" s="94">
        <v>3.9709695573962374E-2</v>
      </c>
      <c r="G120" s="94">
        <v>0.28510463458172064</v>
      </c>
      <c r="H120" s="94">
        <v>0.35636412722889443</v>
      </c>
      <c r="I120" s="109">
        <v>0.1301536113691058</v>
      </c>
    </row>
    <row r="121" spans="1:9" x14ac:dyDescent="0.2">
      <c r="A121" s="2" t="s">
        <v>356</v>
      </c>
      <c r="B121" s="87" t="s">
        <v>495</v>
      </c>
      <c r="C121" s="36">
        <v>1.245534219269103</v>
      </c>
      <c r="D121" s="87">
        <v>0.10785176133707775</v>
      </c>
      <c r="E121" s="94">
        <v>0.32237014296227734</v>
      </c>
      <c r="F121" s="94">
        <v>2.5550521352830539E-2</v>
      </c>
      <c r="G121" s="94">
        <v>0.10027346639823038</v>
      </c>
      <c r="H121" s="94">
        <v>0.15434104903624257</v>
      </c>
      <c r="I121" s="109">
        <v>6.6964827721336634E-2</v>
      </c>
    </row>
  </sheetData>
  <autoFilter ref="A1:I1" xr:uid="{00000000-0009-0000-0000-000018000000}">
    <sortState xmlns:xlrd2="http://schemas.microsoft.com/office/spreadsheetml/2017/richdata2" ref="A2:I121">
      <sortCondition descending="1" ref="F1"/>
    </sortState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K198"/>
  <sheetViews>
    <sheetView topLeftCell="A2" zoomScale="85" zoomScaleNormal="85" workbookViewId="0">
      <selection activeCell="E20" sqref="E20"/>
    </sheetView>
  </sheetViews>
  <sheetFormatPr defaultRowHeight="12.75" x14ac:dyDescent="0.2"/>
  <cols>
    <col min="1" max="1" width="18.7109375" bestFit="1" customWidth="1"/>
    <col min="2" max="2" width="16.42578125" bestFit="1" customWidth="1"/>
    <col min="3" max="3" width="13.7109375" bestFit="1" customWidth="1"/>
    <col min="4" max="4" width="12.5703125" bestFit="1" customWidth="1"/>
    <col min="5" max="6" width="13.5703125" bestFit="1" customWidth="1"/>
  </cols>
  <sheetData>
    <row r="1" spans="1:9" x14ac:dyDescent="0.2">
      <c r="A1" t="s">
        <v>515</v>
      </c>
    </row>
    <row r="2" spans="1:9" ht="13.5" thickBot="1" x14ac:dyDescent="0.25"/>
    <row r="3" spans="1:9" x14ac:dyDescent="0.2">
      <c r="A3" s="101" t="s">
        <v>516</v>
      </c>
      <c r="B3" s="101"/>
    </row>
    <row r="4" spans="1:9" x14ac:dyDescent="0.2">
      <c r="A4" s="98" t="s">
        <v>517</v>
      </c>
      <c r="B4" s="98">
        <v>0.48667149024028411</v>
      </c>
    </row>
    <row r="5" spans="1:9" x14ac:dyDescent="0.2">
      <c r="A5" s="98" t="s">
        <v>518</v>
      </c>
      <c r="B5" s="98">
        <v>0.23684913941269894</v>
      </c>
    </row>
    <row r="6" spans="1:9" x14ac:dyDescent="0.2">
      <c r="A6" s="98" t="s">
        <v>519</v>
      </c>
      <c r="B6" s="98">
        <v>0.21314880212737902</v>
      </c>
    </row>
    <row r="7" spans="1:9" x14ac:dyDescent="0.2">
      <c r="A7" s="98" t="s">
        <v>520</v>
      </c>
      <c r="B7" s="98">
        <v>2.6337274628015135</v>
      </c>
    </row>
    <row r="8" spans="1:9" ht="13.5" thickBot="1" x14ac:dyDescent="0.25">
      <c r="A8" s="99" t="s">
        <v>521</v>
      </c>
      <c r="B8" s="99">
        <v>167</v>
      </c>
    </row>
    <row r="10" spans="1:9" ht="13.5" thickBot="1" x14ac:dyDescent="0.25">
      <c r="A10" t="s">
        <v>522</v>
      </c>
    </row>
    <row r="11" spans="1:9" x14ac:dyDescent="0.2">
      <c r="A11" s="100"/>
      <c r="B11" s="100" t="s">
        <v>527</v>
      </c>
      <c r="C11" s="100" t="s">
        <v>528</v>
      </c>
      <c r="D11" s="100" t="s">
        <v>529</v>
      </c>
      <c r="E11" s="100" t="s">
        <v>530</v>
      </c>
      <c r="F11" s="100" t="s">
        <v>531</v>
      </c>
    </row>
    <row r="12" spans="1:9" x14ac:dyDescent="0.2">
      <c r="A12" s="98" t="s">
        <v>523</v>
      </c>
      <c r="B12" s="98">
        <v>5</v>
      </c>
      <c r="C12" s="98">
        <v>346.60031526949683</v>
      </c>
      <c r="D12" s="98">
        <v>69.320063053899361</v>
      </c>
      <c r="E12" s="98">
        <v>9.9934923525077561</v>
      </c>
      <c r="F12" s="98">
        <v>2.4122424076776051E-8</v>
      </c>
    </row>
    <row r="13" spans="1:9" x14ac:dyDescent="0.2">
      <c r="A13" s="98" t="s">
        <v>524</v>
      </c>
      <c r="B13" s="98">
        <v>161</v>
      </c>
      <c r="C13" s="98">
        <v>1116.7797760786984</v>
      </c>
      <c r="D13" s="98">
        <v>6.9365203483148967</v>
      </c>
      <c r="E13" s="98"/>
      <c r="F13" s="98"/>
    </row>
    <row r="14" spans="1:9" ht="13.5" thickBot="1" x14ac:dyDescent="0.25">
      <c r="A14" s="99" t="s">
        <v>525</v>
      </c>
      <c r="B14" s="99">
        <v>166</v>
      </c>
      <c r="C14" s="99">
        <v>1463.3800913481953</v>
      </c>
      <c r="D14" s="99"/>
      <c r="E14" s="99"/>
      <c r="F14" s="99"/>
    </row>
    <row r="15" spans="1:9" ht="13.5" thickBot="1" x14ac:dyDescent="0.25"/>
    <row r="16" spans="1:9" x14ac:dyDescent="0.2">
      <c r="A16" s="100"/>
      <c r="B16" s="100" t="s">
        <v>532</v>
      </c>
      <c r="C16" s="100" t="s">
        <v>520</v>
      </c>
      <c r="D16" s="100" t="s">
        <v>533</v>
      </c>
      <c r="E16" s="100" t="s">
        <v>534</v>
      </c>
      <c r="F16" s="100" t="s">
        <v>535</v>
      </c>
      <c r="G16" s="100" t="s">
        <v>536</v>
      </c>
      <c r="H16" s="100" t="s">
        <v>537</v>
      </c>
      <c r="I16" s="100" t="s">
        <v>538</v>
      </c>
    </row>
    <row r="17" spans="1:11" x14ac:dyDescent="0.2">
      <c r="A17" s="98" t="s">
        <v>526</v>
      </c>
      <c r="B17" s="98">
        <v>0.31375193223994619</v>
      </c>
      <c r="C17" s="98">
        <v>0.84063886451953984</v>
      </c>
      <c r="D17" s="98">
        <v>0.37323034359025087</v>
      </c>
      <c r="E17" s="98">
        <v>0.70946796848800231</v>
      </c>
      <c r="F17" s="98">
        <v>-1.3463484996542776</v>
      </c>
      <c r="G17" s="98">
        <v>1.9738523641341701</v>
      </c>
      <c r="H17" s="98">
        <v>-1.3463484996542776</v>
      </c>
      <c r="I17" s="98">
        <v>1.9738523641341701</v>
      </c>
    </row>
    <row r="18" spans="1:11" x14ac:dyDescent="0.2">
      <c r="A18" s="98" t="s">
        <v>464</v>
      </c>
      <c r="B18" s="98">
        <v>0.6960534665010456</v>
      </c>
      <c r="C18" s="98">
        <v>0.43981779131059517</v>
      </c>
      <c r="D18" s="98">
        <v>1.5825950660770318</v>
      </c>
      <c r="E18" s="98">
        <v>0.11547622376912486</v>
      </c>
      <c r="F18" s="98">
        <v>-0.17250226667551782</v>
      </c>
      <c r="G18" s="98">
        <v>1.564609199677609</v>
      </c>
      <c r="H18" s="98">
        <v>-0.17250226667551782</v>
      </c>
      <c r="I18" s="98">
        <v>1.564609199677609</v>
      </c>
    </row>
    <row r="19" spans="1:11" x14ac:dyDescent="0.2">
      <c r="A19" s="98" t="s">
        <v>507</v>
      </c>
      <c r="B19" s="98">
        <v>8.6909741451412419</v>
      </c>
      <c r="C19" s="98">
        <v>1.3765006669594135</v>
      </c>
      <c r="D19" s="98">
        <v>6.3138176055802067</v>
      </c>
      <c r="E19" s="102">
        <v>2.5389468281819471E-9</v>
      </c>
      <c r="F19" s="98">
        <v>5.972649489728056</v>
      </c>
      <c r="G19" s="98">
        <v>11.409298800554428</v>
      </c>
      <c r="H19" s="98">
        <v>5.972649489728056</v>
      </c>
      <c r="I19" s="98">
        <v>11.409298800554428</v>
      </c>
    </row>
    <row r="20" spans="1:11" x14ac:dyDescent="0.2">
      <c r="A20" s="98" t="s">
        <v>508</v>
      </c>
      <c r="B20" s="98">
        <v>-4.0714623210858321</v>
      </c>
      <c r="C20" s="98">
        <v>2.5710652406329322</v>
      </c>
      <c r="D20" s="98">
        <v>-1.5835702092427415</v>
      </c>
      <c r="E20" s="98">
        <v>0.11525390894201153</v>
      </c>
      <c r="F20" s="98">
        <v>-9.1488227627095089</v>
      </c>
      <c r="G20" s="98">
        <v>1.0058981205378448</v>
      </c>
      <c r="H20" s="98">
        <v>-9.1488227627095089</v>
      </c>
      <c r="I20" s="98">
        <v>1.0058981205378448</v>
      </c>
    </row>
    <row r="21" spans="1:11" x14ac:dyDescent="0.2">
      <c r="A21" s="98" t="s">
        <v>511</v>
      </c>
      <c r="B21" s="98">
        <v>-2.9036425305496576</v>
      </c>
      <c r="C21" s="98">
        <v>2.5985451550643988</v>
      </c>
      <c r="D21" s="98">
        <v>-1.1174108423286944</v>
      </c>
      <c r="E21" s="98">
        <v>0.26548338779126185</v>
      </c>
      <c r="F21" s="98">
        <v>-8.0352705295532409</v>
      </c>
      <c r="G21" s="98">
        <v>2.2279854684539262</v>
      </c>
      <c r="H21" s="98">
        <v>-8.0352705295532409</v>
      </c>
      <c r="I21" s="98">
        <v>2.2279854684539262</v>
      </c>
    </row>
    <row r="22" spans="1:11" ht="13.5" thickBot="1" x14ac:dyDescent="0.25">
      <c r="A22" s="99" t="s">
        <v>512</v>
      </c>
      <c r="B22" s="99">
        <v>0.32903424020175825</v>
      </c>
      <c r="C22" s="99">
        <v>2.7908190383144134</v>
      </c>
      <c r="D22" s="99">
        <v>0.11789880880291218</v>
      </c>
      <c r="E22" s="99">
        <v>0.90629479647280775</v>
      </c>
      <c r="F22" s="99">
        <v>-5.1822977792764942</v>
      </c>
      <c r="G22" s="99">
        <v>5.8403662596800103</v>
      </c>
      <c r="H22" s="99">
        <v>-5.1822977792764942</v>
      </c>
      <c r="I22" s="99">
        <v>5.8403662596800103</v>
      </c>
    </row>
    <row r="24" spans="1:11" x14ac:dyDescent="0.2">
      <c r="A24" s="103" t="s">
        <v>417</v>
      </c>
      <c r="B24" s="97"/>
      <c r="C24" s="97"/>
      <c r="D24" s="97"/>
      <c r="E24" s="97"/>
      <c r="F24" s="97"/>
      <c r="G24" s="97"/>
      <c r="H24" s="97"/>
      <c r="I24" s="97"/>
      <c r="J24" s="97"/>
      <c r="K24" s="97"/>
    </row>
    <row r="25" spans="1:11" ht="51" x14ac:dyDescent="0.2">
      <c r="A25" s="104" t="s">
        <v>543</v>
      </c>
      <c r="B25" s="104" t="s">
        <v>544</v>
      </c>
      <c r="C25" s="104" t="s">
        <v>545</v>
      </c>
      <c r="D25" s="104" t="s">
        <v>511</v>
      </c>
      <c r="E25" s="104" t="s">
        <v>546</v>
      </c>
      <c r="F25" s="104" t="s">
        <v>547</v>
      </c>
      <c r="G25" s="104" t="s">
        <v>548</v>
      </c>
      <c r="H25" s="104" t="s">
        <v>549</v>
      </c>
      <c r="I25" s="104" t="s">
        <v>550</v>
      </c>
      <c r="J25" s="104" t="s">
        <v>551</v>
      </c>
      <c r="K25" s="105" t="s">
        <v>552</v>
      </c>
    </row>
    <row r="26" spans="1:11" x14ac:dyDescent="0.2">
      <c r="A26" s="97">
        <v>130.10118946520222</v>
      </c>
      <c r="B26" s="106">
        <v>0.95186293134429523</v>
      </c>
      <c r="C26" s="106">
        <v>0.67130058594359487</v>
      </c>
      <c r="D26" s="106">
        <v>-1.1489536082332299</v>
      </c>
      <c r="E26" s="107">
        <f>B19*B26</f>
        <v>8.2726161260316236</v>
      </c>
      <c r="F26" s="108">
        <f>TINV(0.05,B13)</f>
        <v>1.9748080917517898</v>
      </c>
      <c r="G26" s="108">
        <f>B7*1.1</f>
        <v>2.8971002090816649</v>
      </c>
      <c r="H26" s="108">
        <f>F26*G26</f>
        <v>5.7212169355102738</v>
      </c>
      <c r="I26" s="110">
        <f>E26-H26</f>
        <v>2.5513991905213498</v>
      </c>
      <c r="J26" s="97">
        <f>E26+I26</f>
        <v>10.824015316552973</v>
      </c>
      <c r="K26" s="97">
        <f>J26-I26</f>
        <v>8.2726161260316236</v>
      </c>
    </row>
    <row r="29" spans="1:11" x14ac:dyDescent="0.2">
      <c r="A29" t="s">
        <v>539</v>
      </c>
    </row>
    <row r="30" spans="1:11" ht="13.5" thickBot="1" x14ac:dyDescent="0.25"/>
    <row r="31" spans="1:11" x14ac:dyDescent="0.2">
      <c r="A31" s="100" t="s">
        <v>540</v>
      </c>
      <c r="B31" s="100" t="s">
        <v>541</v>
      </c>
      <c r="C31" s="100" t="s">
        <v>542</v>
      </c>
    </row>
    <row r="32" spans="1:11" x14ac:dyDescent="0.2">
      <c r="A32" s="98">
        <v>1</v>
      </c>
      <c r="B32" s="98">
        <v>4.4097982972586358</v>
      </c>
      <c r="C32" s="98">
        <v>1.7669718943015456</v>
      </c>
    </row>
    <row r="33" spans="1:3" x14ac:dyDescent="0.2">
      <c r="A33" s="98">
        <v>2</v>
      </c>
      <c r="B33" s="98">
        <v>5.4746191468033576</v>
      </c>
      <c r="C33" s="98">
        <v>-1.0447320014463566</v>
      </c>
    </row>
    <row r="34" spans="1:3" x14ac:dyDescent="0.2">
      <c r="A34" s="98">
        <v>3</v>
      </c>
      <c r="B34" s="98">
        <v>6.4890269023863878</v>
      </c>
      <c r="C34" s="98">
        <v>4.8919822813083487</v>
      </c>
    </row>
    <row r="35" spans="1:3" x14ac:dyDescent="0.2">
      <c r="A35" s="98">
        <v>4</v>
      </c>
      <c r="B35" s="98">
        <v>6.0575964519159671</v>
      </c>
      <c r="C35" s="98">
        <v>1.1549489891363711</v>
      </c>
    </row>
    <row r="36" spans="1:3" x14ac:dyDescent="0.2">
      <c r="A36" s="98">
        <v>5</v>
      </c>
      <c r="B36" s="98">
        <v>3.2563449096110659</v>
      </c>
      <c r="C36" s="98">
        <v>1.0930640601392287</v>
      </c>
    </row>
    <row r="37" spans="1:3" x14ac:dyDescent="0.2">
      <c r="A37" s="98">
        <v>6</v>
      </c>
      <c r="B37" s="98">
        <v>6.2675512760222905</v>
      </c>
      <c r="C37" s="98">
        <v>-0.84211220615088411</v>
      </c>
    </row>
    <row r="38" spans="1:3" x14ac:dyDescent="0.2">
      <c r="A38" s="98">
        <v>7</v>
      </c>
      <c r="B38" s="98">
        <v>6.0365559845177623</v>
      </c>
      <c r="C38" s="98">
        <v>1.873196519741346</v>
      </c>
    </row>
    <row r="39" spans="1:3" x14ac:dyDescent="0.2">
      <c r="A39" s="98">
        <v>8</v>
      </c>
      <c r="B39" s="98">
        <v>6.3075821640522429</v>
      </c>
      <c r="C39" s="98">
        <v>3.8586943047261792</v>
      </c>
    </row>
    <row r="40" spans="1:3" x14ac:dyDescent="0.2">
      <c r="A40" s="98">
        <v>9</v>
      </c>
      <c r="B40" s="98">
        <v>5.9168420863291553</v>
      </c>
      <c r="C40" s="98">
        <v>3.1144811414228259</v>
      </c>
    </row>
    <row r="41" spans="1:3" x14ac:dyDescent="0.2">
      <c r="A41" s="98">
        <v>10</v>
      </c>
      <c r="B41" s="98">
        <v>6.8195983016376038</v>
      </c>
      <c r="C41" s="98">
        <v>3.3272695382028052</v>
      </c>
    </row>
    <row r="42" spans="1:3" x14ac:dyDescent="0.2">
      <c r="A42" s="98">
        <v>11</v>
      </c>
      <c r="B42" s="98">
        <v>5.2088798770674858</v>
      </c>
      <c r="C42" s="98">
        <v>2.9507787406976211</v>
      </c>
    </row>
    <row r="43" spans="1:3" x14ac:dyDescent="0.2">
      <c r="A43" s="98">
        <v>12</v>
      </c>
      <c r="B43" s="98">
        <v>5.2562000026732747</v>
      </c>
      <c r="C43" s="98">
        <v>1.0551512393290858</v>
      </c>
    </row>
    <row r="44" spans="1:3" x14ac:dyDescent="0.2">
      <c r="A44" s="98">
        <v>13</v>
      </c>
      <c r="B44" s="98">
        <v>6.5623867568135186</v>
      </c>
      <c r="C44" s="98">
        <v>-1.2353890112146582</v>
      </c>
    </row>
    <row r="45" spans="1:3" x14ac:dyDescent="0.2">
      <c r="A45" s="98">
        <v>14</v>
      </c>
      <c r="B45" s="98">
        <v>3.7317828451554651</v>
      </c>
      <c r="C45" s="98">
        <v>0.56405279896019023</v>
      </c>
    </row>
    <row r="46" spans="1:3" x14ac:dyDescent="0.2">
      <c r="A46" s="98">
        <v>15</v>
      </c>
      <c r="B46" s="98">
        <v>6.1908183364450933</v>
      </c>
      <c r="C46" s="98">
        <v>-2.0462860298297629</v>
      </c>
    </row>
    <row r="47" spans="1:3" x14ac:dyDescent="0.2">
      <c r="A47" s="98">
        <v>16</v>
      </c>
      <c r="B47" s="98">
        <v>4.6107408405119967</v>
      </c>
      <c r="C47" s="98">
        <v>0.67292305791385054</v>
      </c>
    </row>
    <row r="48" spans="1:3" x14ac:dyDescent="0.2">
      <c r="A48" s="98">
        <v>17</v>
      </c>
      <c r="B48" s="98">
        <v>6.39553205451067</v>
      </c>
      <c r="C48" s="98">
        <v>0.23142665889082004</v>
      </c>
    </row>
    <row r="49" spans="1:3" x14ac:dyDescent="0.2">
      <c r="A49" s="98">
        <v>18</v>
      </c>
      <c r="B49" s="98">
        <v>5.5747689497978392</v>
      </c>
      <c r="C49" s="98">
        <v>6.6920178567113915</v>
      </c>
    </row>
    <row r="50" spans="1:3" x14ac:dyDescent="0.2">
      <c r="A50" s="98">
        <v>19</v>
      </c>
      <c r="B50" s="98">
        <v>2.5415292528825768</v>
      </c>
      <c r="C50" s="98">
        <v>2.2647917149545433</v>
      </c>
    </row>
    <row r="51" spans="1:3" x14ac:dyDescent="0.2">
      <c r="A51" s="98">
        <v>20</v>
      </c>
      <c r="B51" s="98">
        <v>6.8784398478861108</v>
      </c>
      <c r="C51" s="98">
        <v>-2.5491769474602357</v>
      </c>
    </row>
    <row r="52" spans="1:3" x14ac:dyDescent="0.2">
      <c r="A52" s="98">
        <v>21</v>
      </c>
      <c r="B52" s="98">
        <v>7.0018227850837294</v>
      </c>
      <c r="C52" s="98">
        <v>-0.15706947729389142</v>
      </c>
    </row>
    <row r="53" spans="1:3" x14ac:dyDescent="0.2">
      <c r="A53" s="98">
        <v>22</v>
      </c>
      <c r="B53" s="98">
        <v>6.0637932334303235</v>
      </c>
      <c r="C53" s="98">
        <v>0.40986745186816176</v>
      </c>
    </row>
    <row r="54" spans="1:3" x14ac:dyDescent="0.2">
      <c r="A54" s="98">
        <v>23</v>
      </c>
      <c r="B54" s="98">
        <v>6.2893129561349559</v>
      </c>
      <c r="C54" s="98">
        <v>-1.4640198725269773</v>
      </c>
    </row>
    <row r="55" spans="1:3" x14ac:dyDescent="0.2">
      <c r="A55" s="98">
        <v>24</v>
      </c>
      <c r="B55" s="98">
        <v>5.1979130911415137</v>
      </c>
      <c r="C55" s="98">
        <v>-1.1058328219309308</v>
      </c>
    </row>
    <row r="56" spans="1:3" x14ac:dyDescent="0.2">
      <c r="A56" s="98">
        <v>25</v>
      </c>
      <c r="B56" s="98">
        <v>2.1592870681963228</v>
      </c>
      <c r="C56" s="98">
        <v>1.034078326673312</v>
      </c>
    </row>
    <row r="57" spans="1:3" x14ac:dyDescent="0.2">
      <c r="A57" s="98">
        <v>26</v>
      </c>
      <c r="B57" s="98">
        <v>5.7754770764686905</v>
      </c>
      <c r="C57" s="98">
        <v>2.675503799871759E-2</v>
      </c>
    </row>
    <row r="58" spans="1:3" x14ac:dyDescent="0.2">
      <c r="A58" s="98">
        <v>27</v>
      </c>
      <c r="B58" s="98">
        <v>6.0694552153273689</v>
      </c>
      <c r="C58" s="98">
        <v>3.065202904963825</v>
      </c>
    </row>
    <row r="59" spans="1:3" x14ac:dyDescent="0.2">
      <c r="A59" s="98">
        <v>28</v>
      </c>
      <c r="B59" s="98">
        <v>3.3461847800522664</v>
      </c>
      <c r="C59" s="98">
        <v>0.85033652124017767</v>
      </c>
    </row>
    <row r="60" spans="1:3" x14ac:dyDescent="0.2">
      <c r="A60" s="98">
        <v>29</v>
      </c>
      <c r="B60" s="98">
        <v>5.6061427357479001</v>
      </c>
      <c r="C60" s="98">
        <v>-2.5394771242789771</v>
      </c>
    </row>
    <row r="61" spans="1:3" x14ac:dyDescent="0.2">
      <c r="A61" s="98">
        <v>30</v>
      </c>
      <c r="B61" s="98">
        <v>2.9073805665769519</v>
      </c>
      <c r="C61" s="98">
        <v>4.1924826089444363</v>
      </c>
    </row>
    <row r="62" spans="1:3" x14ac:dyDescent="0.2">
      <c r="A62" s="98">
        <v>31</v>
      </c>
      <c r="B62" s="98">
        <v>3.4602069011283558</v>
      </c>
      <c r="C62" s="98">
        <v>-1.8411683004603157</v>
      </c>
    </row>
    <row r="63" spans="1:3" x14ac:dyDescent="0.2">
      <c r="A63" s="98">
        <v>32</v>
      </c>
      <c r="B63" s="98">
        <v>5.5636700851741425</v>
      </c>
      <c r="C63" s="98">
        <v>2.4378635083096087</v>
      </c>
    </row>
    <row r="64" spans="1:3" x14ac:dyDescent="0.2">
      <c r="A64" s="98">
        <v>33</v>
      </c>
      <c r="B64" s="98">
        <v>4.038964891916911</v>
      </c>
      <c r="C64" s="98">
        <v>3.2780064024748468</v>
      </c>
    </row>
    <row r="65" spans="1:3" x14ac:dyDescent="0.2">
      <c r="A65" s="98">
        <v>34</v>
      </c>
      <c r="B65" s="98">
        <v>4.7506153519555925</v>
      </c>
      <c r="C65" s="98">
        <v>1.7017373019855571</v>
      </c>
    </row>
    <row r="66" spans="1:3" x14ac:dyDescent="0.2">
      <c r="A66" s="98">
        <v>35</v>
      </c>
      <c r="B66" s="98">
        <v>4.6297982380735627</v>
      </c>
      <c r="C66" s="98">
        <v>-0.77798566076978037</v>
      </c>
    </row>
    <row r="67" spans="1:3" x14ac:dyDescent="0.2">
      <c r="A67" s="98">
        <v>36</v>
      </c>
      <c r="B67" s="98">
        <v>4.9985857454680014</v>
      </c>
      <c r="C67" s="98">
        <v>2.0137497377811284</v>
      </c>
    </row>
    <row r="68" spans="1:3" x14ac:dyDescent="0.2">
      <c r="A68" s="98">
        <v>37</v>
      </c>
      <c r="B68" s="98">
        <v>6.8704485628664926</v>
      </c>
      <c r="C68" s="98">
        <v>0.19896620768513884</v>
      </c>
    </row>
    <row r="69" spans="1:3" x14ac:dyDescent="0.2">
      <c r="A69" s="98">
        <v>38</v>
      </c>
      <c r="B69" s="98">
        <v>3.6392769047882481</v>
      </c>
      <c r="C69" s="98">
        <v>4.2680156682006238</v>
      </c>
    </row>
    <row r="70" spans="1:3" x14ac:dyDescent="0.2">
      <c r="A70" s="98">
        <v>39</v>
      </c>
      <c r="B70" s="98">
        <v>3.1907923827752929</v>
      </c>
      <c r="C70" s="98">
        <v>-1.3849120503524288</v>
      </c>
    </row>
    <row r="71" spans="1:3" x14ac:dyDescent="0.2">
      <c r="A71" s="98">
        <v>40</v>
      </c>
      <c r="B71" s="98">
        <v>5.8259764836135828</v>
      </c>
      <c r="C71" s="98">
        <v>0.56156389041814947</v>
      </c>
    </row>
    <row r="72" spans="1:3" x14ac:dyDescent="0.2">
      <c r="A72" s="98">
        <v>41</v>
      </c>
      <c r="B72" s="98">
        <v>6.7113401149659069</v>
      </c>
      <c r="C72" s="98">
        <v>5.2020444707263209</v>
      </c>
    </row>
    <row r="73" spans="1:3" x14ac:dyDescent="0.2">
      <c r="A73" s="98">
        <v>42</v>
      </c>
      <c r="B73" s="98">
        <v>3.5675370666474526</v>
      </c>
      <c r="C73" s="98">
        <v>0.49746315313276757</v>
      </c>
    </row>
    <row r="74" spans="1:3" x14ac:dyDescent="0.2">
      <c r="A74" s="98">
        <v>43</v>
      </c>
      <c r="B74" s="98">
        <v>4.0334239797640334</v>
      </c>
      <c r="C74" s="98">
        <v>4.4904607741375271</v>
      </c>
    </row>
    <row r="75" spans="1:3" x14ac:dyDescent="0.2">
      <c r="A75" s="98">
        <v>44</v>
      </c>
      <c r="B75" s="98">
        <v>6.3512445678063365</v>
      </c>
      <c r="C75" s="98">
        <v>6.2172575003243988</v>
      </c>
    </row>
    <row r="76" spans="1:3" x14ac:dyDescent="0.2">
      <c r="A76" s="98">
        <v>45</v>
      </c>
      <c r="B76" s="98">
        <v>5.5975032491480343</v>
      </c>
      <c r="C76" s="98">
        <v>-1.0327343738933985</v>
      </c>
    </row>
    <row r="77" spans="1:3" x14ac:dyDescent="0.2">
      <c r="A77" s="98">
        <v>46</v>
      </c>
      <c r="B77" s="98">
        <v>2.1167519605759151</v>
      </c>
      <c r="C77" s="98">
        <v>0.35040813143754468</v>
      </c>
    </row>
    <row r="78" spans="1:3" x14ac:dyDescent="0.2">
      <c r="A78" s="98">
        <v>47</v>
      </c>
      <c r="B78" s="98">
        <v>6.1182932533074812</v>
      </c>
      <c r="C78" s="98">
        <v>2.2894464771291094</v>
      </c>
    </row>
    <row r="79" spans="1:3" x14ac:dyDescent="0.2">
      <c r="A79" s="98">
        <v>48</v>
      </c>
      <c r="B79" s="98">
        <v>6.5627217183975883</v>
      </c>
      <c r="C79" s="98">
        <v>1.2880657923838505</v>
      </c>
    </row>
    <row r="80" spans="1:3" x14ac:dyDescent="0.2">
      <c r="A80" s="98">
        <v>49</v>
      </c>
      <c r="B80" s="98">
        <v>5.3459432031525136</v>
      </c>
      <c r="C80" s="98">
        <v>0.67208807398336035</v>
      </c>
    </row>
    <row r="81" spans="1:3" x14ac:dyDescent="0.2">
      <c r="A81" s="98">
        <v>50</v>
      </c>
      <c r="B81" s="98">
        <v>3.4540713891434667</v>
      </c>
      <c r="C81" s="98">
        <v>-1.5008645797925073</v>
      </c>
    </row>
    <row r="82" spans="1:3" x14ac:dyDescent="0.2">
      <c r="A82" s="98">
        <v>51</v>
      </c>
      <c r="B82" s="98">
        <v>3.2366545934315551</v>
      </c>
      <c r="C82" s="98">
        <v>-1.2416297899642263</v>
      </c>
    </row>
    <row r="83" spans="1:3" x14ac:dyDescent="0.2">
      <c r="A83" s="98">
        <v>52</v>
      </c>
      <c r="B83" s="98">
        <v>4.716691700209048</v>
      </c>
      <c r="C83" s="98">
        <v>0.88165979682049933</v>
      </c>
    </row>
    <row r="84" spans="1:3" x14ac:dyDescent="0.2">
      <c r="A84" s="98">
        <v>53</v>
      </c>
      <c r="B84" s="98">
        <v>5.9453899492039435</v>
      </c>
      <c r="C84" s="98">
        <v>0.58991819501325615</v>
      </c>
    </row>
    <row r="85" spans="1:3" x14ac:dyDescent="0.2">
      <c r="A85" s="98">
        <v>54</v>
      </c>
      <c r="B85" s="98">
        <v>6.9403624914854669</v>
      </c>
      <c r="C85" s="98">
        <v>1.5499573088252481</v>
      </c>
    </row>
    <row r="86" spans="1:3" x14ac:dyDescent="0.2">
      <c r="A86" s="98">
        <v>55</v>
      </c>
      <c r="B86" s="98">
        <v>5.6114063898208038</v>
      </c>
      <c r="C86" s="98">
        <v>-1.9072552452426903</v>
      </c>
    </row>
    <row r="87" spans="1:3" x14ac:dyDescent="0.2">
      <c r="A87" s="98">
        <v>56</v>
      </c>
      <c r="B87" s="98">
        <v>3.3634641131107297</v>
      </c>
      <c r="C87" s="98">
        <v>4.8565530492107687</v>
      </c>
    </row>
    <row r="88" spans="1:3" x14ac:dyDescent="0.2">
      <c r="A88" s="98">
        <v>57</v>
      </c>
      <c r="B88" s="98">
        <v>4.2138613199713175</v>
      </c>
      <c r="C88" s="98">
        <v>-1.0152068146467284</v>
      </c>
    </row>
    <row r="89" spans="1:3" x14ac:dyDescent="0.2">
      <c r="A89" s="98">
        <v>58</v>
      </c>
      <c r="B89" s="98">
        <v>6.9276515626333497</v>
      </c>
      <c r="C89" s="98">
        <v>2.1275434983391479</v>
      </c>
    </row>
    <row r="90" spans="1:3" x14ac:dyDescent="0.2">
      <c r="A90" s="98">
        <v>59</v>
      </c>
      <c r="B90" s="98">
        <v>4.85764601431186</v>
      </c>
      <c r="C90" s="98">
        <v>1.2424298627618411</v>
      </c>
    </row>
    <row r="91" spans="1:3" x14ac:dyDescent="0.2">
      <c r="A91" s="98">
        <v>60</v>
      </c>
      <c r="B91" s="98">
        <v>5.2452730423755565</v>
      </c>
      <c r="C91" s="98">
        <v>-1.0550808673378329</v>
      </c>
    </row>
    <row r="92" spans="1:3" x14ac:dyDescent="0.2">
      <c r="A92" s="98">
        <v>61</v>
      </c>
      <c r="B92" s="98">
        <v>1.4917965497292258</v>
      </c>
      <c r="C92" s="98">
        <v>-0.48884459068659147</v>
      </c>
    </row>
    <row r="93" spans="1:3" x14ac:dyDescent="0.2">
      <c r="A93" s="98">
        <v>62</v>
      </c>
      <c r="B93" s="98">
        <v>2.1070548618753207</v>
      </c>
      <c r="C93" s="98">
        <v>-0.53496986215863718</v>
      </c>
    </row>
    <row r="94" spans="1:3" x14ac:dyDescent="0.2">
      <c r="A94" s="98">
        <v>63</v>
      </c>
      <c r="B94" s="98">
        <v>5.6223933384585809</v>
      </c>
      <c r="C94" s="98">
        <v>-2.2961527388623821</v>
      </c>
    </row>
    <row r="95" spans="1:3" x14ac:dyDescent="0.2">
      <c r="A95" s="98">
        <v>64</v>
      </c>
      <c r="B95" s="98">
        <v>6.0083778234130651</v>
      </c>
      <c r="C95" s="98">
        <v>6.2419925776132974</v>
      </c>
    </row>
    <row r="96" spans="1:3" x14ac:dyDescent="0.2">
      <c r="A96" s="98">
        <v>65</v>
      </c>
      <c r="B96" s="98">
        <v>6.5253556536769661</v>
      </c>
      <c r="C96" s="98">
        <v>-3.1139473461421496</v>
      </c>
    </row>
    <row r="97" spans="1:3" x14ac:dyDescent="0.2">
      <c r="A97" s="98">
        <v>66</v>
      </c>
      <c r="B97" s="98">
        <v>3.8842226298612714</v>
      </c>
      <c r="C97" s="98">
        <v>-1.0112571062091447</v>
      </c>
    </row>
    <row r="98" spans="1:3" x14ac:dyDescent="0.2">
      <c r="A98" s="98">
        <v>67</v>
      </c>
      <c r="B98" s="98">
        <v>7.4225841819356297</v>
      </c>
      <c r="C98" s="98">
        <v>-0.74763288052775057</v>
      </c>
    </row>
    <row r="99" spans="1:3" x14ac:dyDescent="0.2">
      <c r="A99" s="98">
        <v>68</v>
      </c>
      <c r="B99" s="98">
        <v>4.1824644242875886</v>
      </c>
      <c r="C99" s="98">
        <v>-7.2632096451483719E-2</v>
      </c>
    </row>
    <row r="100" spans="1:3" x14ac:dyDescent="0.2">
      <c r="A100" s="98">
        <v>69</v>
      </c>
      <c r="B100" s="98">
        <v>5.184005240353188</v>
      </c>
      <c r="C100" s="98">
        <v>-1.4366325498358847</v>
      </c>
    </row>
    <row r="101" spans="1:3" x14ac:dyDescent="0.2">
      <c r="A101" s="98">
        <v>70</v>
      </c>
      <c r="B101" s="98">
        <v>4.9481487209120925</v>
      </c>
      <c r="C101" s="98">
        <v>2.1268414473107189</v>
      </c>
    </row>
    <row r="102" spans="1:3" x14ac:dyDescent="0.2">
      <c r="A102" s="98">
        <v>71</v>
      </c>
      <c r="B102" s="98">
        <v>7.7502732112605264</v>
      </c>
      <c r="C102" s="98">
        <v>6.5800081236250003</v>
      </c>
    </row>
    <row r="103" spans="1:3" x14ac:dyDescent="0.2">
      <c r="A103" s="98">
        <v>72</v>
      </c>
      <c r="B103" s="98">
        <v>4.1774656277146605</v>
      </c>
      <c r="C103" s="98">
        <v>0.869020122196277</v>
      </c>
    </row>
    <row r="104" spans="1:3" x14ac:dyDescent="0.2">
      <c r="A104" s="98">
        <v>73</v>
      </c>
      <c r="B104" s="98">
        <v>5.7289047384718383</v>
      </c>
      <c r="C104" s="98">
        <v>2.6055246580954883</v>
      </c>
    </row>
    <row r="105" spans="1:3" x14ac:dyDescent="0.2">
      <c r="A105" s="98">
        <v>74</v>
      </c>
      <c r="B105" s="98">
        <v>3.9812834580436793</v>
      </c>
      <c r="C105" s="98">
        <v>-0.64114279766632087</v>
      </c>
    </row>
    <row r="106" spans="1:3" x14ac:dyDescent="0.2">
      <c r="A106" s="98">
        <v>75</v>
      </c>
      <c r="B106" s="98">
        <v>4.794684114016456</v>
      </c>
      <c r="C106" s="98">
        <v>-2.1653135979686273</v>
      </c>
    </row>
    <row r="107" spans="1:3" x14ac:dyDescent="0.2">
      <c r="A107" s="98">
        <v>76</v>
      </c>
      <c r="B107" s="98">
        <v>5.9634483537429297</v>
      </c>
      <c r="C107" s="98">
        <v>-0.87334855559243518</v>
      </c>
    </row>
    <row r="108" spans="1:3" x14ac:dyDescent="0.2">
      <c r="A108" s="98">
        <v>77</v>
      </c>
      <c r="B108" s="98">
        <v>4.2559180587563752</v>
      </c>
      <c r="C108" s="98">
        <v>2.2489798870626423</v>
      </c>
    </row>
    <row r="109" spans="1:3" x14ac:dyDescent="0.2">
      <c r="A109" s="98">
        <v>78</v>
      </c>
      <c r="B109" s="98">
        <v>4.4323466912446268</v>
      </c>
      <c r="C109" s="98">
        <v>0.31563516943793513</v>
      </c>
    </row>
    <row r="110" spans="1:3" x14ac:dyDescent="0.2">
      <c r="A110" s="98">
        <v>79</v>
      </c>
      <c r="B110" s="98">
        <v>6.2271118653075934</v>
      </c>
      <c r="C110" s="98">
        <v>-2.3616183504433006</v>
      </c>
    </row>
    <row r="111" spans="1:3" x14ac:dyDescent="0.2">
      <c r="A111" s="98">
        <v>80</v>
      </c>
      <c r="B111" s="98">
        <v>7.4499563044102652</v>
      </c>
      <c r="C111" s="98">
        <v>2.6184120588540276</v>
      </c>
    </row>
    <row r="112" spans="1:3" x14ac:dyDescent="0.2">
      <c r="A112" s="98">
        <v>81</v>
      </c>
      <c r="B112" s="98">
        <v>7.5615326008076318</v>
      </c>
      <c r="C112" s="98">
        <v>2.9745531460892147</v>
      </c>
    </row>
    <row r="113" spans="1:3" x14ac:dyDescent="0.2">
      <c r="A113" s="98">
        <v>82</v>
      </c>
      <c r="B113" s="98">
        <v>7.1541965111427865</v>
      </c>
      <c r="C113" s="98">
        <v>-4.1990147246097695</v>
      </c>
    </row>
    <row r="114" spans="1:3" x14ac:dyDescent="0.2">
      <c r="A114" s="98">
        <v>83</v>
      </c>
      <c r="B114" s="98">
        <v>5.8189179597159422</v>
      </c>
      <c r="C114" s="98">
        <v>-0.65120629167580457</v>
      </c>
    </row>
    <row r="115" spans="1:3" x14ac:dyDescent="0.2">
      <c r="A115" s="98">
        <v>84</v>
      </c>
      <c r="B115" s="98">
        <v>6.8995228502568899</v>
      </c>
      <c r="C115" s="98">
        <v>-0.82397675616464117</v>
      </c>
    </row>
    <row r="116" spans="1:3" x14ac:dyDescent="0.2">
      <c r="A116" s="98">
        <v>85</v>
      </c>
      <c r="B116" s="98">
        <v>5.3130113549708504</v>
      </c>
      <c r="C116" s="98">
        <v>0.49519885209931847</v>
      </c>
    </row>
    <row r="117" spans="1:3" x14ac:dyDescent="0.2">
      <c r="A117" s="98">
        <v>86</v>
      </c>
      <c r="B117" s="98">
        <v>5.9036762685385646</v>
      </c>
      <c r="C117" s="98">
        <v>-2.6879319128595096</v>
      </c>
    </row>
    <row r="118" spans="1:3" x14ac:dyDescent="0.2">
      <c r="A118" s="98">
        <v>87</v>
      </c>
      <c r="B118" s="98">
        <v>7.4911492177862353</v>
      </c>
      <c r="C118" s="98">
        <v>5.2728568486070699</v>
      </c>
    </row>
    <row r="119" spans="1:3" x14ac:dyDescent="0.2">
      <c r="A119" s="98">
        <v>88</v>
      </c>
      <c r="B119" s="98">
        <v>2.9230364903823918</v>
      </c>
      <c r="C119" s="98">
        <v>3.3829407675860512E-2</v>
      </c>
    </row>
    <row r="120" spans="1:3" x14ac:dyDescent="0.2">
      <c r="A120" s="98">
        <v>89</v>
      </c>
      <c r="B120" s="98">
        <v>5.1805407946228454</v>
      </c>
      <c r="C120" s="98">
        <v>3.0922839281663643</v>
      </c>
    </row>
    <row r="121" spans="1:3" x14ac:dyDescent="0.2">
      <c r="A121" s="98">
        <v>90</v>
      </c>
      <c r="B121" s="98">
        <v>6.8710418597726273</v>
      </c>
      <c r="C121" s="98">
        <v>1.9021533523122374</v>
      </c>
    </row>
    <row r="122" spans="1:3" x14ac:dyDescent="0.2">
      <c r="A122" s="98">
        <v>91</v>
      </c>
      <c r="B122" s="98">
        <v>6.5847583261139215</v>
      </c>
      <c r="C122" s="98">
        <v>2.3516852225583316</v>
      </c>
    </row>
    <row r="123" spans="1:3" x14ac:dyDescent="0.2">
      <c r="A123" s="98">
        <v>92</v>
      </c>
      <c r="B123" s="98">
        <v>4.8405846253459055</v>
      </c>
      <c r="C123" s="98">
        <v>0.23884051316027222</v>
      </c>
    </row>
    <row r="124" spans="1:3" x14ac:dyDescent="0.2">
      <c r="A124" s="98">
        <v>93</v>
      </c>
      <c r="B124" s="98">
        <v>5.3170524907810623</v>
      </c>
      <c r="C124" s="98">
        <v>-1.9455871075318782</v>
      </c>
    </row>
    <row r="125" spans="1:3" x14ac:dyDescent="0.2">
      <c r="A125" s="98">
        <v>94</v>
      </c>
      <c r="B125" s="98">
        <v>4.9398103262005382</v>
      </c>
      <c r="C125" s="98">
        <v>2.8246789037361797</v>
      </c>
    </row>
    <row r="126" spans="1:3" x14ac:dyDescent="0.2">
      <c r="A126" s="98">
        <v>95</v>
      </c>
      <c r="B126" s="98">
        <v>4.0818501434127885</v>
      </c>
      <c r="C126" s="98">
        <v>3.6669743245121946</v>
      </c>
    </row>
    <row r="127" spans="1:3" x14ac:dyDescent="0.2">
      <c r="A127" s="98">
        <v>96</v>
      </c>
      <c r="B127" s="98">
        <v>3.0721058489339859</v>
      </c>
      <c r="C127" s="98">
        <v>-1.0502721111797233</v>
      </c>
    </row>
    <row r="128" spans="1:3" x14ac:dyDescent="0.2">
      <c r="A128" s="98">
        <v>97</v>
      </c>
      <c r="B128" s="98">
        <v>6.0987008934780684</v>
      </c>
      <c r="C128" s="98">
        <v>-0.6418533378983291</v>
      </c>
    </row>
    <row r="129" spans="1:3" x14ac:dyDescent="0.2">
      <c r="A129" s="98">
        <v>98</v>
      </c>
      <c r="B129" s="98">
        <v>4.948863298070763</v>
      </c>
      <c r="C129" s="98">
        <v>4.8365080888614704</v>
      </c>
    </row>
    <row r="130" spans="1:3" x14ac:dyDescent="0.2">
      <c r="A130" s="98">
        <v>99</v>
      </c>
      <c r="B130" s="98">
        <v>4.8915851453803922</v>
      </c>
      <c r="C130" s="98">
        <v>3.7163296650924496</v>
      </c>
    </row>
    <row r="131" spans="1:3" x14ac:dyDescent="0.2">
      <c r="A131" s="98">
        <v>100</v>
      </c>
      <c r="B131" s="98">
        <v>6.4666403392673892</v>
      </c>
      <c r="C131" s="98">
        <v>-2.288588366278848</v>
      </c>
    </row>
    <row r="132" spans="1:3" x14ac:dyDescent="0.2">
      <c r="A132" s="98">
        <v>101</v>
      </c>
      <c r="B132" s="98">
        <v>2.905128526918161</v>
      </c>
      <c r="C132" s="98">
        <v>-1.3906193629532329</v>
      </c>
    </row>
    <row r="133" spans="1:3" x14ac:dyDescent="0.2">
      <c r="A133" s="98">
        <v>102</v>
      </c>
      <c r="B133" s="98">
        <v>3.6536851900244529</v>
      </c>
      <c r="C133" s="98">
        <v>1.4647371783965997</v>
      </c>
    </row>
    <row r="134" spans="1:3" x14ac:dyDescent="0.2">
      <c r="A134" s="98">
        <v>103</v>
      </c>
      <c r="B134" s="98">
        <v>7.6741966855821149</v>
      </c>
      <c r="C134" s="98">
        <v>-1.9352576119033653</v>
      </c>
    </row>
    <row r="135" spans="1:3" x14ac:dyDescent="0.2">
      <c r="A135" s="98">
        <v>104</v>
      </c>
      <c r="B135" s="98">
        <v>7.3070645695245986</v>
      </c>
      <c r="C135" s="98">
        <v>-9.5199985898647199E-2</v>
      </c>
    </row>
    <row r="136" spans="1:3" x14ac:dyDescent="0.2">
      <c r="A136" s="98">
        <v>105</v>
      </c>
      <c r="B136" s="98">
        <v>7.0197697068332916</v>
      </c>
      <c r="C136" s="98">
        <v>0.33806770029495237</v>
      </c>
    </row>
    <row r="137" spans="1:3" x14ac:dyDescent="0.2">
      <c r="A137" s="98">
        <v>106</v>
      </c>
      <c r="B137" s="98">
        <v>4.8144203483456627</v>
      </c>
      <c r="C137" s="98">
        <v>-0.6540408353252527</v>
      </c>
    </row>
    <row r="138" spans="1:3" x14ac:dyDescent="0.2">
      <c r="A138" s="98">
        <v>107</v>
      </c>
      <c r="B138" s="98">
        <v>3.2945830295439524</v>
      </c>
      <c r="C138" s="98">
        <v>-0.31024433281533437</v>
      </c>
    </row>
    <row r="139" spans="1:3" x14ac:dyDescent="0.2">
      <c r="A139" s="98">
        <v>108</v>
      </c>
      <c r="B139" s="98">
        <v>5.2505054960546298</v>
      </c>
      <c r="C139" s="98">
        <v>3.9595929970944406</v>
      </c>
    </row>
    <row r="140" spans="1:3" x14ac:dyDescent="0.2">
      <c r="A140" s="98">
        <v>109</v>
      </c>
      <c r="B140" s="98">
        <v>6.7178186547816328</v>
      </c>
      <c r="C140" s="98">
        <v>-2.6815296111543114</v>
      </c>
    </row>
    <row r="141" spans="1:3" x14ac:dyDescent="0.2">
      <c r="A141" s="98">
        <v>110</v>
      </c>
      <c r="B141" s="98">
        <v>6.1167289792986814</v>
      </c>
      <c r="C141" s="98">
        <v>-0.90647820671285562</v>
      </c>
    </row>
    <row r="142" spans="1:3" x14ac:dyDescent="0.2">
      <c r="A142" s="98">
        <v>111</v>
      </c>
      <c r="B142" s="98">
        <v>5.8619317586865547</v>
      </c>
      <c r="C142" s="98">
        <v>2.7615631121560105</v>
      </c>
    </row>
    <row r="143" spans="1:3" x14ac:dyDescent="0.2">
      <c r="A143" s="98">
        <v>112</v>
      </c>
      <c r="B143" s="98">
        <v>4.9184169262135526</v>
      </c>
      <c r="C143" s="98">
        <v>0.18196946666753977</v>
      </c>
    </row>
    <row r="144" spans="1:3" x14ac:dyDescent="0.2">
      <c r="A144" s="98">
        <v>113</v>
      </c>
      <c r="B144" s="98">
        <v>6.1562791035755131</v>
      </c>
      <c r="C144" s="98">
        <v>-0.61759331670920137</v>
      </c>
    </row>
    <row r="145" spans="1:3" x14ac:dyDescent="0.2">
      <c r="A145" s="98">
        <v>114</v>
      </c>
      <c r="B145" s="98">
        <v>5.4663059771559048</v>
      </c>
      <c r="C145" s="98">
        <v>0.93650446135609844</v>
      </c>
    </row>
    <row r="146" spans="1:3" x14ac:dyDescent="0.2">
      <c r="A146" s="98">
        <v>115</v>
      </c>
      <c r="B146" s="98">
        <v>6.6686219833385625</v>
      </c>
      <c r="C146" s="98">
        <v>-3.0101958865312568</v>
      </c>
    </row>
    <row r="147" spans="1:3" x14ac:dyDescent="0.2">
      <c r="A147" s="98">
        <v>116</v>
      </c>
      <c r="B147" s="98">
        <v>6.2989478296615227</v>
      </c>
      <c r="C147" s="98">
        <v>2.6247718485411218</v>
      </c>
    </row>
    <row r="148" spans="1:3" x14ac:dyDescent="0.2">
      <c r="A148" s="98">
        <v>117</v>
      </c>
      <c r="B148" s="98">
        <v>5.4687966382167721</v>
      </c>
      <c r="C148" s="98">
        <v>-0.2379013959422478</v>
      </c>
    </row>
    <row r="149" spans="1:3" x14ac:dyDescent="0.2">
      <c r="A149" s="98">
        <v>118</v>
      </c>
      <c r="B149" s="98">
        <v>4.8527572418253886</v>
      </c>
      <c r="C149" s="98">
        <v>-1.8883026831091234</v>
      </c>
    </row>
    <row r="150" spans="1:3" x14ac:dyDescent="0.2">
      <c r="A150" s="98">
        <v>119</v>
      </c>
      <c r="B150" s="98">
        <v>6.4332050736793045</v>
      </c>
      <c r="C150" s="98">
        <v>-5.0334980697882541</v>
      </c>
    </row>
    <row r="151" spans="1:3" x14ac:dyDescent="0.2">
      <c r="A151" s="98">
        <v>120</v>
      </c>
      <c r="B151" s="98">
        <v>5.7655428380373221</v>
      </c>
      <c r="C151" s="98">
        <v>-2.2235249200562497</v>
      </c>
    </row>
    <row r="152" spans="1:3" x14ac:dyDescent="0.2">
      <c r="A152" s="98">
        <v>121</v>
      </c>
      <c r="B152" s="98">
        <v>5.9302485546707215</v>
      </c>
      <c r="C152" s="98">
        <v>-0.61466087101958067</v>
      </c>
    </row>
    <row r="153" spans="1:3" x14ac:dyDescent="0.2">
      <c r="A153" s="98">
        <v>122</v>
      </c>
      <c r="B153" s="98">
        <v>2.5854203800725566</v>
      </c>
      <c r="C153" s="98">
        <v>-1.0174196874984895</v>
      </c>
    </row>
    <row r="154" spans="1:3" x14ac:dyDescent="0.2">
      <c r="A154" s="98">
        <v>123</v>
      </c>
      <c r="B154" s="98">
        <v>2.9766076481568624</v>
      </c>
      <c r="C154" s="98">
        <v>-2.2303388887243241</v>
      </c>
    </row>
    <row r="155" spans="1:3" x14ac:dyDescent="0.2">
      <c r="A155" s="98">
        <v>124</v>
      </c>
      <c r="B155" s="98">
        <v>6.0442251822563557</v>
      </c>
      <c r="C155" s="98">
        <v>-1.3527720851436973</v>
      </c>
    </row>
    <row r="156" spans="1:3" x14ac:dyDescent="0.2">
      <c r="A156" s="98">
        <v>125</v>
      </c>
      <c r="B156" s="98">
        <v>6.8114724002656519</v>
      </c>
      <c r="C156" s="98">
        <v>-0.43746145731899944</v>
      </c>
    </row>
    <row r="157" spans="1:3" x14ac:dyDescent="0.2">
      <c r="A157" s="98">
        <v>126</v>
      </c>
      <c r="B157" s="98">
        <v>5.8386900370933033</v>
      </c>
      <c r="C157" s="98">
        <v>-1.7588712763781436</v>
      </c>
    </row>
    <row r="158" spans="1:3" x14ac:dyDescent="0.2">
      <c r="A158" s="98">
        <v>127</v>
      </c>
      <c r="B158" s="98">
        <v>4.3556167453604608</v>
      </c>
      <c r="C158" s="98">
        <v>-2.2868442426004925</v>
      </c>
    </row>
    <row r="159" spans="1:3" x14ac:dyDescent="0.2">
      <c r="A159" s="98">
        <v>128</v>
      </c>
      <c r="B159" s="98">
        <v>3.5676143129878835</v>
      </c>
      <c r="C159" s="98">
        <v>-2.0185441475571935</v>
      </c>
    </row>
    <row r="160" spans="1:3" x14ac:dyDescent="0.2">
      <c r="A160" s="98">
        <v>129</v>
      </c>
      <c r="B160" s="98">
        <v>2.076903016822345</v>
      </c>
      <c r="C160" s="98">
        <v>-1.1668406937200104</v>
      </c>
    </row>
    <row r="161" spans="1:3" x14ac:dyDescent="0.2">
      <c r="A161" s="98">
        <v>130</v>
      </c>
      <c r="B161" s="98">
        <v>7.0626441771657635</v>
      </c>
      <c r="C161" s="98">
        <v>-3.9265257685051971</v>
      </c>
    </row>
    <row r="162" spans="1:3" x14ac:dyDescent="0.2">
      <c r="A162" s="98">
        <v>131</v>
      </c>
      <c r="B162" s="98">
        <v>4.9250998093064116</v>
      </c>
      <c r="C162" s="98">
        <v>0.94804463276326434</v>
      </c>
    </row>
    <row r="163" spans="1:3" x14ac:dyDescent="0.2">
      <c r="A163" s="98">
        <v>132</v>
      </c>
      <c r="B163" s="98">
        <v>6.1050627115051306</v>
      </c>
      <c r="C163" s="98">
        <v>-1.7328967200399079</v>
      </c>
    </row>
    <row r="164" spans="1:3" x14ac:dyDescent="0.2">
      <c r="A164" s="98">
        <v>133</v>
      </c>
      <c r="B164" s="98">
        <v>3.9930478267535641</v>
      </c>
      <c r="C164" s="98">
        <v>0.10655407699165487</v>
      </c>
    </row>
    <row r="165" spans="1:3" x14ac:dyDescent="0.2">
      <c r="A165" s="98">
        <v>134</v>
      </c>
      <c r="B165" s="98">
        <v>3.1253651453100346</v>
      </c>
      <c r="C165" s="98">
        <v>-0.7545413763355806</v>
      </c>
    </row>
    <row r="166" spans="1:3" x14ac:dyDescent="0.2">
      <c r="A166" s="98">
        <v>135</v>
      </c>
      <c r="B166" s="98">
        <v>4.1592544534291296</v>
      </c>
      <c r="C166" s="98">
        <v>-2.1441776136755584</v>
      </c>
    </row>
    <row r="167" spans="1:3" x14ac:dyDescent="0.2">
      <c r="A167" s="98">
        <v>136</v>
      </c>
      <c r="B167" s="98">
        <v>4.0282467239947204</v>
      </c>
      <c r="C167" s="98">
        <v>-2.5180292365826995</v>
      </c>
    </row>
    <row r="168" spans="1:3" x14ac:dyDescent="0.2">
      <c r="A168" s="98">
        <v>137</v>
      </c>
      <c r="B168" s="98">
        <v>6.2914922294172166</v>
      </c>
      <c r="C168" s="98">
        <v>-3.2200469000102587</v>
      </c>
    </row>
    <row r="169" spans="1:3" x14ac:dyDescent="0.2">
      <c r="A169" s="98">
        <v>138</v>
      </c>
      <c r="B169" s="98">
        <v>5.8707858243342015</v>
      </c>
      <c r="C169" s="98">
        <v>-3.181746172882888</v>
      </c>
    </row>
    <row r="170" spans="1:3" x14ac:dyDescent="0.2">
      <c r="A170" s="98">
        <v>139</v>
      </c>
      <c r="B170" s="98">
        <v>1.9667597203058318</v>
      </c>
      <c r="C170" s="98">
        <v>-0.7498580789684457</v>
      </c>
    </row>
    <row r="171" spans="1:3" x14ac:dyDescent="0.2">
      <c r="A171" s="98">
        <v>140</v>
      </c>
      <c r="B171" s="98">
        <v>3.2201465281524002</v>
      </c>
      <c r="C171" s="98">
        <v>4.0408938311139355</v>
      </c>
    </row>
    <row r="172" spans="1:3" x14ac:dyDescent="0.2">
      <c r="A172" s="98">
        <v>141</v>
      </c>
      <c r="B172" s="98">
        <v>5.2472887217425157</v>
      </c>
      <c r="C172" s="98">
        <v>-0.41351136276705791</v>
      </c>
    </row>
    <row r="173" spans="1:3" x14ac:dyDescent="0.2">
      <c r="A173" s="98">
        <v>142</v>
      </c>
      <c r="B173" s="98">
        <v>4.7765553392959923</v>
      </c>
      <c r="C173" s="98">
        <v>-1.6425221056635566</v>
      </c>
    </row>
    <row r="174" spans="1:3" x14ac:dyDescent="0.2">
      <c r="A174" s="98">
        <v>143</v>
      </c>
      <c r="B174" s="98">
        <v>6.5840033169275891</v>
      </c>
      <c r="C174" s="98">
        <v>-4.9041707178086469</v>
      </c>
    </row>
    <row r="175" spans="1:3" x14ac:dyDescent="0.2">
      <c r="A175" s="98">
        <v>144</v>
      </c>
      <c r="B175" s="98">
        <v>6.4346586964569497</v>
      </c>
      <c r="C175" s="98">
        <v>1.378291929576597</v>
      </c>
    </row>
    <row r="176" spans="1:3" x14ac:dyDescent="0.2">
      <c r="A176" s="98">
        <v>145</v>
      </c>
      <c r="B176" s="98">
        <v>6.0538410820644675</v>
      </c>
      <c r="C176" s="98">
        <v>-4.8078916607185604</v>
      </c>
    </row>
    <row r="177" spans="1:3" x14ac:dyDescent="0.2">
      <c r="A177" s="98">
        <v>146</v>
      </c>
      <c r="B177" s="98">
        <v>4.58327985835645</v>
      </c>
      <c r="C177" s="98">
        <v>5.2058953603833071</v>
      </c>
    </row>
    <row r="178" spans="1:3" x14ac:dyDescent="0.2">
      <c r="A178" s="98">
        <v>147</v>
      </c>
      <c r="B178" s="98">
        <v>2.6603876042835997</v>
      </c>
      <c r="C178" s="98">
        <v>-1.4148533850144966</v>
      </c>
    </row>
    <row r="179" spans="1:3" x14ac:dyDescent="0.2">
      <c r="A179" s="98">
        <v>148</v>
      </c>
      <c r="B179" s="98">
        <v>3.8241750712923506</v>
      </c>
      <c r="C179" s="98">
        <v>-1.5585038005741185</v>
      </c>
    </row>
    <row r="180" spans="1:3" x14ac:dyDescent="0.2">
      <c r="A180" s="98">
        <v>149</v>
      </c>
      <c r="B180" s="98">
        <v>4.222204821662455</v>
      </c>
      <c r="C180" s="98">
        <v>-2.0156044886066682</v>
      </c>
    </row>
    <row r="181" spans="1:3" x14ac:dyDescent="0.2">
      <c r="A181" s="98">
        <v>150</v>
      </c>
      <c r="B181" s="98">
        <v>6.9224533911845905</v>
      </c>
      <c r="C181" s="98">
        <v>-3.4157168642384832</v>
      </c>
    </row>
    <row r="182" spans="1:3" x14ac:dyDescent="0.2">
      <c r="A182" s="98">
        <v>151</v>
      </c>
      <c r="B182" s="98">
        <v>6.5927222243314505</v>
      </c>
      <c r="C182" s="98">
        <v>-4.5945801616418649</v>
      </c>
    </row>
    <row r="183" spans="1:3" x14ac:dyDescent="0.2">
      <c r="A183" s="98">
        <v>152</v>
      </c>
      <c r="B183" s="98">
        <v>7.0732761995317031</v>
      </c>
      <c r="C183" s="98">
        <v>-3.1316148073310242</v>
      </c>
    </row>
    <row r="184" spans="1:3" x14ac:dyDescent="0.2">
      <c r="A184" s="98">
        <v>153</v>
      </c>
      <c r="B184" s="98">
        <v>6.3059851001661356</v>
      </c>
      <c r="C184" s="98">
        <v>3.8065500943455044</v>
      </c>
    </row>
    <row r="185" spans="1:3" x14ac:dyDescent="0.2">
      <c r="A185" s="98">
        <v>154</v>
      </c>
      <c r="B185" s="98">
        <v>4.4453040971163338</v>
      </c>
      <c r="C185" s="98">
        <v>-1.5332928957721723</v>
      </c>
    </row>
    <row r="186" spans="1:3" x14ac:dyDescent="0.2">
      <c r="A186" s="98">
        <v>155</v>
      </c>
      <c r="B186" s="98">
        <v>6.3397105856796632</v>
      </c>
      <c r="C186" s="98">
        <v>-4.2378018846992713</v>
      </c>
    </row>
    <row r="187" spans="1:3" x14ac:dyDescent="0.2">
      <c r="A187" s="98">
        <v>156</v>
      </c>
      <c r="B187" s="98">
        <v>5.550287116842016</v>
      </c>
      <c r="C187" s="98">
        <v>-4.3695868839016221</v>
      </c>
    </row>
    <row r="188" spans="1:3" x14ac:dyDescent="0.2">
      <c r="A188" s="98">
        <v>157</v>
      </c>
      <c r="B188" s="98">
        <v>1.0465575400470928</v>
      </c>
      <c r="C188" s="98">
        <v>-0.12853320544633229</v>
      </c>
    </row>
    <row r="189" spans="1:3" x14ac:dyDescent="0.2">
      <c r="A189" s="98">
        <v>158</v>
      </c>
      <c r="B189" s="98">
        <v>4.8265801979050096</v>
      </c>
      <c r="C189" s="98">
        <v>-1.8282328653283919</v>
      </c>
    </row>
    <row r="190" spans="1:3" x14ac:dyDescent="0.2">
      <c r="A190" s="98">
        <v>159</v>
      </c>
      <c r="B190" s="98">
        <v>3.3004390730086204</v>
      </c>
      <c r="C190" s="98">
        <v>-2.7239578488988392</v>
      </c>
    </row>
    <row r="191" spans="1:3" x14ac:dyDescent="0.2">
      <c r="A191" s="98">
        <v>160</v>
      </c>
      <c r="B191" s="98">
        <v>6.912991760440991</v>
      </c>
      <c r="C191" s="98">
        <v>-4.8294172795953507</v>
      </c>
    </row>
    <row r="192" spans="1:3" x14ac:dyDescent="0.2">
      <c r="A192" s="98">
        <v>161</v>
      </c>
      <c r="B192" s="98">
        <v>4.7511450609206252</v>
      </c>
      <c r="C192" s="98">
        <v>-3.344058135125572</v>
      </c>
    </row>
    <row r="193" spans="1:3" x14ac:dyDescent="0.2">
      <c r="A193" s="98">
        <v>162</v>
      </c>
      <c r="B193" s="98">
        <v>3.3254675752220071</v>
      </c>
      <c r="C193" s="98">
        <v>-2.2194664708597762</v>
      </c>
    </row>
    <row r="194" spans="1:3" x14ac:dyDescent="0.2">
      <c r="A194" s="98">
        <v>163</v>
      </c>
      <c r="B194" s="98">
        <v>6.0189753872112783</v>
      </c>
      <c r="C194" s="98">
        <v>-3.62099173598512</v>
      </c>
    </row>
    <row r="195" spans="1:3" x14ac:dyDescent="0.2">
      <c r="A195" s="98">
        <v>164</v>
      </c>
      <c r="B195" s="98">
        <v>3.7685113762868587</v>
      </c>
      <c r="C195" s="98">
        <v>-2.8313363869206314</v>
      </c>
    </row>
    <row r="196" spans="1:3" x14ac:dyDescent="0.2">
      <c r="A196" s="98">
        <v>165</v>
      </c>
      <c r="B196" s="98">
        <v>4.2749277470565739</v>
      </c>
      <c r="C196" s="98">
        <v>-3.2634618933980373</v>
      </c>
    </row>
    <row r="197" spans="1:3" x14ac:dyDescent="0.2">
      <c r="A197" s="98">
        <v>166</v>
      </c>
      <c r="B197" s="98">
        <v>4.0511295451068303</v>
      </c>
      <c r="C197" s="98">
        <v>-3.4908419949060274</v>
      </c>
    </row>
    <row r="198" spans="1:3" ht="13.5" thickBot="1" x14ac:dyDescent="0.25">
      <c r="A198" s="99">
        <v>167</v>
      </c>
      <c r="B198" s="99">
        <v>5.3049255218318727</v>
      </c>
      <c r="C198" s="99">
        <v>-1.3826489095552605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C201"/>
  <sheetViews>
    <sheetView zoomScaleNormal="100" workbookViewId="0">
      <pane ySplit="3" topLeftCell="A169" activePane="bottomLeft" state="frozen"/>
      <selection activeCell="H46" sqref="H46"/>
      <selection pane="bottomLeft" activeCell="G6" sqref="G6"/>
    </sheetView>
  </sheetViews>
  <sheetFormatPr defaultRowHeight="12.75" x14ac:dyDescent="0.2"/>
  <cols>
    <col min="1" max="1" width="18.140625" hidden="1" customWidth="1"/>
    <col min="2" max="2" width="36.140625" bestFit="1" customWidth="1"/>
    <col min="3" max="3" width="36.140625" customWidth="1"/>
    <col min="4" max="4" width="29.85546875" bestFit="1" customWidth="1"/>
    <col min="5" max="5" width="14" bestFit="1" customWidth="1"/>
    <col min="6" max="6" width="10.5703125" bestFit="1" customWidth="1"/>
    <col min="7" max="7" width="10.5703125" customWidth="1"/>
    <col min="8" max="8" width="14" customWidth="1"/>
    <col min="9" max="11" width="9.7109375" customWidth="1"/>
    <col min="12" max="12" width="14.85546875" bestFit="1" customWidth="1"/>
    <col min="13" max="14" width="9.42578125" customWidth="1"/>
    <col min="15" max="15" width="13.5703125" bestFit="1" customWidth="1"/>
    <col min="16" max="16" width="9.42578125" customWidth="1"/>
    <col min="17" max="21" width="12.28515625" customWidth="1"/>
    <col min="22" max="22" width="14" customWidth="1"/>
    <col min="23" max="23" width="13.42578125" customWidth="1"/>
    <col min="24" max="29" width="12.28515625" customWidth="1"/>
    <col min="31" max="31" width="26.28515625" customWidth="1"/>
    <col min="32" max="38" width="16.28515625" customWidth="1"/>
  </cols>
  <sheetData>
    <row r="1" spans="1:29" x14ac:dyDescent="0.2">
      <c r="Z1" s="169"/>
    </row>
    <row r="2" spans="1:29" x14ac:dyDescent="0.2">
      <c r="G2" t="s">
        <v>952</v>
      </c>
      <c r="Y2" s="169" t="s">
        <v>953</v>
      </c>
      <c r="Z2" s="169" t="s">
        <v>955</v>
      </c>
    </row>
    <row r="3" spans="1:29" ht="55.5" customHeight="1" x14ac:dyDescent="0.2">
      <c r="A3" s="41" t="s">
        <v>0</v>
      </c>
      <c r="B3" s="95" t="s">
        <v>424</v>
      </c>
      <c r="C3" s="95"/>
      <c r="D3" s="16" t="s">
        <v>463</v>
      </c>
      <c r="E3" s="16" t="s">
        <v>434</v>
      </c>
      <c r="F3" s="16" t="s">
        <v>435</v>
      </c>
      <c r="G3" s="16" t="s">
        <v>951</v>
      </c>
      <c r="H3" s="40" t="s">
        <v>436</v>
      </c>
      <c r="I3" s="40" t="s">
        <v>513</v>
      </c>
      <c r="J3" s="40" t="s">
        <v>902</v>
      </c>
      <c r="K3" s="40" t="s">
        <v>514</v>
      </c>
      <c r="L3" s="40" t="s">
        <v>464</v>
      </c>
      <c r="M3" s="40" t="s">
        <v>437</v>
      </c>
      <c r="N3" s="40"/>
      <c r="O3" s="40" t="s">
        <v>507</v>
      </c>
      <c r="P3" s="40" t="s">
        <v>498</v>
      </c>
      <c r="Q3" s="40" t="s">
        <v>508</v>
      </c>
      <c r="R3" s="40" t="s">
        <v>499</v>
      </c>
      <c r="S3" s="40" t="s">
        <v>509</v>
      </c>
      <c r="T3" s="40" t="s">
        <v>500</v>
      </c>
      <c r="U3" s="40" t="s">
        <v>510</v>
      </c>
      <c r="V3" s="40" t="s">
        <v>438</v>
      </c>
      <c r="W3" s="40"/>
      <c r="X3" s="40" t="s">
        <v>511</v>
      </c>
      <c r="Y3" s="40" t="s">
        <v>954</v>
      </c>
      <c r="Z3" s="40" t="s">
        <v>956</v>
      </c>
      <c r="AA3" s="40" t="s">
        <v>439</v>
      </c>
      <c r="AB3" s="40"/>
      <c r="AC3" s="96" t="s">
        <v>512</v>
      </c>
    </row>
    <row r="4" spans="1:29" x14ac:dyDescent="0.2">
      <c r="A4" s="1" t="s">
        <v>1</v>
      </c>
      <c r="B4" s="1" t="s">
        <v>1</v>
      </c>
      <c r="C4" s="1" t="s">
        <v>2</v>
      </c>
      <c r="D4" s="36" t="s">
        <v>505</v>
      </c>
      <c r="E4" s="36">
        <v>809670.37990000006</v>
      </c>
      <c r="F4" s="36">
        <v>759109.37990000006</v>
      </c>
      <c r="G4" s="36" t="e">
        <f ca="1">_xll.BDP($B4,G$2,"EQY_FUND_YEAR=2016")</f>
        <v>#NAME?</v>
      </c>
      <c r="H4" s="36">
        <v>110360</v>
      </c>
      <c r="I4" s="36">
        <v>122897.462</v>
      </c>
      <c r="J4" s="36">
        <f>F4/H4</f>
        <v>6.8784829639362091</v>
      </c>
      <c r="K4" s="36">
        <f>F4/I4</f>
        <v>6.1767701915601814</v>
      </c>
      <c r="L4" s="44">
        <v>0.11360512866980788</v>
      </c>
      <c r="M4" s="36">
        <v>72007</v>
      </c>
      <c r="N4" s="36">
        <v>65.683999999999997</v>
      </c>
      <c r="O4" s="94">
        <f t="shared" ref="O4:O67" si="0">M4/H4</f>
        <v>0.65247372236317502</v>
      </c>
      <c r="P4" s="36">
        <v>14726</v>
      </c>
      <c r="Q4" s="36">
        <f t="shared" ref="Q4:Q67" si="1">P4/H4</f>
        <v>0.13343602754621239</v>
      </c>
      <c r="R4" s="36">
        <v>17469</v>
      </c>
      <c r="S4" s="36">
        <f t="shared" ref="S4:S67" si="2">R4/H4</f>
        <v>0.15829104748097136</v>
      </c>
      <c r="T4" s="36">
        <v>4754</v>
      </c>
      <c r="U4" s="36">
        <f t="shared" ref="U4:U67" si="3">T4/H4</f>
        <v>4.3077201884740846E-2</v>
      </c>
      <c r="V4" s="36">
        <v>45319</v>
      </c>
      <c r="W4" s="36">
        <v>53201.4</v>
      </c>
      <c r="X4" s="36">
        <f t="shared" ref="X4:X67" si="4">V4/H4</f>
        <v>0.41064697354113811</v>
      </c>
      <c r="Y4" s="36" t="e">
        <f ca="1">_xll.BDP($B4,Y$2,)</f>
        <v>#NAME?</v>
      </c>
      <c r="Z4" s="36" t="e">
        <f ca="1">_xll.BDP($B4,Z$2)</f>
        <v>#NAME?</v>
      </c>
      <c r="AA4" s="36">
        <v>27500.14</v>
      </c>
      <c r="AB4" s="36">
        <v>33168.381000000001</v>
      </c>
      <c r="AC4" s="92">
        <f t="shared" ref="AC4:AC35" si="5">AA4/H4</f>
        <v>0.24918575570859006</v>
      </c>
    </row>
    <row r="5" spans="1:29" x14ac:dyDescent="0.2">
      <c r="A5" s="1" t="s">
        <v>7</v>
      </c>
      <c r="B5" s="1" t="s">
        <v>7</v>
      </c>
      <c r="C5" s="1" t="s">
        <v>8</v>
      </c>
      <c r="D5" s="36" t="s">
        <v>505</v>
      </c>
      <c r="E5" s="36">
        <v>180301.2904</v>
      </c>
      <c r="F5" s="36">
        <v>178833.2904</v>
      </c>
      <c r="G5" s="36" t="e">
        <f ca="1">_xll.BDP($B5,G$2,"EQY_FUND_YEAR=2016")</f>
        <v>#NAME?</v>
      </c>
      <c r="H5" s="36">
        <v>39836</v>
      </c>
      <c r="I5" s="36">
        <v>40369.717000000004</v>
      </c>
      <c r="J5" s="36">
        <f t="shared" ref="J5:J68" si="6">F5/H5</f>
        <v>4.4892381363590719</v>
      </c>
      <c r="K5" s="36">
        <f t="shared" ref="K5:K68" si="7">F5/I5</f>
        <v>4.429887145357001</v>
      </c>
      <c r="L5" s="44">
        <v>1.3397856210463077E-2</v>
      </c>
      <c r="M5" s="36">
        <v>31737</v>
      </c>
      <c r="N5" s="36">
        <v>80.283000000000001</v>
      </c>
      <c r="O5" s="94">
        <f t="shared" si="0"/>
        <v>0.79669143488302041</v>
      </c>
      <c r="P5" s="36">
        <v>6091</v>
      </c>
      <c r="Q5" s="36">
        <f t="shared" si="1"/>
        <v>0.15290189778090169</v>
      </c>
      <c r="R5" s="36">
        <v>8431</v>
      </c>
      <c r="S5" s="36">
        <f t="shared" si="2"/>
        <v>0.21164273521437896</v>
      </c>
      <c r="T5" s="36">
        <v>1289</v>
      </c>
      <c r="U5" s="36">
        <f t="shared" si="3"/>
        <v>3.2357666432372728E-2</v>
      </c>
      <c r="V5" s="36">
        <v>17054</v>
      </c>
      <c r="W5" s="36">
        <v>18945.600000000002</v>
      </c>
      <c r="X5" s="36">
        <f t="shared" si="4"/>
        <v>0.42810523144894064</v>
      </c>
      <c r="Y5" s="36" t="e">
        <f ca="1">_xll.BDP($B5,Y$2,)</f>
        <v>#NAME?</v>
      </c>
      <c r="Z5" s="36" t="e">
        <f ca="1">_xll.BDP($B5,Z$2)</f>
        <v>#NAME?</v>
      </c>
      <c r="AA5" s="36">
        <v>11273.48040882633</v>
      </c>
      <c r="AB5" s="36">
        <v>13494.148999999999</v>
      </c>
      <c r="AC5" s="92">
        <f t="shared" si="5"/>
        <v>0.2829972991471616</v>
      </c>
    </row>
    <row r="6" spans="1:29" x14ac:dyDescent="0.2">
      <c r="A6" s="1" t="s">
        <v>9</v>
      </c>
      <c r="B6" s="1" t="s">
        <v>9</v>
      </c>
      <c r="C6" s="1" t="s">
        <v>10</v>
      </c>
      <c r="D6" s="36" t="s">
        <v>495</v>
      </c>
      <c r="E6" s="36">
        <v>120471.356</v>
      </c>
      <c r="F6" s="36">
        <v>117401.54</v>
      </c>
      <c r="G6" s="36" t="e">
        <f ca="1">_xll.BDP($B6,G$2,"EQY_FUND_YEAR=2016")</f>
        <v>#NAME?</v>
      </c>
      <c r="H6" s="36">
        <v>8571.9779999999992</v>
      </c>
      <c r="I6" s="36">
        <v>10315.565000000001</v>
      </c>
      <c r="J6" s="36">
        <f t="shared" si="6"/>
        <v>13.695968421757499</v>
      </c>
      <c r="K6" s="36">
        <f t="shared" si="7"/>
        <v>11.381009183694736</v>
      </c>
      <c r="L6" s="44">
        <v>0.20340544504430613</v>
      </c>
      <c r="M6" s="36">
        <v>7465.3680576171873</v>
      </c>
      <c r="N6" s="36">
        <v>88.408000000000001</v>
      </c>
      <c r="O6" s="94">
        <f t="shared" si="0"/>
        <v>0.8709037817895926</v>
      </c>
      <c r="P6" s="36">
        <v>1224.059</v>
      </c>
      <c r="Q6" s="36">
        <f t="shared" si="1"/>
        <v>0.14279772999884041</v>
      </c>
      <c r="R6" s="36">
        <v>2197.5920000000001</v>
      </c>
      <c r="S6" s="36">
        <f t="shared" si="2"/>
        <v>0.25636930006119946</v>
      </c>
      <c r="T6" s="36">
        <v>624.70600000000002</v>
      </c>
      <c r="U6" s="36">
        <f t="shared" si="3"/>
        <v>7.2877695206403942E-2</v>
      </c>
      <c r="V6" s="36">
        <v>3089.8100000000004</v>
      </c>
      <c r="W6" s="36">
        <v>4722.8</v>
      </c>
      <c r="X6" s="36">
        <f t="shared" si="4"/>
        <v>0.36045472818525676</v>
      </c>
      <c r="Y6" s="36" t="e">
        <f ca="1">_xll.BDP($B6,Y$2,)</f>
        <v>#NAME?</v>
      </c>
      <c r="Z6" s="36" t="e">
        <f ca="1">_xll.BDP($B6,Z$2)</f>
        <v>#NAME?</v>
      </c>
      <c r="AA6" s="36">
        <v>2415.5068601730072</v>
      </c>
      <c r="AB6" s="36">
        <v>3792.5219999999999</v>
      </c>
      <c r="AC6" s="92">
        <f t="shared" si="5"/>
        <v>0.28179107087920752</v>
      </c>
    </row>
    <row r="7" spans="1:29" x14ac:dyDescent="0.2">
      <c r="A7" s="1" t="s">
        <v>11</v>
      </c>
      <c r="B7" s="1" t="s">
        <v>11</v>
      </c>
      <c r="C7" s="1" t="s">
        <v>12</v>
      </c>
      <c r="D7" s="36" t="s">
        <v>495</v>
      </c>
      <c r="E7" s="36">
        <v>103645.19990000001</v>
      </c>
      <c r="F7" s="36">
        <v>103894.19990000001</v>
      </c>
      <c r="G7" s="36" t="e">
        <f ca="1">_xll.BDP($B7,G$2,"EQY_FUND_YEAR=2016")</f>
        <v>#NAME?</v>
      </c>
      <c r="H7" s="36">
        <v>11817.844000000001</v>
      </c>
      <c r="I7" s="36">
        <v>14404.651</v>
      </c>
      <c r="J7" s="36">
        <f t="shared" si="6"/>
        <v>8.7912989797462213</v>
      </c>
      <c r="K7" s="36">
        <f t="shared" si="7"/>
        <v>7.2125454410523382</v>
      </c>
      <c r="L7" s="44">
        <v>0.2188899261151187</v>
      </c>
      <c r="M7" s="36">
        <v>8749.5439453125</v>
      </c>
      <c r="N7" s="36">
        <v>76.641000000000005</v>
      </c>
      <c r="O7" s="94">
        <f t="shared" si="0"/>
        <v>0.74036718925317502</v>
      </c>
      <c r="P7" s="36">
        <v>1553.0729999999999</v>
      </c>
      <c r="Q7" s="36">
        <f t="shared" si="1"/>
        <v>0.13141762575305613</v>
      </c>
      <c r="R7" s="36">
        <v>4829.2910000000002</v>
      </c>
      <c r="S7" s="36">
        <f t="shared" si="2"/>
        <v>0.40864399631607928</v>
      </c>
      <c r="T7" s="36">
        <v>1088.3579999999999</v>
      </c>
      <c r="U7" s="36">
        <f t="shared" si="3"/>
        <v>9.2094463254041928E-2</v>
      </c>
      <c r="V7" s="36">
        <v>1308.0920000000001</v>
      </c>
      <c r="W7" s="36">
        <v>3506.19</v>
      </c>
      <c r="X7" s="36">
        <f t="shared" si="4"/>
        <v>0.11068787166254691</v>
      </c>
      <c r="Y7" s="36" t="e">
        <f ca="1">_xll.BDP($B7,Y$2,)</f>
        <v>#NAME?</v>
      </c>
      <c r="Z7" s="36" t="e">
        <f ca="1">_xll.BDP($B7,Z$2)</f>
        <v>#NAME?</v>
      </c>
      <c r="AA7" s="36">
        <v>482.47887560000004</v>
      </c>
      <c r="AB7" s="36">
        <v>1884.8969999999999</v>
      </c>
      <c r="AC7" s="92">
        <f t="shared" si="5"/>
        <v>4.0826302631850615E-2</v>
      </c>
    </row>
    <row r="8" spans="1:29" x14ac:dyDescent="0.2">
      <c r="A8" s="1" t="s">
        <v>15</v>
      </c>
      <c r="B8" s="1" t="s">
        <v>15</v>
      </c>
      <c r="C8" s="1" t="s">
        <v>16</v>
      </c>
      <c r="D8" s="36" t="s">
        <v>506</v>
      </c>
      <c r="E8" s="36">
        <v>61784.005499999999</v>
      </c>
      <c r="F8" s="36">
        <v>61613.105499999998</v>
      </c>
      <c r="G8" s="36" t="e">
        <f ca="1">_xll.BDP($B8,G$2,"EQY_FUND_YEAR=2016")</f>
        <v>#NAME?</v>
      </c>
      <c r="H8" s="36">
        <v>13325.8</v>
      </c>
      <c r="I8" s="36">
        <v>14165.857</v>
      </c>
      <c r="J8" s="36">
        <f t="shared" si="6"/>
        <v>4.6235952438127539</v>
      </c>
      <c r="K8" s="36">
        <f t="shared" si="7"/>
        <v>4.3494089697502947</v>
      </c>
      <c r="L8" s="44">
        <v>6.303989253928477E-2</v>
      </c>
      <c r="M8" s="36">
        <v>5483.0999511718746</v>
      </c>
      <c r="N8" s="36">
        <v>47.800000000000004</v>
      </c>
      <c r="O8" s="94">
        <f t="shared" si="0"/>
        <v>0.41146497404822785</v>
      </c>
      <c r="P8" s="36">
        <v>0</v>
      </c>
      <c r="Q8" s="36">
        <f t="shared" si="1"/>
        <v>0</v>
      </c>
      <c r="R8" s="36" t="s">
        <v>480</v>
      </c>
      <c r="S8" s="36" t="e">
        <f t="shared" si="2"/>
        <v>#VALUE!</v>
      </c>
      <c r="T8" s="36" t="s">
        <v>480</v>
      </c>
      <c r="U8" s="36" t="e">
        <f t="shared" si="3"/>
        <v>#VALUE!</v>
      </c>
      <c r="V8" s="36">
        <v>3327.1</v>
      </c>
      <c r="W8" s="36">
        <v>3330.7559999999999</v>
      </c>
      <c r="X8" s="36">
        <f t="shared" si="4"/>
        <v>0.24967356556454398</v>
      </c>
      <c r="Y8" s="36" t="e">
        <f ca="1">_xll.BDP($B8,Y$2,)</f>
        <v>#NAME?</v>
      </c>
      <c r="Z8" s="36" t="e">
        <f ca="1">_xll.BDP($B8,Z$2)</f>
        <v>#NAME?</v>
      </c>
      <c r="AA8" s="36">
        <v>1929.6169999999997</v>
      </c>
      <c r="AB8" s="36">
        <v>2265.875</v>
      </c>
      <c r="AC8" s="92">
        <f t="shared" si="5"/>
        <v>0.144803088745141</v>
      </c>
    </row>
    <row r="9" spans="1:29" x14ac:dyDescent="0.2">
      <c r="A9" s="1" t="s">
        <v>17</v>
      </c>
      <c r="B9" s="1" t="s">
        <v>17</v>
      </c>
      <c r="C9" s="1" t="s">
        <v>18</v>
      </c>
      <c r="D9" s="36" t="s">
        <v>505</v>
      </c>
      <c r="E9" s="36">
        <v>58334.508399999999</v>
      </c>
      <c r="F9" s="36">
        <v>49272.508399999999</v>
      </c>
      <c r="G9" s="36" t="e">
        <f ca="1">_xll.BDP($B9,G$2,"EQY_FUND_YEAR=2016")</f>
        <v>#NAME?</v>
      </c>
      <c r="H9" s="36">
        <v>8467</v>
      </c>
      <c r="I9" s="36">
        <v>9081.755000000001</v>
      </c>
      <c r="J9" s="36">
        <f t="shared" si="6"/>
        <v>5.8193584976969408</v>
      </c>
      <c r="K9" s="36">
        <f t="shared" si="7"/>
        <v>5.4254390698714063</v>
      </c>
      <c r="L9" s="44">
        <v>7.2605999763788898E-2</v>
      </c>
      <c r="M9" s="36">
        <v>7285</v>
      </c>
      <c r="N9" s="36">
        <v>87.66</v>
      </c>
      <c r="O9" s="94">
        <f t="shared" si="0"/>
        <v>0.8603991968820125</v>
      </c>
      <c r="P9" s="36">
        <v>1755</v>
      </c>
      <c r="Q9" s="36">
        <f t="shared" si="1"/>
        <v>0.20727530412188497</v>
      </c>
      <c r="R9" s="36">
        <v>2593</v>
      </c>
      <c r="S9" s="36">
        <f t="shared" si="2"/>
        <v>0.30624778552025511</v>
      </c>
      <c r="T9" s="36">
        <v>654</v>
      </c>
      <c r="U9" s="36">
        <f t="shared" si="3"/>
        <v>7.7241053501830637E-2</v>
      </c>
      <c r="V9" s="36">
        <v>2515</v>
      </c>
      <c r="W9" s="36">
        <v>3697</v>
      </c>
      <c r="X9" s="36">
        <f t="shared" si="4"/>
        <v>0.29703554978150465</v>
      </c>
      <c r="Y9" s="36" t="e">
        <f ca="1">_xll.BDP($B9,Y$2,)</f>
        <v>#NAME?</v>
      </c>
      <c r="Z9" s="36" t="e">
        <f ca="1">_xll.BDP($B9,Z$2)</f>
        <v>#NAME?</v>
      </c>
      <c r="AA9" s="36">
        <v>3395.5353242424239</v>
      </c>
      <c r="AB9" s="36">
        <v>2533.7220000000002</v>
      </c>
      <c r="AC9" s="92">
        <f t="shared" si="5"/>
        <v>0.40103169059199528</v>
      </c>
    </row>
    <row r="10" spans="1:29" x14ac:dyDescent="0.2">
      <c r="A10" s="1" t="s">
        <v>19</v>
      </c>
      <c r="B10" s="1" t="s">
        <v>19</v>
      </c>
      <c r="C10" s="1" t="s">
        <v>20</v>
      </c>
      <c r="D10" s="36" t="s">
        <v>495</v>
      </c>
      <c r="E10" s="36">
        <v>53751.963400000001</v>
      </c>
      <c r="F10" s="36">
        <v>52287.719499999999</v>
      </c>
      <c r="G10" s="36" t="e">
        <f ca="1">_xll.BDP($B10,G$2,"EQY_FUND_YEAR=2016")</f>
        <v>#NAME?</v>
      </c>
      <c r="H10" s="36">
        <v>5964</v>
      </c>
      <c r="I10" s="36">
        <v>6610.5380000000005</v>
      </c>
      <c r="J10" s="36">
        <f t="shared" si="6"/>
        <v>8.7672232562038896</v>
      </c>
      <c r="K10" s="36">
        <f t="shared" si="7"/>
        <v>7.9097525042591084</v>
      </c>
      <c r="L10" s="44">
        <v>0.10840677397719656</v>
      </c>
      <c r="M10" s="36">
        <v>4992</v>
      </c>
      <c r="N10" s="36">
        <v>77.832999999999998</v>
      </c>
      <c r="O10" s="94">
        <f t="shared" si="0"/>
        <v>0.83702213279678073</v>
      </c>
      <c r="P10" s="36">
        <v>1186</v>
      </c>
      <c r="Q10" s="36">
        <f t="shared" si="1"/>
        <v>0.19885982562038901</v>
      </c>
      <c r="R10" s="36">
        <v>1634</v>
      </c>
      <c r="S10" s="36">
        <f t="shared" si="2"/>
        <v>0.27397719651240776</v>
      </c>
      <c r="T10" s="36">
        <v>664</v>
      </c>
      <c r="U10" s="36">
        <f t="shared" si="3"/>
        <v>0.11133467471495641</v>
      </c>
      <c r="V10" s="36">
        <v>1823</v>
      </c>
      <c r="W10" s="36">
        <v>2438</v>
      </c>
      <c r="X10" s="36">
        <f t="shared" si="4"/>
        <v>0.3056673373574782</v>
      </c>
      <c r="Y10" s="36" t="e">
        <f ca="1">_xll.BDP($B10,Y$2,)</f>
        <v>#NAME?</v>
      </c>
      <c r="Z10" s="36" t="e">
        <f ca="1">_xll.BDP($B10,Z$2)</f>
        <v>#NAME?</v>
      </c>
      <c r="AA10" s="36">
        <v>1268.9562790151069</v>
      </c>
      <c r="AB10" s="36">
        <v>1695.9180000000001</v>
      </c>
      <c r="AC10" s="92">
        <f t="shared" si="5"/>
        <v>0.21276932914404878</v>
      </c>
    </row>
    <row r="11" spans="1:29" x14ac:dyDescent="0.2">
      <c r="A11" s="1" t="s">
        <v>23</v>
      </c>
      <c r="B11" s="1" t="s">
        <v>23</v>
      </c>
      <c r="C11" s="1" t="s">
        <v>24</v>
      </c>
      <c r="D11" s="36" t="s">
        <v>505</v>
      </c>
      <c r="E11" s="36">
        <v>30961.627899999999</v>
      </c>
      <c r="F11" s="36">
        <v>30069.100900000001</v>
      </c>
      <c r="G11" s="36" t="e">
        <f ca="1">_xll.BDP($B11,G$2,"EQY_FUND_YEAR=2016")</f>
        <v>#NAME?</v>
      </c>
      <c r="H11" s="36">
        <v>2264.8180000000002</v>
      </c>
      <c r="I11" s="36">
        <v>2957.73</v>
      </c>
      <c r="J11" s="36">
        <f t="shared" si="6"/>
        <v>13.27660805415711</v>
      </c>
      <c r="K11" s="36">
        <f t="shared" si="7"/>
        <v>10.166276468778422</v>
      </c>
      <c r="L11" s="44">
        <v>0.30594599654365151</v>
      </c>
      <c r="M11" s="36">
        <v>1706.5400173339845</v>
      </c>
      <c r="N11" s="36">
        <v>79.881</v>
      </c>
      <c r="O11" s="94">
        <f t="shared" si="0"/>
        <v>0.75349984737580866</v>
      </c>
      <c r="P11" s="36">
        <v>377.51799999999997</v>
      </c>
      <c r="Q11" s="36">
        <f t="shared" si="1"/>
        <v>0.16668800760149377</v>
      </c>
      <c r="R11" s="36">
        <v>946.61699999999996</v>
      </c>
      <c r="S11" s="36">
        <f t="shared" si="2"/>
        <v>0.41796603523991765</v>
      </c>
      <c r="T11" s="36">
        <v>210.53299999999999</v>
      </c>
      <c r="U11" s="36">
        <f t="shared" si="3"/>
        <v>9.2958021350942971E-2</v>
      </c>
      <c r="V11" s="36">
        <v>59.362000000000002</v>
      </c>
      <c r="W11" s="36">
        <v>778.80000000000007</v>
      </c>
      <c r="X11" s="36">
        <f t="shared" si="4"/>
        <v>2.6210494618110591E-2</v>
      </c>
      <c r="Y11" s="36" t="e">
        <f ca="1">_xll.BDP($B11,Y$2,)</f>
        <v>#NAME?</v>
      </c>
      <c r="Z11" s="36" t="e">
        <f ca="1">_xll.BDP($B11,Z$2)</f>
        <v>#NAME?</v>
      </c>
      <c r="AA11" s="36">
        <v>-89.498374022804001</v>
      </c>
      <c r="AB11" s="36">
        <v>496.71600000000001</v>
      </c>
      <c r="AC11" s="92">
        <f t="shared" si="5"/>
        <v>-3.9516806217013457E-2</v>
      </c>
    </row>
    <row r="12" spans="1:29" x14ac:dyDescent="0.2">
      <c r="A12" s="1" t="s">
        <v>29</v>
      </c>
      <c r="B12" s="1" t="s">
        <v>29</v>
      </c>
      <c r="C12" s="1" t="s">
        <v>30</v>
      </c>
      <c r="D12" s="36" t="s">
        <v>506</v>
      </c>
      <c r="E12" s="36">
        <v>29089.448</v>
      </c>
      <c r="F12" s="36">
        <v>37238.548000000003</v>
      </c>
      <c r="G12" s="36" t="e">
        <f ca="1">_xll.BDP($B12,G$2,"EQY_FUND_YEAR=2016")</f>
        <v>#NAME?</v>
      </c>
      <c r="H12" s="36">
        <v>3957.0110000000004</v>
      </c>
      <c r="I12" s="36">
        <v>4123.2660000000005</v>
      </c>
      <c r="J12" s="36">
        <f t="shared" si="6"/>
        <v>9.4107769728211519</v>
      </c>
      <c r="K12" s="36">
        <f t="shared" si="7"/>
        <v>9.0313232277519813</v>
      </c>
      <c r="L12" s="44">
        <v>4.2015298921332267E-2</v>
      </c>
      <c r="M12" s="36">
        <v>2980.6710327148439</v>
      </c>
      <c r="N12" s="36" t="s">
        <v>480</v>
      </c>
      <c r="O12" s="94">
        <f t="shared" si="0"/>
        <v>0.75326326682307521</v>
      </c>
      <c r="P12" s="36">
        <v>0</v>
      </c>
      <c r="Q12" s="36">
        <f t="shared" si="1"/>
        <v>0</v>
      </c>
      <c r="R12" s="36">
        <v>669.50599999999997</v>
      </c>
      <c r="S12" s="36">
        <f t="shared" si="2"/>
        <v>0.16919487967053917</v>
      </c>
      <c r="T12" s="36">
        <v>295.101</v>
      </c>
      <c r="U12" s="36">
        <f t="shared" si="3"/>
        <v>7.4576744921861463E-2</v>
      </c>
      <c r="V12" s="36">
        <v>1336.268</v>
      </c>
      <c r="W12" s="36">
        <v>2025.325</v>
      </c>
      <c r="X12" s="36">
        <f t="shared" si="4"/>
        <v>0.33769630663144479</v>
      </c>
      <c r="Y12" s="36" t="e">
        <f ca="1">_xll.BDP($B12,Y$2,)</f>
        <v>#NAME?</v>
      </c>
      <c r="Z12" s="36" t="e">
        <f ca="1">_xll.BDP($B12,Z$2)</f>
        <v>#NAME?</v>
      </c>
      <c r="AA12" s="36">
        <v>93.840450000000004</v>
      </c>
      <c r="AB12" s="36">
        <v>1334.0820000000001</v>
      </c>
      <c r="AC12" s="92">
        <f t="shared" si="5"/>
        <v>2.3714983354860525E-2</v>
      </c>
    </row>
    <row r="13" spans="1:29" x14ac:dyDescent="0.2">
      <c r="A13" s="1" t="s">
        <v>31</v>
      </c>
      <c r="B13" s="1" t="s">
        <v>31</v>
      </c>
      <c r="C13" s="1" t="s">
        <v>32</v>
      </c>
      <c r="D13" s="36" t="s">
        <v>495</v>
      </c>
      <c r="E13" s="36">
        <v>28194.987400000002</v>
      </c>
      <c r="F13" s="36">
        <v>28484.287400000001</v>
      </c>
      <c r="G13" s="36" t="e">
        <f ca="1">_xll.BDP($B13,G$2,"EQY_FUND_YEAR=2016")</f>
        <v>#NAME?</v>
      </c>
      <c r="H13" s="36">
        <v>2240.6999999999998</v>
      </c>
      <c r="I13" s="36">
        <v>2807.2000000000003</v>
      </c>
      <c r="J13" s="36">
        <f t="shared" si="6"/>
        <v>12.712227161154997</v>
      </c>
      <c r="K13" s="36">
        <f t="shared" si="7"/>
        <v>10.146867839840409</v>
      </c>
      <c r="L13" s="44">
        <v>0.25282277859597468</v>
      </c>
      <c r="M13" s="36">
        <v>1953.5000061035157</v>
      </c>
      <c r="N13" s="36">
        <v>89.308000000000007</v>
      </c>
      <c r="O13" s="94">
        <f t="shared" si="0"/>
        <v>0.87182577145691786</v>
      </c>
      <c r="P13" s="36">
        <v>755.5</v>
      </c>
      <c r="Q13" s="36">
        <f t="shared" si="1"/>
        <v>0.33717141964564645</v>
      </c>
      <c r="R13" s="36">
        <v>1087.3</v>
      </c>
      <c r="S13" s="36">
        <f t="shared" si="2"/>
        <v>0.48525014504395947</v>
      </c>
      <c r="T13" s="36">
        <v>305.2</v>
      </c>
      <c r="U13" s="36">
        <f t="shared" si="3"/>
        <v>0.13620743517650735</v>
      </c>
      <c r="V13" s="36">
        <v>-131.1</v>
      </c>
      <c r="W13" s="36">
        <v>635.5</v>
      </c>
      <c r="X13" s="36">
        <f t="shared" si="4"/>
        <v>-5.8508501807470879E-2</v>
      </c>
      <c r="Y13" s="36" t="e">
        <f ca="1">_xll.BDP($B13,Y$2,)</f>
        <v>#NAME?</v>
      </c>
      <c r="Z13" s="36" t="e">
        <f ca="1">_xll.BDP($B13,Z$2)</f>
        <v>#NAME?</v>
      </c>
      <c r="AA13" s="36">
        <v>-301.367196788814</v>
      </c>
      <c r="AB13" s="36">
        <v>429.976</v>
      </c>
      <c r="AC13" s="92">
        <f t="shared" si="5"/>
        <v>-0.13449689685759542</v>
      </c>
    </row>
    <row r="14" spans="1:29" x14ac:dyDescent="0.2">
      <c r="A14" s="1" t="s">
        <v>33</v>
      </c>
      <c r="B14" s="1" t="s">
        <v>33</v>
      </c>
      <c r="C14" s="1" t="s">
        <v>34</v>
      </c>
      <c r="D14" s="36" t="s">
        <v>495</v>
      </c>
      <c r="E14" s="36">
        <v>27264.9643</v>
      </c>
      <c r="F14" s="36">
        <v>25456.8783</v>
      </c>
      <c r="G14" s="36" t="e">
        <f ca="1">_xll.BDP($B14,G$2,"EQY_FUND_YEAR=2016")</f>
        <v>#NAME?</v>
      </c>
      <c r="H14" s="36">
        <v>2428.232</v>
      </c>
      <c r="I14" s="36">
        <v>3119.846</v>
      </c>
      <c r="J14" s="36">
        <f t="shared" si="6"/>
        <v>10.483709258423414</v>
      </c>
      <c r="K14" s="36">
        <f t="shared" si="7"/>
        <v>8.1596586177651069</v>
      </c>
      <c r="L14" s="44">
        <v>0.28482204336323713</v>
      </c>
      <c r="M14" s="36">
        <v>1715.5240270996094</v>
      </c>
      <c r="N14" s="36">
        <v>73.817999999999998</v>
      </c>
      <c r="O14" s="94">
        <f t="shared" si="0"/>
        <v>0.70649098895806062</v>
      </c>
      <c r="P14" s="36">
        <v>910.58399999999995</v>
      </c>
      <c r="Q14" s="36">
        <f t="shared" si="1"/>
        <v>0.37499876453320768</v>
      </c>
      <c r="R14" s="36">
        <v>683.36699999999996</v>
      </c>
      <c r="S14" s="36">
        <f t="shared" si="2"/>
        <v>0.28142574515120466</v>
      </c>
      <c r="T14" s="36">
        <v>222.90899999999999</v>
      </c>
      <c r="U14" s="36">
        <f t="shared" si="3"/>
        <v>9.1798889068260364E-2</v>
      </c>
      <c r="V14" s="36">
        <v>-107.83699999999999</v>
      </c>
      <c r="W14" s="36">
        <v>502.2</v>
      </c>
      <c r="X14" s="36">
        <f t="shared" si="4"/>
        <v>-4.4409677493748537E-2</v>
      </c>
      <c r="Y14" s="36" t="e">
        <f ca="1">_xll.BDP($B14,Y$2,)</f>
        <v>#NAME?</v>
      </c>
      <c r="Z14" s="36" t="e">
        <f ca="1">_xll.BDP($B14,Z$2)</f>
        <v>#NAME?</v>
      </c>
      <c r="AA14" s="36">
        <v>-334.86065359999998</v>
      </c>
      <c r="AB14" s="36">
        <v>272.8</v>
      </c>
      <c r="AC14" s="92">
        <f t="shared" si="5"/>
        <v>-0.137903072523548</v>
      </c>
    </row>
    <row r="15" spans="1:29" x14ac:dyDescent="0.2">
      <c r="A15" s="1" t="s">
        <v>35</v>
      </c>
      <c r="B15" s="1" t="s">
        <v>35</v>
      </c>
      <c r="C15" s="1" t="s">
        <v>36</v>
      </c>
      <c r="D15" s="36" t="s">
        <v>506</v>
      </c>
      <c r="E15" s="36">
        <v>23584.501899999999</v>
      </c>
      <c r="F15" s="36">
        <v>23118.2019</v>
      </c>
      <c r="G15" s="36" t="e">
        <f ca="1">_xll.BDP($B15,G$2,"EQY_FUND_YEAR=2016")</f>
        <v>#NAME?</v>
      </c>
      <c r="H15" s="36">
        <v>3426.9</v>
      </c>
      <c r="I15" s="36">
        <v>3662.9560000000001</v>
      </c>
      <c r="J15" s="36">
        <f t="shared" si="6"/>
        <v>6.7460976100849166</v>
      </c>
      <c r="K15" s="36">
        <f t="shared" si="7"/>
        <v>6.3113512420023605</v>
      </c>
      <c r="L15" s="44">
        <v>6.8883247249700963E-2</v>
      </c>
      <c r="M15" s="36">
        <v>2375.6999633789064</v>
      </c>
      <c r="N15" s="36">
        <v>67.775000000000006</v>
      </c>
      <c r="O15" s="94">
        <f t="shared" si="0"/>
        <v>0.69325044891269261</v>
      </c>
      <c r="P15" s="36">
        <v>0</v>
      </c>
      <c r="Q15" s="36">
        <f t="shared" si="1"/>
        <v>0</v>
      </c>
      <c r="R15" s="36" t="s">
        <v>480</v>
      </c>
      <c r="S15" s="36" t="e">
        <f t="shared" si="2"/>
        <v>#VALUE!</v>
      </c>
      <c r="T15" s="36" t="s">
        <v>480</v>
      </c>
      <c r="U15" s="36" t="e">
        <f t="shared" si="3"/>
        <v>#VALUE!</v>
      </c>
      <c r="V15" s="36">
        <v>1437.8257196663981</v>
      </c>
      <c r="W15" s="36">
        <v>1504.6000000000001</v>
      </c>
      <c r="X15" s="36">
        <f t="shared" si="4"/>
        <v>0.41957037546073656</v>
      </c>
      <c r="Y15" s="36" t="e">
        <f ca="1">_xll.BDP($B15,Y$2,)</f>
        <v>#NAME?</v>
      </c>
      <c r="Z15" s="36" t="e">
        <f ca="1">_xll.BDP($B15,Z$2)</f>
        <v>#NAME?</v>
      </c>
      <c r="AA15" s="36">
        <v>914.04665999999997</v>
      </c>
      <c r="AB15" s="36">
        <v>1049.039</v>
      </c>
      <c r="AC15" s="92">
        <f t="shared" si="5"/>
        <v>0.26672697189880062</v>
      </c>
    </row>
    <row r="16" spans="1:29" x14ac:dyDescent="0.2">
      <c r="A16" s="1" t="s">
        <v>37</v>
      </c>
      <c r="B16" s="1" t="s">
        <v>37</v>
      </c>
      <c r="C16" s="1" t="s">
        <v>38</v>
      </c>
      <c r="D16" s="36" t="s">
        <v>505</v>
      </c>
      <c r="E16" s="36">
        <v>20800.9689</v>
      </c>
      <c r="F16" s="36">
        <v>19172.8344</v>
      </c>
      <c r="G16" s="36" t="e">
        <f ca="1">_xll.BDP($B16,G$2,"EQY_FUND_YEAR=2016")</f>
        <v>#NAME?</v>
      </c>
      <c r="H16" s="36">
        <v>3156.587</v>
      </c>
      <c r="I16" s="36">
        <v>3599.1820000000002</v>
      </c>
      <c r="J16" s="36">
        <f t="shared" si="6"/>
        <v>6.0739128685507477</v>
      </c>
      <c r="K16" s="36">
        <f t="shared" si="7"/>
        <v>5.3269977455988604</v>
      </c>
      <c r="L16" s="44">
        <v>0.14021314793477901</v>
      </c>
      <c r="M16" s="36">
        <v>2690.5739580078125</v>
      </c>
      <c r="N16" s="36">
        <v>86.289000000000001</v>
      </c>
      <c r="O16" s="94">
        <f t="shared" si="0"/>
        <v>0.85236806652495634</v>
      </c>
      <c r="P16" s="36">
        <v>578.32999999999993</v>
      </c>
      <c r="Q16" s="36">
        <f t="shared" si="1"/>
        <v>0.18321370518221103</v>
      </c>
      <c r="R16" s="36">
        <v>1198.576</v>
      </c>
      <c r="S16" s="36">
        <f t="shared" si="2"/>
        <v>0.37970630937781852</v>
      </c>
      <c r="T16" s="36">
        <v>239.316</v>
      </c>
      <c r="U16" s="36">
        <f t="shared" si="3"/>
        <v>7.5814796170674215E-2</v>
      </c>
      <c r="V16" s="36">
        <v>602.68600000000004</v>
      </c>
      <c r="W16" s="36">
        <v>1001.4</v>
      </c>
      <c r="X16" s="36">
        <f t="shared" si="4"/>
        <v>0.19092963381018804</v>
      </c>
      <c r="Y16" s="36" t="e">
        <f ca="1">_xll.BDP($B16,Y$2,)</f>
        <v>#NAME?</v>
      </c>
      <c r="Z16" s="36" t="e">
        <f ca="1">_xll.BDP($B16,Z$2)</f>
        <v>#NAME?</v>
      </c>
      <c r="AA16" s="36">
        <v>417.021865536652</v>
      </c>
      <c r="AB16" s="36">
        <v>679.60699999999997</v>
      </c>
      <c r="AC16" s="92">
        <f t="shared" si="5"/>
        <v>0.13211163371598883</v>
      </c>
    </row>
    <row r="17" spans="1:29" x14ac:dyDescent="0.2">
      <c r="A17" s="1" t="s">
        <v>39</v>
      </c>
      <c r="B17" s="1" t="s">
        <v>39</v>
      </c>
      <c r="C17" s="1" t="s">
        <v>40</v>
      </c>
      <c r="D17" s="36" t="s">
        <v>506</v>
      </c>
      <c r="E17" s="36">
        <v>20486.037899999999</v>
      </c>
      <c r="F17" s="36">
        <v>38637.037900000003</v>
      </c>
      <c r="G17" s="36" t="e">
        <f ca="1">_xll.BDP($B17,G$2,"EQY_FUND_YEAR=2016")</f>
        <v>#NAME?</v>
      </c>
      <c r="H17" s="36">
        <v>10956</v>
      </c>
      <c r="I17" s="36">
        <v>8994.0679999999993</v>
      </c>
      <c r="J17" s="36">
        <f t="shared" si="6"/>
        <v>3.5265642479006938</v>
      </c>
      <c r="K17" s="36">
        <f t="shared" si="7"/>
        <v>4.2958356441156553</v>
      </c>
      <c r="L17" s="44">
        <v>-0.17907374954362909</v>
      </c>
      <c r="M17" s="36">
        <v>5450</v>
      </c>
      <c r="N17" s="36">
        <v>65</v>
      </c>
      <c r="O17" s="94">
        <f t="shared" si="0"/>
        <v>0.49744432274552758</v>
      </c>
      <c r="P17" s="36">
        <v>0</v>
      </c>
      <c r="Q17" s="36">
        <f t="shared" si="1"/>
        <v>0</v>
      </c>
      <c r="R17" s="36" t="s">
        <v>480</v>
      </c>
      <c r="S17" s="36" t="e">
        <f t="shared" si="2"/>
        <v>#VALUE!</v>
      </c>
      <c r="T17" s="36" t="s">
        <v>480</v>
      </c>
      <c r="U17" s="36" t="e">
        <f t="shared" si="3"/>
        <v>#VALUE!</v>
      </c>
      <c r="V17" s="36">
        <v>3054</v>
      </c>
      <c r="W17" s="36">
        <v>3430.4389999999999</v>
      </c>
      <c r="X17" s="36">
        <f t="shared" si="4"/>
        <v>0.2787513691128149</v>
      </c>
      <c r="Y17" s="36" t="e">
        <f ca="1">_xll.BDP($B17,Y$2,)</f>
        <v>#NAME?</v>
      </c>
      <c r="Z17" s="36" t="e">
        <f ca="1">_xll.BDP($B17,Z$2)</f>
        <v>#NAME?</v>
      </c>
      <c r="AA17" s="36">
        <v>958.78000000000009</v>
      </c>
      <c r="AB17" s="36">
        <v>1452.2719999999999</v>
      </c>
      <c r="AC17" s="92">
        <f t="shared" si="5"/>
        <v>8.7511865644395767E-2</v>
      </c>
    </row>
    <row r="18" spans="1:29" x14ac:dyDescent="0.2">
      <c r="A18" s="1" t="s">
        <v>43</v>
      </c>
      <c r="B18" s="1" t="s">
        <v>43</v>
      </c>
      <c r="C18" s="1" t="s">
        <v>44</v>
      </c>
      <c r="D18" s="36" t="s">
        <v>505</v>
      </c>
      <c r="E18" s="36">
        <v>18309.393199999999</v>
      </c>
      <c r="F18" s="36">
        <v>17761.393199999999</v>
      </c>
      <c r="G18" s="36" t="e">
        <f ca="1">_xll.BDP($B18,G$2,"EQY_FUND_YEAR=2016")</f>
        <v>#NAME?</v>
      </c>
      <c r="H18" s="36">
        <v>4148</v>
      </c>
      <c r="I18" s="36">
        <v>4285.5</v>
      </c>
      <c r="J18" s="36">
        <f t="shared" si="6"/>
        <v>4.2819173577627767</v>
      </c>
      <c r="K18" s="36">
        <f t="shared" si="7"/>
        <v>4.1445323066153303</v>
      </c>
      <c r="L18" s="44">
        <v>3.3148505303760789E-2</v>
      </c>
      <c r="M18" s="36">
        <v>3546</v>
      </c>
      <c r="N18" s="36">
        <v>86.100000000000009</v>
      </c>
      <c r="O18" s="94">
        <f t="shared" si="0"/>
        <v>0.85486981677917073</v>
      </c>
      <c r="P18" s="36">
        <v>642</v>
      </c>
      <c r="Q18" s="36">
        <f t="shared" si="1"/>
        <v>0.15477338476374156</v>
      </c>
      <c r="R18" s="36">
        <v>1061</v>
      </c>
      <c r="S18" s="36">
        <f t="shared" si="2"/>
        <v>0.25578592092574737</v>
      </c>
      <c r="T18" s="36">
        <v>406</v>
      </c>
      <c r="U18" s="36">
        <f t="shared" si="3"/>
        <v>9.7878495660559311E-2</v>
      </c>
      <c r="V18" s="36">
        <v>1440</v>
      </c>
      <c r="W18" s="36" t="s">
        <v>480</v>
      </c>
      <c r="X18" s="36">
        <f t="shared" si="4"/>
        <v>0.34715525554484089</v>
      </c>
      <c r="Y18" s="36" t="e">
        <f ca="1">_xll.BDP($B18,Y$2,)</f>
        <v>#NAME?</v>
      </c>
      <c r="Z18" s="36" t="e">
        <f ca="1">_xll.BDP($B18,Z$2)</f>
        <v>#NAME?</v>
      </c>
      <c r="AA18" s="36">
        <v>788.04512350394702</v>
      </c>
      <c r="AB18" s="36">
        <v>1167.5</v>
      </c>
      <c r="AC18" s="92">
        <f t="shared" si="5"/>
        <v>0.18998194877144337</v>
      </c>
    </row>
    <row r="19" spans="1:29" x14ac:dyDescent="0.2">
      <c r="A19" s="1" t="s">
        <v>45</v>
      </c>
      <c r="B19" s="1" t="s">
        <v>45</v>
      </c>
      <c r="C19" s="1" t="s">
        <v>46</v>
      </c>
      <c r="D19" s="36" t="s">
        <v>506</v>
      </c>
      <c r="E19" s="36">
        <v>17794.284</v>
      </c>
      <c r="F19" s="36">
        <v>21757.589</v>
      </c>
      <c r="G19" s="36" t="e">
        <f ca="1">_xll.BDP($B19,G$2,"EQY_FUND_YEAR=2016")</f>
        <v>#NAME?</v>
      </c>
      <c r="H19" s="36">
        <v>3721.3010000000004</v>
      </c>
      <c r="I19" s="36">
        <v>4117.8980000000001</v>
      </c>
      <c r="J19" s="36">
        <f t="shared" si="6"/>
        <v>5.8467694497166445</v>
      </c>
      <c r="K19" s="36">
        <f t="shared" si="7"/>
        <v>5.2836638984258473</v>
      </c>
      <c r="L19" s="44">
        <v>0.10657482423485765</v>
      </c>
      <c r="M19" s="36">
        <v>2202.0189868164061</v>
      </c>
      <c r="N19" s="36">
        <v>59.4</v>
      </c>
      <c r="O19" s="94">
        <f t="shared" si="0"/>
        <v>0.59173364014800356</v>
      </c>
      <c r="P19" s="36">
        <v>0</v>
      </c>
      <c r="Q19" s="36">
        <f t="shared" si="1"/>
        <v>0</v>
      </c>
      <c r="R19" s="36" t="s">
        <v>480</v>
      </c>
      <c r="S19" s="36" t="e">
        <f t="shared" si="2"/>
        <v>#VALUE!</v>
      </c>
      <c r="T19" s="36" t="s">
        <v>480</v>
      </c>
      <c r="U19" s="36" t="e">
        <f t="shared" si="3"/>
        <v>#VALUE!</v>
      </c>
      <c r="V19" s="36">
        <v>1229.5550000000001</v>
      </c>
      <c r="W19" s="36">
        <v>1462.3140000000001</v>
      </c>
      <c r="X19" s="36">
        <f t="shared" si="4"/>
        <v>0.33040998296026036</v>
      </c>
      <c r="Y19" s="36" t="e">
        <f ca="1">_xll.BDP($B19,Y$2,)</f>
        <v>#NAME?</v>
      </c>
      <c r="Z19" s="36" t="e">
        <f ca="1">_xll.BDP($B19,Z$2)</f>
        <v>#NAME?</v>
      </c>
      <c r="AA19" s="36">
        <v>446.25907235741499</v>
      </c>
      <c r="AB19" s="36">
        <v>872.38800000000003</v>
      </c>
      <c r="AC19" s="92">
        <f t="shared" si="5"/>
        <v>0.11992017639997811</v>
      </c>
    </row>
    <row r="20" spans="1:29" x14ac:dyDescent="0.2">
      <c r="A20" s="1" t="s">
        <v>49</v>
      </c>
      <c r="B20" s="1" t="s">
        <v>49</v>
      </c>
      <c r="C20" s="1" t="s">
        <v>50</v>
      </c>
      <c r="D20" s="36" t="s">
        <v>505</v>
      </c>
      <c r="E20" s="36">
        <v>17063.220099999999</v>
      </c>
      <c r="F20" s="36">
        <v>12991.4501</v>
      </c>
      <c r="G20" s="36" t="e">
        <f ca="1">_xll.BDP($B20,G$2,"EQY_FUND_YEAR=2016")</f>
        <v>#NAME?</v>
      </c>
      <c r="H20" s="36">
        <v>1896.9269999999999</v>
      </c>
      <c r="I20" s="36">
        <v>1960.394</v>
      </c>
      <c r="J20" s="36">
        <f t="shared" si="6"/>
        <v>6.8486821580377111</v>
      </c>
      <c r="K20" s="36">
        <f t="shared" si="7"/>
        <v>6.62695871340149</v>
      </c>
      <c r="L20" s="44">
        <v>3.3457797796119682E-2</v>
      </c>
      <c r="M20" s="36">
        <v>1698.6110100097656</v>
      </c>
      <c r="N20" s="36">
        <v>89.072000000000003</v>
      </c>
      <c r="O20" s="94">
        <f t="shared" si="0"/>
        <v>0.89545407388358411</v>
      </c>
      <c r="P20" s="36">
        <v>192.386</v>
      </c>
      <c r="Q20" s="36">
        <f t="shared" si="1"/>
        <v>0.1014198226921753</v>
      </c>
      <c r="R20" s="36">
        <v>433.42700000000002</v>
      </c>
      <c r="S20" s="36">
        <f t="shared" si="2"/>
        <v>0.22848902461718351</v>
      </c>
      <c r="T20" s="36">
        <v>91.965000000000003</v>
      </c>
      <c r="U20" s="36">
        <f t="shared" si="3"/>
        <v>4.8481043287380066E-2</v>
      </c>
      <c r="V20" s="36">
        <v>949.65100000000007</v>
      </c>
      <c r="W20" s="36">
        <v>1030.3389999999999</v>
      </c>
      <c r="X20" s="36">
        <f t="shared" si="4"/>
        <v>0.50062601249283711</v>
      </c>
      <c r="Y20" s="36" t="e">
        <f ca="1">_xll.BDP($B20,Y$2,)</f>
        <v>#NAME?</v>
      </c>
      <c r="Z20" s="36" t="e">
        <f ca="1">_xll.BDP($B20,Z$2)</f>
        <v>#NAME?</v>
      </c>
      <c r="AA20" s="36">
        <v>822.62414000000001</v>
      </c>
      <c r="AB20" s="36">
        <v>920.476</v>
      </c>
      <c r="AC20" s="92">
        <f t="shared" si="5"/>
        <v>0.43366146404157885</v>
      </c>
    </row>
    <row r="21" spans="1:29" x14ac:dyDescent="0.2">
      <c r="A21" s="1" t="s">
        <v>51</v>
      </c>
      <c r="B21" s="1" t="s">
        <v>51</v>
      </c>
      <c r="C21" s="1" t="s">
        <v>52</v>
      </c>
      <c r="D21" s="36" t="s">
        <v>495</v>
      </c>
      <c r="E21" s="36">
        <v>16357.567800000001</v>
      </c>
      <c r="F21" s="36">
        <v>15390.5118</v>
      </c>
      <c r="G21" s="36" t="e">
        <f ca="1">_xll.BDP($B21,G$2,"EQY_FUND_YEAR=2016")</f>
        <v>#NAME?</v>
      </c>
      <c r="H21" s="36">
        <v>947.42399999999998</v>
      </c>
      <c r="I21" s="36">
        <v>1254.6490000000001</v>
      </c>
      <c r="J21" s="36">
        <f t="shared" si="6"/>
        <v>16.244587217549903</v>
      </c>
      <c r="K21" s="36">
        <f t="shared" si="7"/>
        <v>12.266786806509231</v>
      </c>
      <c r="L21" s="44">
        <v>0.32427403147904221</v>
      </c>
      <c r="M21" s="36">
        <v>769.6390129394531</v>
      </c>
      <c r="N21" s="36">
        <v>85.930999999999997</v>
      </c>
      <c r="O21" s="94">
        <f t="shared" si="0"/>
        <v>0.81234907806795387</v>
      </c>
      <c r="P21" s="36">
        <v>415.77599999999995</v>
      </c>
      <c r="Q21" s="36">
        <f t="shared" si="1"/>
        <v>0.43884892086330929</v>
      </c>
      <c r="R21" s="36">
        <v>187.99</v>
      </c>
      <c r="S21" s="36">
        <f t="shared" si="2"/>
        <v>0.19842224811699938</v>
      </c>
      <c r="T21" s="36">
        <v>151.24199999999999</v>
      </c>
      <c r="U21" s="36">
        <f t="shared" si="3"/>
        <v>0.15963496808187252</v>
      </c>
      <c r="V21" s="36">
        <v>43.517999999999994</v>
      </c>
      <c r="W21" s="36">
        <v>323.28500000000003</v>
      </c>
      <c r="X21" s="36">
        <f t="shared" si="4"/>
        <v>4.5932971932313299E-2</v>
      </c>
      <c r="Y21" s="36" t="e">
        <f ca="1">_xll.BDP($B21,Y$2,)</f>
        <v>#NAME?</v>
      </c>
      <c r="Z21" s="36" t="e">
        <f ca="1">_xll.BDP($B21,Z$2)</f>
        <v>#NAME?</v>
      </c>
      <c r="AA21" s="36">
        <v>-301.38798999999995</v>
      </c>
      <c r="AB21" s="36">
        <v>205.11199999999999</v>
      </c>
      <c r="AC21" s="92">
        <f t="shared" si="5"/>
        <v>-0.31811310458675307</v>
      </c>
    </row>
    <row r="22" spans="1:29" x14ac:dyDescent="0.2">
      <c r="A22" s="1" t="s">
        <v>53</v>
      </c>
      <c r="B22" s="1" t="s">
        <v>53</v>
      </c>
      <c r="C22" s="1" t="s">
        <v>54</v>
      </c>
      <c r="D22" s="36" t="s">
        <v>506</v>
      </c>
      <c r="E22" s="36">
        <v>16949.372200000002</v>
      </c>
      <c r="F22" s="36">
        <v>20360.7772</v>
      </c>
      <c r="G22" s="36" t="e">
        <f ca="1">_xll.BDP($B22,G$2,"EQY_FUND_YEAR=2016")</f>
        <v>#NAME?</v>
      </c>
      <c r="H22" s="36">
        <v>4283.41</v>
      </c>
      <c r="I22" s="36">
        <v>4236.25</v>
      </c>
      <c r="J22" s="36">
        <f t="shared" si="6"/>
        <v>4.7534037600883412</v>
      </c>
      <c r="K22" s="36">
        <f t="shared" si="7"/>
        <v>4.8063209678371202</v>
      </c>
      <c r="L22" s="44">
        <v>-1.1009919666807533E-2</v>
      </c>
      <c r="M22" s="36">
        <v>1488.7579999999998</v>
      </c>
      <c r="N22" s="36">
        <v>32.700000000000003</v>
      </c>
      <c r="O22" s="94">
        <f t="shared" si="0"/>
        <v>0.34756374010426272</v>
      </c>
      <c r="P22" s="36">
        <v>0</v>
      </c>
      <c r="Q22" s="36">
        <f t="shared" si="1"/>
        <v>0</v>
      </c>
      <c r="R22" s="36" t="s">
        <v>480</v>
      </c>
      <c r="S22" s="36" t="e">
        <f t="shared" si="2"/>
        <v>#VALUE!</v>
      </c>
      <c r="T22" s="36" t="s">
        <v>480</v>
      </c>
      <c r="U22" s="36" t="e">
        <f t="shared" si="3"/>
        <v>#VALUE!</v>
      </c>
      <c r="V22" s="36">
        <v>1222.1279999999999</v>
      </c>
      <c r="W22" s="36">
        <v>1425.299</v>
      </c>
      <c r="X22" s="36">
        <f t="shared" si="4"/>
        <v>0.28531660522807761</v>
      </c>
      <c r="Y22" s="36" t="e">
        <f ca="1">_xll.BDP($B22,Y$2,)</f>
        <v>#NAME?</v>
      </c>
      <c r="Z22" s="36" t="e">
        <f ca="1">_xll.BDP($B22,Z$2)</f>
        <v>#NAME?</v>
      </c>
      <c r="AA22" s="36">
        <v>562.78363790922901</v>
      </c>
      <c r="AB22" s="36">
        <v>866.24</v>
      </c>
      <c r="AC22" s="92">
        <f t="shared" si="5"/>
        <v>0.13138682449479014</v>
      </c>
    </row>
    <row r="23" spans="1:29" x14ac:dyDescent="0.2">
      <c r="A23" s="1" t="s">
        <v>55</v>
      </c>
      <c r="B23" s="1" t="s">
        <v>55</v>
      </c>
      <c r="C23" s="1" t="s">
        <v>56</v>
      </c>
      <c r="D23" s="36" t="s">
        <v>495</v>
      </c>
      <c r="E23" s="36">
        <v>14142.858</v>
      </c>
      <c r="F23" s="36">
        <v>14085.412700000001</v>
      </c>
      <c r="G23" s="36" t="e">
        <f ca="1">_xll.BDP($B23,G$2,"EQY_FUND_YEAR=2016")</f>
        <v>#NAME?</v>
      </c>
      <c r="H23" s="36">
        <v>2794.5149999999999</v>
      </c>
      <c r="I23" s="36">
        <v>3253.5360000000001</v>
      </c>
      <c r="J23" s="36">
        <f t="shared" si="6"/>
        <v>5.0403782767313832</v>
      </c>
      <c r="K23" s="36">
        <f t="shared" si="7"/>
        <v>4.3292629004258751</v>
      </c>
      <c r="L23" s="44">
        <v>0.16425784080600758</v>
      </c>
      <c r="M23" s="36">
        <v>2459.358009765625</v>
      </c>
      <c r="N23" s="36">
        <v>66.7</v>
      </c>
      <c r="O23" s="94">
        <f t="shared" si="0"/>
        <v>0.88006613303762016</v>
      </c>
      <c r="P23" s="36">
        <v>341.4</v>
      </c>
      <c r="Q23" s="36">
        <f t="shared" si="1"/>
        <v>0.12216788959801611</v>
      </c>
      <c r="R23" s="36">
        <v>180.9</v>
      </c>
      <c r="S23" s="36">
        <f t="shared" si="2"/>
        <v>6.4733952045345974E-2</v>
      </c>
      <c r="T23" s="36">
        <v>193.1</v>
      </c>
      <c r="U23" s="36">
        <f t="shared" si="3"/>
        <v>6.9099646987044266E-2</v>
      </c>
      <c r="V23" s="36">
        <v>707.22400000000005</v>
      </c>
      <c r="W23" s="36">
        <v>838.06700000000001</v>
      </c>
      <c r="X23" s="36">
        <f t="shared" si="4"/>
        <v>0.25307575733177318</v>
      </c>
      <c r="Y23" s="36" t="e">
        <f ca="1">_xll.BDP($B23,Y$2,)</f>
        <v>#NAME?</v>
      </c>
      <c r="Z23" s="36" t="e">
        <f ca="1">_xll.BDP($B23,Z$2)</f>
        <v>#NAME?</v>
      </c>
      <c r="AA23" s="36">
        <v>288.48589500000003</v>
      </c>
      <c r="AB23" s="36">
        <v>622.91700000000003</v>
      </c>
      <c r="AC23" s="92">
        <f t="shared" si="5"/>
        <v>0.10323290266826267</v>
      </c>
    </row>
    <row r="24" spans="1:29" x14ac:dyDescent="0.2">
      <c r="A24" s="1" t="s">
        <v>57</v>
      </c>
      <c r="B24" s="1" t="s">
        <v>57</v>
      </c>
      <c r="C24" s="1" t="s">
        <v>58</v>
      </c>
      <c r="D24" s="36" t="s">
        <v>495</v>
      </c>
      <c r="E24" s="36">
        <v>13669.9229</v>
      </c>
      <c r="F24" s="36">
        <v>12778.339900000001</v>
      </c>
      <c r="G24" s="36" t="e">
        <f ca="1">_xll.BDP($B24,G$2,"EQY_FUND_YEAR=2016")</f>
        <v>#NAME?</v>
      </c>
      <c r="H24" s="36">
        <v>1448.318</v>
      </c>
      <c r="I24" s="36">
        <v>1866.8810000000001</v>
      </c>
      <c r="J24" s="36">
        <f t="shared" si="6"/>
        <v>8.8228827508875813</v>
      </c>
      <c r="K24" s="36">
        <f t="shared" si="7"/>
        <v>6.8447533077898379</v>
      </c>
      <c r="L24" s="44">
        <v>0.28899937720859659</v>
      </c>
      <c r="M24" s="36">
        <v>1148.2299877929688</v>
      </c>
      <c r="N24" s="36">
        <v>83.668000000000006</v>
      </c>
      <c r="O24" s="94">
        <f t="shared" si="0"/>
        <v>0.79280240098719257</v>
      </c>
      <c r="P24" s="36">
        <v>301.11399999999998</v>
      </c>
      <c r="Q24" s="36">
        <f t="shared" si="1"/>
        <v>0.20790599854451852</v>
      </c>
      <c r="R24" s="36">
        <v>808.41700000000003</v>
      </c>
      <c r="S24" s="36">
        <f t="shared" si="2"/>
        <v>0.55817645019947282</v>
      </c>
      <c r="T24" s="36">
        <v>159.143</v>
      </c>
      <c r="U24" s="36">
        <f t="shared" si="3"/>
        <v>0.10988125535966549</v>
      </c>
      <c r="V24" s="36">
        <v>-257.30799999999999</v>
      </c>
      <c r="W24" s="36">
        <v>294.62</v>
      </c>
      <c r="X24" s="36">
        <f t="shared" si="4"/>
        <v>-0.17765987856258086</v>
      </c>
      <c r="Y24" s="36" t="e">
        <f ca="1">_xll.BDP($B24,Y$2,)</f>
        <v>#NAME?</v>
      </c>
      <c r="Z24" s="36" t="e">
        <f ca="1">_xll.BDP($B24,Z$2)</f>
        <v>#NAME?</v>
      </c>
      <c r="AA24" s="36">
        <v>-319.97310999999996</v>
      </c>
      <c r="AB24" s="36">
        <v>199.589</v>
      </c>
      <c r="AC24" s="92">
        <f t="shared" si="5"/>
        <v>-0.22092738611271831</v>
      </c>
    </row>
    <row r="25" spans="1:29" x14ac:dyDescent="0.2">
      <c r="A25" s="1" t="s">
        <v>59</v>
      </c>
      <c r="B25" s="1" t="s">
        <v>59</v>
      </c>
      <c r="C25" s="1" t="s">
        <v>60</v>
      </c>
      <c r="D25" s="36" t="s">
        <v>505</v>
      </c>
      <c r="E25" s="36">
        <v>13796.5016</v>
      </c>
      <c r="F25" s="36">
        <v>12362.801600000001</v>
      </c>
      <c r="G25" s="36" t="e">
        <f ca="1">_xll.BDP($B25,G$2,"EQY_FUND_YEAR=2016")</f>
        <v>#NAME?</v>
      </c>
      <c r="H25" s="36">
        <v>1631.1849999999999</v>
      </c>
      <c r="I25" s="36">
        <v>1909.7080000000001</v>
      </c>
      <c r="J25" s="36">
        <f t="shared" si="6"/>
        <v>7.5790309498922568</v>
      </c>
      <c r="K25" s="36">
        <f t="shared" si="7"/>
        <v>6.4736606852984853</v>
      </c>
      <c r="L25" s="44">
        <v>0.17074887275201789</v>
      </c>
      <c r="M25" s="36">
        <v>1221.8169738769532</v>
      </c>
      <c r="N25" s="36">
        <v>75.704999999999998</v>
      </c>
      <c r="O25" s="94">
        <f t="shared" si="0"/>
        <v>0.74903642068615961</v>
      </c>
      <c r="P25" s="36">
        <v>210.614</v>
      </c>
      <c r="Q25" s="36">
        <f t="shared" si="1"/>
        <v>0.12911717555029012</v>
      </c>
      <c r="R25" s="36">
        <v>701.02599999999995</v>
      </c>
      <c r="S25" s="36">
        <f t="shared" si="2"/>
        <v>0.42976486419382226</v>
      </c>
      <c r="T25" s="36">
        <v>87.861999999999995</v>
      </c>
      <c r="U25" s="36">
        <f t="shared" si="3"/>
        <v>5.386390875345224E-2</v>
      </c>
      <c r="V25" s="36">
        <v>213.77799999999999</v>
      </c>
      <c r="W25" s="36">
        <v>476.64300000000003</v>
      </c>
      <c r="X25" s="36">
        <f t="shared" si="4"/>
        <v>0.1310568696990225</v>
      </c>
      <c r="Y25" s="36" t="e">
        <f ca="1">_xll.BDP($B25,Y$2,)</f>
        <v>#NAME?</v>
      </c>
      <c r="Z25" s="36" t="e">
        <f ca="1">_xll.BDP($B25,Z$2)</f>
        <v>#NAME?</v>
      </c>
      <c r="AA25" s="36">
        <v>136.69200000000001</v>
      </c>
      <c r="AB25" s="36">
        <v>317.08300000000003</v>
      </c>
      <c r="AC25" s="92">
        <f t="shared" si="5"/>
        <v>8.3799201194223835E-2</v>
      </c>
    </row>
    <row r="26" spans="1:29" x14ac:dyDescent="0.2">
      <c r="A26" s="1" t="s">
        <v>61</v>
      </c>
      <c r="B26" s="1" t="s">
        <v>61</v>
      </c>
      <c r="C26" s="1" t="s">
        <v>62</v>
      </c>
      <c r="D26" s="36" t="s">
        <v>495</v>
      </c>
      <c r="E26" s="36">
        <v>13766.6196</v>
      </c>
      <c r="F26" s="36">
        <v>14433.059600000001</v>
      </c>
      <c r="G26" s="36" t="e">
        <f ca="1">_xll.BDP($B26,G$2,"EQY_FUND_YEAR=2016")</f>
        <v>#NAME?</v>
      </c>
      <c r="H26" s="36">
        <v>2908.3389999999999</v>
      </c>
      <c r="I26" s="36">
        <v>2991.1260000000002</v>
      </c>
      <c r="J26" s="36">
        <f t="shared" si="6"/>
        <v>4.9626469266478219</v>
      </c>
      <c r="K26" s="36">
        <f t="shared" si="7"/>
        <v>4.8252930836079786</v>
      </c>
      <c r="L26" s="44">
        <v>2.8465388663426294E-2</v>
      </c>
      <c r="M26" s="36">
        <v>2463.42801171875</v>
      </c>
      <c r="N26" s="36">
        <v>86.769000000000005</v>
      </c>
      <c r="O26" s="94">
        <f t="shared" si="0"/>
        <v>0.84702230782544607</v>
      </c>
      <c r="P26" s="36">
        <v>415.80099999999999</v>
      </c>
      <c r="Q26" s="36">
        <f t="shared" si="1"/>
        <v>0.14296854665154235</v>
      </c>
      <c r="R26" s="36">
        <v>1006.112</v>
      </c>
      <c r="S26" s="36">
        <f t="shared" si="2"/>
        <v>0.34594041478658438</v>
      </c>
      <c r="T26" s="36">
        <v>302.565</v>
      </c>
      <c r="U26" s="36">
        <f t="shared" si="3"/>
        <v>0.104033608186666</v>
      </c>
      <c r="V26" s="36">
        <v>891.87300000000005</v>
      </c>
      <c r="W26" s="36">
        <v>1100.25</v>
      </c>
      <c r="X26" s="36">
        <f t="shared" si="4"/>
        <v>0.30666060593348987</v>
      </c>
      <c r="Y26" s="36" t="e">
        <f ca="1">_xll.BDP($B26,Y$2,)</f>
        <v>#NAME?</v>
      </c>
      <c r="Z26" s="36" t="e">
        <f ca="1">_xll.BDP($B26,Z$2)</f>
        <v>#NAME?</v>
      </c>
      <c r="AA26" s="36">
        <v>590.64465502973098</v>
      </c>
      <c r="AB26" s="36">
        <v>750.726</v>
      </c>
      <c r="AC26" s="92">
        <f t="shared" si="5"/>
        <v>0.2030865917039695</v>
      </c>
    </row>
    <row r="27" spans="1:29" x14ac:dyDescent="0.2">
      <c r="A27" s="1" t="s">
        <v>63</v>
      </c>
      <c r="B27" s="1" t="s">
        <v>63</v>
      </c>
      <c r="C27" s="1" t="s">
        <v>64</v>
      </c>
      <c r="D27" s="36" t="s">
        <v>495</v>
      </c>
      <c r="E27" s="36">
        <v>13366.986000000001</v>
      </c>
      <c r="F27" s="36">
        <v>13254.6572</v>
      </c>
      <c r="G27" s="36" t="e">
        <f ca="1">_xll.BDP($B27,G$2,"EQY_FUND_YEAR=2016")</f>
        <v>#NAME?</v>
      </c>
      <c r="H27" s="36">
        <v>3022.62</v>
      </c>
      <c r="I27" s="36">
        <v>3239.1</v>
      </c>
      <c r="J27" s="36">
        <f t="shared" si="6"/>
        <v>4.3851549979818829</v>
      </c>
      <c r="K27" s="36">
        <f t="shared" si="7"/>
        <v>4.0920802692105829</v>
      </c>
      <c r="L27" s="44">
        <v>7.1619985310756862E-2</v>
      </c>
      <c r="M27" s="36">
        <v>2310.4400556640626</v>
      </c>
      <c r="N27" s="36">
        <v>79.45</v>
      </c>
      <c r="O27" s="94">
        <f t="shared" si="0"/>
        <v>0.76438323562474364</v>
      </c>
      <c r="P27" s="36">
        <v>908.84100000000001</v>
      </c>
      <c r="Q27" s="36">
        <f t="shared" si="1"/>
        <v>0.30067987375191063</v>
      </c>
      <c r="R27" s="36">
        <v>549.24800000000005</v>
      </c>
      <c r="S27" s="36">
        <f t="shared" si="2"/>
        <v>0.18171255400943553</v>
      </c>
      <c r="T27" s="36">
        <v>196.84399999999999</v>
      </c>
      <c r="U27" s="36">
        <f t="shared" si="3"/>
        <v>6.5123634462817021E-2</v>
      </c>
      <c r="V27" s="36">
        <v>650.30199999999991</v>
      </c>
      <c r="W27" s="36">
        <v>778</v>
      </c>
      <c r="X27" s="36">
        <f t="shared" si="4"/>
        <v>0.21514513898538351</v>
      </c>
      <c r="Y27" s="36" t="e">
        <f ca="1">_xll.BDP($B27,Y$2,)</f>
        <v>#NAME?</v>
      </c>
      <c r="Z27" s="36" t="e">
        <f ca="1">_xll.BDP($B27,Z$2)</f>
        <v>#NAME?</v>
      </c>
      <c r="AA27" s="36">
        <v>367.32709702556298</v>
      </c>
      <c r="AB27" s="36">
        <v>608.80000000000007</v>
      </c>
      <c r="AC27" s="92">
        <f t="shared" si="5"/>
        <v>0.12152605918890333</v>
      </c>
    </row>
    <row r="28" spans="1:29" x14ac:dyDescent="0.2">
      <c r="A28" s="1" t="s">
        <v>65</v>
      </c>
      <c r="B28" s="1" t="s">
        <v>65</v>
      </c>
      <c r="C28" s="1" t="s">
        <v>66</v>
      </c>
      <c r="D28" s="36" t="s">
        <v>506</v>
      </c>
      <c r="E28" s="36">
        <v>13553.7274</v>
      </c>
      <c r="F28" s="36">
        <v>14343.2274</v>
      </c>
      <c r="G28" s="36" t="e">
        <f ca="1">_xll.BDP($B28,G$2,"EQY_FUND_YEAR=2016")</f>
        <v>#NAME?</v>
      </c>
      <c r="H28" s="36">
        <v>4329.9000000000005</v>
      </c>
      <c r="I28" s="36">
        <v>4491.5709999999999</v>
      </c>
      <c r="J28" s="36">
        <f t="shared" si="6"/>
        <v>3.3126001524284621</v>
      </c>
      <c r="K28" s="36">
        <f t="shared" si="7"/>
        <v>3.1933653948696348</v>
      </c>
      <c r="L28" s="44">
        <v>3.7338275710755209E-2</v>
      </c>
      <c r="M28" s="36">
        <v>1160.2999847412111</v>
      </c>
      <c r="N28" s="36">
        <v>21.3</v>
      </c>
      <c r="O28" s="94">
        <f t="shared" si="0"/>
        <v>0.26797385268509921</v>
      </c>
      <c r="P28" s="36">
        <v>0</v>
      </c>
      <c r="Q28" s="36">
        <f t="shared" si="1"/>
        <v>0</v>
      </c>
      <c r="R28" s="36" t="s">
        <v>480</v>
      </c>
      <c r="S28" s="36" t="e">
        <f t="shared" si="2"/>
        <v>#VALUE!</v>
      </c>
      <c r="T28" s="36" t="s">
        <v>480</v>
      </c>
      <c r="U28" s="36" t="e">
        <f t="shared" si="3"/>
        <v>#VALUE!</v>
      </c>
      <c r="V28" s="36">
        <v>810.10000000000014</v>
      </c>
      <c r="W28" s="36">
        <v>903</v>
      </c>
      <c r="X28" s="36">
        <f t="shared" si="4"/>
        <v>0.1870943901706737</v>
      </c>
      <c r="Y28" s="36" t="e">
        <f ca="1">_xll.BDP($B28,Y$2,)</f>
        <v>#NAME?</v>
      </c>
      <c r="Z28" s="36" t="e">
        <f ca="1">_xll.BDP($B28,Z$2)</f>
        <v>#NAME?</v>
      </c>
      <c r="AA28" s="36">
        <v>445.40826848170406</v>
      </c>
      <c r="AB28" s="36">
        <v>557.30000000000007</v>
      </c>
      <c r="AC28" s="92">
        <f t="shared" si="5"/>
        <v>0.102868026624565</v>
      </c>
    </row>
    <row r="29" spans="1:29" x14ac:dyDescent="0.2">
      <c r="A29" s="1" t="s">
        <v>67</v>
      </c>
      <c r="B29" s="1" t="s">
        <v>67</v>
      </c>
      <c r="C29" s="1" t="s">
        <v>68</v>
      </c>
      <c r="D29" s="36" t="s">
        <v>495</v>
      </c>
      <c r="E29" s="36">
        <v>12978.531999999999</v>
      </c>
      <c r="F29" s="36">
        <v>12773.614</v>
      </c>
      <c r="G29" s="36" t="e">
        <f ca="1">_xll.BDP($B29,G$2,"EQY_FUND_YEAR=2016")</f>
        <v>#NAME?</v>
      </c>
      <c r="H29" s="36">
        <v>2069.8940000000002</v>
      </c>
      <c r="I29" s="36">
        <v>2201.5</v>
      </c>
      <c r="J29" s="36">
        <f t="shared" si="6"/>
        <v>6.1711440295976496</v>
      </c>
      <c r="K29" s="36">
        <f t="shared" si="7"/>
        <v>5.8022321144674081</v>
      </c>
      <c r="L29" s="44">
        <v>6.3581033618146598E-2</v>
      </c>
      <c r="M29" s="36">
        <v>1826.9869919433593</v>
      </c>
      <c r="N29" s="36">
        <v>90.5</v>
      </c>
      <c r="O29" s="94">
        <f t="shared" si="0"/>
        <v>0.88264760994686642</v>
      </c>
      <c r="P29" s="36">
        <v>804.22299999999996</v>
      </c>
      <c r="Q29" s="36">
        <f t="shared" si="1"/>
        <v>0.38853342248443634</v>
      </c>
      <c r="R29" s="36">
        <v>419.161</v>
      </c>
      <c r="S29" s="36">
        <f t="shared" si="2"/>
        <v>0.20250360646487209</v>
      </c>
      <c r="T29" s="36">
        <v>134.18100000000001</v>
      </c>
      <c r="U29" s="36">
        <f t="shared" si="3"/>
        <v>6.4825058674502167E-2</v>
      </c>
      <c r="V29" s="36">
        <v>518.21699999999998</v>
      </c>
      <c r="W29" s="36">
        <v>749</v>
      </c>
      <c r="X29" s="36">
        <f t="shared" si="4"/>
        <v>0.25035919713763116</v>
      </c>
      <c r="Y29" s="36" t="e">
        <f ca="1">_xll.BDP($B29,Y$2,)</f>
        <v>#NAME?</v>
      </c>
      <c r="Z29" s="36" t="e">
        <f ca="1">_xll.BDP($B29,Z$2)</f>
        <v>#NAME?</v>
      </c>
      <c r="AA29" s="36">
        <v>347.59648759077601</v>
      </c>
      <c r="AB29" s="36">
        <v>523.6</v>
      </c>
      <c r="AC29" s="92">
        <f t="shared" si="5"/>
        <v>0.16792960779188498</v>
      </c>
    </row>
    <row r="30" spans="1:29" x14ac:dyDescent="0.2">
      <c r="A30" s="1" t="s">
        <v>69</v>
      </c>
      <c r="B30" s="1" t="s">
        <v>69</v>
      </c>
      <c r="C30" s="1" t="s">
        <v>70</v>
      </c>
      <c r="D30" s="36" t="s">
        <v>495</v>
      </c>
      <c r="E30" s="36">
        <v>12412.0106</v>
      </c>
      <c r="F30" s="36">
        <v>11715.847599999999</v>
      </c>
      <c r="G30" s="36" t="e">
        <f ca="1">_xll.BDP($B30,G$2,"EQY_FUND_YEAR=2016")</f>
        <v>#NAME?</v>
      </c>
      <c r="H30" s="36">
        <v>1172.3630000000001</v>
      </c>
      <c r="I30" s="36">
        <v>1282.5710000000001</v>
      </c>
      <c r="J30" s="36">
        <f t="shared" si="6"/>
        <v>9.9933617829972441</v>
      </c>
      <c r="K30" s="36">
        <f t="shared" si="7"/>
        <v>9.1346581202911938</v>
      </c>
      <c r="L30" s="44">
        <v>9.4005013805451121E-2</v>
      </c>
      <c r="M30" s="36">
        <v>1016.0799910888672</v>
      </c>
      <c r="N30" s="36">
        <v>89.063000000000002</v>
      </c>
      <c r="O30" s="94">
        <f t="shared" si="0"/>
        <v>0.86669401123104972</v>
      </c>
      <c r="P30" s="36">
        <v>202.74599999999998</v>
      </c>
      <c r="Q30" s="36">
        <f t="shared" si="1"/>
        <v>0.17293790404507817</v>
      </c>
      <c r="R30" s="36" t="s">
        <v>480</v>
      </c>
      <c r="S30" s="36" t="e">
        <f t="shared" si="2"/>
        <v>#VALUE!</v>
      </c>
      <c r="T30" s="36" t="s">
        <v>480</v>
      </c>
      <c r="U30" s="36" t="e">
        <f t="shared" si="3"/>
        <v>#VALUE!</v>
      </c>
      <c r="V30" s="36">
        <v>497.34900000000005</v>
      </c>
      <c r="W30" s="36">
        <v>591.66700000000003</v>
      </c>
      <c r="X30" s="36">
        <f t="shared" si="4"/>
        <v>0.42422782022291733</v>
      </c>
      <c r="Y30" s="36" t="e">
        <f ca="1">_xll.BDP($B30,Y$2,)</f>
        <v>#NAME?</v>
      </c>
      <c r="Z30" s="36" t="e">
        <f ca="1">_xll.BDP($B30,Z$2)</f>
        <v>#NAME?</v>
      </c>
      <c r="AA30" s="36">
        <v>334.11229267563596</v>
      </c>
      <c r="AB30" s="36">
        <v>429.33500000000004</v>
      </c>
      <c r="AC30" s="92">
        <f t="shared" si="5"/>
        <v>0.28499047878143197</v>
      </c>
    </row>
    <row r="31" spans="1:29" x14ac:dyDescent="0.2">
      <c r="A31" s="1" t="s">
        <v>71</v>
      </c>
      <c r="B31" s="1" t="s">
        <v>71</v>
      </c>
      <c r="C31" s="1" t="s">
        <v>72</v>
      </c>
      <c r="D31" s="36" t="s">
        <v>495</v>
      </c>
      <c r="E31" s="36">
        <v>12161.8995</v>
      </c>
      <c r="F31" s="36">
        <v>18277.499500000002</v>
      </c>
      <c r="G31" s="36" t="e">
        <f ca="1">_xll.BDP($B31,G$2,"EQY_FUND_YEAR=2016")</f>
        <v>#NAME?</v>
      </c>
      <c r="H31" s="36">
        <v>2174.3449999999998</v>
      </c>
      <c r="I31" s="36">
        <v>4355.393</v>
      </c>
      <c r="J31" s="36">
        <f t="shared" si="6"/>
        <v>8.405979501872979</v>
      </c>
      <c r="K31" s="36">
        <f t="shared" si="7"/>
        <v>4.1965213012924441</v>
      </c>
      <c r="L31" s="44">
        <v>1.003082767454107</v>
      </c>
      <c r="M31" s="36">
        <v>895.99100952148433</v>
      </c>
      <c r="N31" s="36">
        <v>41.5</v>
      </c>
      <c r="O31" s="94">
        <f t="shared" si="0"/>
        <v>0.4120739852790079</v>
      </c>
      <c r="P31" s="36">
        <v>153.334</v>
      </c>
      <c r="Q31" s="36">
        <f t="shared" si="1"/>
        <v>7.0519627749966091E-2</v>
      </c>
      <c r="R31" s="36">
        <v>118.449</v>
      </c>
      <c r="S31" s="36">
        <f t="shared" si="2"/>
        <v>5.4475715675295321E-2</v>
      </c>
      <c r="T31" s="36">
        <v>120.17400000000001</v>
      </c>
      <c r="U31" s="36">
        <f t="shared" si="3"/>
        <v>5.5269058038167826E-2</v>
      </c>
      <c r="V31" s="36">
        <v>748.41300000000001</v>
      </c>
      <c r="W31" s="36">
        <v>1565</v>
      </c>
      <c r="X31" s="36">
        <f t="shared" si="4"/>
        <v>0.34420158714463439</v>
      </c>
      <c r="Y31" s="36" t="e">
        <f ca="1">_xll.BDP($B31,Y$2,)</f>
        <v>#NAME?</v>
      </c>
      <c r="Z31" s="36" t="e">
        <f ca="1">_xll.BDP($B31,Z$2)</f>
        <v>#NAME?</v>
      </c>
      <c r="AA31" s="36">
        <v>260.79930813918901</v>
      </c>
      <c r="AB31" s="36">
        <v>771.38900000000001</v>
      </c>
      <c r="AC31" s="92">
        <f t="shared" si="5"/>
        <v>0.11994384890125027</v>
      </c>
    </row>
    <row r="32" spans="1:29" x14ac:dyDescent="0.2">
      <c r="A32" s="1" t="s">
        <v>73</v>
      </c>
      <c r="B32" s="1" t="s">
        <v>73</v>
      </c>
      <c r="C32" s="1" t="s">
        <v>74</v>
      </c>
      <c r="D32" s="36" t="s">
        <v>505</v>
      </c>
      <c r="E32" s="36">
        <v>11921.111500000001</v>
      </c>
      <c r="F32" s="36">
        <v>14628.111500000001</v>
      </c>
      <c r="G32" s="36" t="e">
        <f ca="1">_xll.BDP($B32,G$2,"EQY_FUND_YEAR=2016")</f>
        <v>#NAME?</v>
      </c>
      <c r="H32" s="36">
        <v>4827</v>
      </c>
      <c r="I32" s="36">
        <v>4770.0380000000005</v>
      </c>
      <c r="J32" s="36">
        <f t="shared" si="6"/>
        <v>3.0304767971825153</v>
      </c>
      <c r="K32" s="36">
        <f t="shared" si="7"/>
        <v>3.066665611468923</v>
      </c>
      <c r="L32" s="44">
        <v>-1.180070437124503E-2</v>
      </c>
      <c r="M32" s="36">
        <v>3803</v>
      </c>
      <c r="N32" s="36">
        <v>83.521000000000001</v>
      </c>
      <c r="O32" s="94">
        <f t="shared" si="0"/>
        <v>0.78785995442303713</v>
      </c>
      <c r="P32" s="36">
        <v>957</v>
      </c>
      <c r="Q32" s="36">
        <f t="shared" si="1"/>
        <v>0.19825978868862648</v>
      </c>
      <c r="R32" s="36">
        <v>1593</v>
      </c>
      <c r="S32" s="36">
        <f t="shared" si="2"/>
        <v>0.33001864512119328</v>
      </c>
      <c r="T32" s="36">
        <v>578</v>
      </c>
      <c r="U32" s="36">
        <f t="shared" si="3"/>
        <v>0.11974311166355915</v>
      </c>
      <c r="V32" s="36">
        <v>1276</v>
      </c>
      <c r="W32" s="36">
        <v>2019.2670000000001</v>
      </c>
      <c r="X32" s="36">
        <f t="shared" si="4"/>
        <v>0.26434638491816864</v>
      </c>
      <c r="Y32" s="36" t="e">
        <f ca="1">_xll.BDP($B32,Y$2,)</f>
        <v>#NAME?</v>
      </c>
      <c r="Z32" s="36" t="e">
        <f ca="1">_xll.BDP($B32,Z$2)</f>
        <v>#NAME?</v>
      </c>
      <c r="AA32" s="36">
        <v>412.36329172576399</v>
      </c>
      <c r="AB32" s="36">
        <v>1047.7170000000001</v>
      </c>
      <c r="AC32" s="92">
        <f t="shared" si="5"/>
        <v>8.5428483887666037E-2</v>
      </c>
    </row>
    <row r="33" spans="1:29" x14ac:dyDescent="0.2">
      <c r="A33" s="1" t="s">
        <v>75</v>
      </c>
      <c r="B33" s="1" t="s">
        <v>75</v>
      </c>
      <c r="C33" s="1" t="s">
        <v>76</v>
      </c>
      <c r="D33" s="36" t="s">
        <v>506</v>
      </c>
      <c r="E33" s="36">
        <v>11691.1903</v>
      </c>
      <c r="F33" s="36">
        <v>11659.7503</v>
      </c>
      <c r="G33" s="36" t="e">
        <f ca="1">_xll.BDP($B33,G$2,"EQY_FUND_YEAR=2016")</f>
        <v>#NAME?</v>
      </c>
      <c r="H33" s="36">
        <v>1536.6029999999998</v>
      </c>
      <c r="I33" s="36">
        <v>1642.25</v>
      </c>
      <c r="J33" s="36">
        <f t="shared" si="6"/>
        <v>7.5880043836957238</v>
      </c>
      <c r="K33" s="36">
        <f t="shared" si="7"/>
        <v>7.0998631755213886</v>
      </c>
      <c r="L33" s="44">
        <v>6.8753607795897898E-2</v>
      </c>
      <c r="M33" s="36">
        <v>662.96098620605471</v>
      </c>
      <c r="N33" s="36">
        <v>42.582999999999998</v>
      </c>
      <c r="O33" s="94">
        <f t="shared" si="0"/>
        <v>0.43144584919205209</v>
      </c>
      <c r="P33" s="36">
        <v>90.339999999999989</v>
      </c>
      <c r="Q33" s="36">
        <f t="shared" si="1"/>
        <v>5.8792023704235905E-2</v>
      </c>
      <c r="R33" s="36" t="s">
        <v>480</v>
      </c>
      <c r="S33" s="36" t="e">
        <f t="shared" si="2"/>
        <v>#VALUE!</v>
      </c>
      <c r="T33" s="36" t="s">
        <v>480</v>
      </c>
      <c r="U33" s="36" t="e">
        <f t="shared" si="3"/>
        <v>#VALUE!</v>
      </c>
      <c r="V33" s="36">
        <v>542.40800000000002</v>
      </c>
      <c r="W33" s="36">
        <v>568.83299999999997</v>
      </c>
      <c r="X33" s="36">
        <f t="shared" si="4"/>
        <v>0.35299163154048252</v>
      </c>
      <c r="Y33" s="36" t="e">
        <f ca="1">_xll.BDP($B33,Y$2,)</f>
        <v>#NAME?</v>
      </c>
      <c r="Z33" s="36" t="e">
        <f ca="1">_xll.BDP($B33,Z$2)</f>
        <v>#NAME?</v>
      </c>
      <c r="AA33" s="36">
        <v>282.15797000000003</v>
      </c>
      <c r="AB33" s="36">
        <v>310.75</v>
      </c>
      <c r="AC33" s="92">
        <f t="shared" si="5"/>
        <v>0.18362450808699454</v>
      </c>
    </row>
    <row r="34" spans="1:29" x14ac:dyDescent="0.2">
      <c r="A34" s="1" t="s">
        <v>77</v>
      </c>
      <c r="B34" s="1" t="s">
        <v>77</v>
      </c>
      <c r="C34" s="1" t="s">
        <v>78</v>
      </c>
      <c r="D34" s="36" t="s">
        <v>506</v>
      </c>
      <c r="E34" s="36">
        <v>11146.956</v>
      </c>
      <c r="F34" s="36">
        <v>13353.356</v>
      </c>
      <c r="G34" s="36" t="e">
        <f ca="1">_xll.BDP($B34,G$2,"EQY_FUND_YEAR=2016")</f>
        <v>#NAME?</v>
      </c>
      <c r="H34" s="36">
        <v>7841.5</v>
      </c>
      <c r="I34" s="36">
        <v>8247.7070000000003</v>
      </c>
      <c r="J34" s="36">
        <f t="shared" si="6"/>
        <v>1.7029083721226805</v>
      </c>
      <c r="K34" s="36">
        <f t="shared" si="7"/>
        <v>1.6190386006680402</v>
      </c>
      <c r="L34" s="44">
        <v>5.1802206210546542E-2</v>
      </c>
      <c r="M34" s="36">
        <v>3531.9999511718752</v>
      </c>
      <c r="N34" s="36">
        <v>45.9</v>
      </c>
      <c r="O34" s="94">
        <f t="shared" si="0"/>
        <v>0.45042401978854496</v>
      </c>
      <c r="P34" s="36">
        <v>0</v>
      </c>
      <c r="Q34" s="36">
        <f t="shared" si="1"/>
        <v>0</v>
      </c>
      <c r="R34" s="36" t="s">
        <v>480</v>
      </c>
      <c r="S34" s="36" t="e">
        <f t="shared" si="2"/>
        <v>#VALUE!</v>
      </c>
      <c r="T34" s="36">
        <v>166.3</v>
      </c>
      <c r="U34" s="36">
        <f t="shared" si="3"/>
        <v>2.120767710259517E-2</v>
      </c>
      <c r="V34" s="36">
        <v>2272.1</v>
      </c>
      <c r="W34" s="36">
        <v>2256.143</v>
      </c>
      <c r="X34" s="36">
        <f t="shared" si="4"/>
        <v>0.2897532359880125</v>
      </c>
      <c r="Y34" s="36" t="e">
        <f ca="1">_xll.BDP($B34,Y$2,)</f>
        <v>#NAME?</v>
      </c>
      <c r="Z34" s="36" t="e">
        <f ca="1">_xll.BDP($B34,Z$2)</f>
        <v>#NAME?</v>
      </c>
      <c r="AA34" s="36">
        <v>884.5</v>
      </c>
      <c r="AB34" s="36">
        <v>1348.825</v>
      </c>
      <c r="AC34" s="92">
        <f t="shared" si="5"/>
        <v>0.11279729643563094</v>
      </c>
    </row>
    <row r="35" spans="1:29" x14ac:dyDescent="0.2">
      <c r="A35" s="1" t="s">
        <v>79</v>
      </c>
      <c r="B35" s="1" t="s">
        <v>79</v>
      </c>
      <c r="C35" s="1" t="s">
        <v>80</v>
      </c>
      <c r="D35" s="36" t="s">
        <v>495</v>
      </c>
      <c r="E35" s="36">
        <v>10263.557500000001</v>
      </c>
      <c r="F35" s="36">
        <v>10635.886500000001</v>
      </c>
      <c r="G35" s="36" t="e">
        <f ca="1">_xll.BDP($B35,G$2,"EQY_FUND_YEAR=2016")</f>
        <v>#NAME?</v>
      </c>
      <c r="H35" s="36">
        <v>1235.683</v>
      </c>
      <c r="I35" s="36">
        <v>1329.231</v>
      </c>
      <c r="J35" s="36">
        <f t="shared" si="6"/>
        <v>8.6072936991121516</v>
      </c>
      <c r="K35" s="36">
        <f t="shared" si="7"/>
        <v>8.0015335934837513</v>
      </c>
      <c r="L35" s="44">
        <v>7.5705500520764524E-2</v>
      </c>
      <c r="M35" s="36">
        <v>904.73300866699219</v>
      </c>
      <c r="N35" s="36">
        <v>78.055999999999997</v>
      </c>
      <c r="O35" s="94">
        <f t="shared" si="0"/>
        <v>0.73217241692812174</v>
      </c>
      <c r="P35" s="36">
        <v>236.059</v>
      </c>
      <c r="Q35" s="36">
        <f t="shared" si="1"/>
        <v>0.19103524123905566</v>
      </c>
      <c r="R35" s="36">
        <v>372.94600000000003</v>
      </c>
      <c r="S35" s="36">
        <f t="shared" si="2"/>
        <v>0.30181365285433243</v>
      </c>
      <c r="T35" s="36">
        <v>145.06700000000001</v>
      </c>
      <c r="U35" s="36">
        <f t="shared" si="3"/>
        <v>0.11739823239455427</v>
      </c>
      <c r="V35" s="36">
        <v>170.774</v>
      </c>
      <c r="W35" s="36">
        <v>372.6</v>
      </c>
      <c r="X35" s="36">
        <f t="shared" si="4"/>
        <v>0.1382021117066432</v>
      </c>
      <c r="Y35" s="36" t="e">
        <f ca="1">_xll.BDP($B35,Y$2,)</f>
        <v>#NAME?</v>
      </c>
      <c r="Z35" s="36" t="e">
        <f ca="1">_xll.BDP($B35,Z$2)</f>
        <v>#NAME?</v>
      </c>
      <c r="AA35" s="36">
        <v>48.873303467433999</v>
      </c>
      <c r="AB35" s="36">
        <v>217.095</v>
      </c>
      <c r="AC35" s="92">
        <f t="shared" si="5"/>
        <v>3.955165157037363E-2</v>
      </c>
    </row>
    <row r="36" spans="1:29" x14ac:dyDescent="0.2">
      <c r="A36" s="1" t="s">
        <v>81</v>
      </c>
      <c r="B36" s="1" t="s">
        <v>81</v>
      </c>
      <c r="C36" s="1" t="s">
        <v>82</v>
      </c>
      <c r="D36" s="36" t="s">
        <v>506</v>
      </c>
      <c r="E36" s="36">
        <v>10068.413699999999</v>
      </c>
      <c r="F36" s="36">
        <v>10049.311299999999</v>
      </c>
      <c r="G36" s="36" t="e">
        <f ca="1">_xll.BDP($B36,G$2,"EQY_FUND_YEAR=2016")</f>
        <v>#NAME?</v>
      </c>
      <c r="H36" s="36">
        <v>790.56539690225225</v>
      </c>
      <c r="I36" s="36">
        <v>1373.425</v>
      </c>
      <c r="J36" s="36">
        <f t="shared" si="6"/>
        <v>12.711549657216436</v>
      </c>
      <c r="K36" s="36">
        <f t="shared" si="7"/>
        <v>7.3169712943917578</v>
      </c>
      <c r="L36" s="44">
        <v>0.73726930799352219</v>
      </c>
      <c r="M36" s="36">
        <v>375.64298104046151</v>
      </c>
      <c r="N36" s="36">
        <v>57.4</v>
      </c>
      <c r="O36" s="94">
        <f t="shared" si="0"/>
        <v>0.47515737788724272</v>
      </c>
      <c r="P36" s="36">
        <v>0</v>
      </c>
      <c r="Q36" s="36">
        <f t="shared" si="1"/>
        <v>0</v>
      </c>
      <c r="R36" s="36">
        <v>76.995211344008382</v>
      </c>
      <c r="S36" s="36">
        <f t="shared" si="2"/>
        <v>9.7392589715798408E-2</v>
      </c>
      <c r="T36" s="36">
        <v>47.989678864420718</v>
      </c>
      <c r="U36" s="36">
        <f t="shared" si="3"/>
        <v>6.0702984284998117E-2</v>
      </c>
      <c r="V36" s="36">
        <v>266.81505779650513</v>
      </c>
      <c r="W36" s="36">
        <v>498.81</v>
      </c>
      <c r="X36" s="36">
        <f t="shared" si="4"/>
        <v>0.3374990340356307</v>
      </c>
      <c r="Y36" s="36" t="e">
        <f ca="1">_xll.BDP($B36,Y$2,)</f>
        <v>#NAME?</v>
      </c>
      <c r="Z36" s="36" t="e">
        <f ca="1">_xll.BDP($B36,Z$2)</f>
        <v>#NAME?</v>
      </c>
      <c r="AA36" s="36">
        <v>149.9999767353207</v>
      </c>
      <c r="AB36" s="36">
        <v>349.94299999999998</v>
      </c>
      <c r="AC36" s="92">
        <f t="shared" ref="AC36:AC67" si="8">AA36/H36</f>
        <v>0.1897375945406666</v>
      </c>
    </row>
    <row r="37" spans="1:29" x14ac:dyDescent="0.2">
      <c r="A37" s="1" t="s">
        <v>83</v>
      </c>
      <c r="B37" s="1" t="s">
        <v>83</v>
      </c>
      <c r="C37" s="1" t="s">
        <v>84</v>
      </c>
      <c r="D37" s="36" t="s">
        <v>495</v>
      </c>
      <c r="E37" s="36">
        <v>9184.6566000000003</v>
      </c>
      <c r="F37" s="36">
        <v>9553.6566000000003</v>
      </c>
      <c r="G37" s="36" t="e">
        <f ca="1">_xll.BDP($B37,G$2,"EQY_FUND_YEAR=2016")</f>
        <v>#NAME?</v>
      </c>
      <c r="H37" s="36">
        <v>1106.8</v>
      </c>
      <c r="I37" s="36">
        <v>1480.6469999999999</v>
      </c>
      <c r="J37" s="36">
        <f t="shared" si="6"/>
        <v>8.6317822551499823</v>
      </c>
      <c r="K37" s="36">
        <f t="shared" si="7"/>
        <v>6.4523526539411495</v>
      </c>
      <c r="L37" s="44">
        <v>0.33777285869172391</v>
      </c>
      <c r="M37" s="36">
        <v>737.9</v>
      </c>
      <c r="N37" s="36">
        <v>74.016999999999996</v>
      </c>
      <c r="O37" s="94">
        <f t="shared" si="0"/>
        <v>0.66669678352005779</v>
      </c>
      <c r="P37" s="36">
        <v>380.29999999999995</v>
      </c>
      <c r="Q37" s="36">
        <f t="shared" si="1"/>
        <v>0.3436031803397181</v>
      </c>
      <c r="R37" s="36">
        <v>314</v>
      </c>
      <c r="S37" s="36">
        <f t="shared" si="2"/>
        <v>0.28370075894470548</v>
      </c>
      <c r="T37" s="36">
        <v>157.30000000000001</v>
      </c>
      <c r="U37" s="36">
        <f t="shared" si="3"/>
        <v>0.14212143115287315</v>
      </c>
      <c r="V37" s="36">
        <v>68.100000000000009</v>
      </c>
      <c r="W37" s="36">
        <v>323.16000000000003</v>
      </c>
      <c r="X37" s="36">
        <f t="shared" si="4"/>
        <v>6.1528731478135174E-2</v>
      </c>
      <c r="Y37" s="36" t="e">
        <f ca="1">_xll.BDP($B37,Y$2,)</f>
        <v>#NAME?</v>
      </c>
      <c r="Z37" s="36" t="e">
        <f ca="1">_xll.BDP($B37,Z$2)</f>
        <v>#NAME?</v>
      </c>
      <c r="AA37" s="36">
        <v>-50</v>
      </c>
      <c r="AB37" s="36">
        <v>133.304</v>
      </c>
      <c r="AC37" s="92">
        <f t="shared" si="8"/>
        <v>-4.517528008673654E-2</v>
      </c>
    </row>
    <row r="38" spans="1:29" x14ac:dyDescent="0.2">
      <c r="A38" s="1" t="s">
        <v>85</v>
      </c>
      <c r="B38" s="1" t="s">
        <v>85</v>
      </c>
      <c r="C38" s="1" t="s">
        <v>86</v>
      </c>
      <c r="D38" s="36" t="s">
        <v>495</v>
      </c>
      <c r="E38" s="36">
        <v>9193.2610000000004</v>
      </c>
      <c r="F38" s="36">
        <v>11155.011</v>
      </c>
      <c r="G38" s="36" t="e">
        <f ca="1">_xll.BDP($B38,G$2,"EQY_FUND_YEAR=2016")</f>
        <v>#NAME?</v>
      </c>
      <c r="H38" s="36">
        <v>2815.241</v>
      </c>
      <c r="I38" s="36">
        <v>2896.0419999999999</v>
      </c>
      <c r="J38" s="36">
        <f t="shared" si="6"/>
        <v>3.9623645009432589</v>
      </c>
      <c r="K38" s="36">
        <f t="shared" si="7"/>
        <v>3.8518125773037823</v>
      </c>
      <c r="L38" s="44">
        <v>2.8701272821758383E-2</v>
      </c>
      <c r="M38" s="36">
        <v>1863.8300090332032</v>
      </c>
      <c r="N38" s="36">
        <v>72.183000000000007</v>
      </c>
      <c r="O38" s="94">
        <f t="shared" si="0"/>
        <v>0.66204989520726754</v>
      </c>
      <c r="P38" s="36">
        <v>323.46100000000001</v>
      </c>
      <c r="Q38" s="36">
        <f t="shared" si="1"/>
        <v>0.11489638009676614</v>
      </c>
      <c r="R38" s="36">
        <v>529.38099999999997</v>
      </c>
      <c r="S38" s="36">
        <f t="shared" si="2"/>
        <v>0.18804109488317342</v>
      </c>
      <c r="T38" s="36">
        <v>205.31299999999999</v>
      </c>
      <c r="U38" s="36">
        <f t="shared" si="3"/>
        <v>7.2929102694938019E-2</v>
      </c>
      <c r="V38" s="36">
        <v>991.54299999999989</v>
      </c>
      <c r="W38" s="36">
        <v>1070.75</v>
      </c>
      <c r="X38" s="36">
        <f t="shared" si="4"/>
        <v>0.35220537069472913</v>
      </c>
      <c r="Y38" s="36" t="e">
        <f ca="1">_xll.BDP($B38,Y$2,)</f>
        <v>#NAME?</v>
      </c>
      <c r="Z38" s="36" t="e">
        <f ca="1">_xll.BDP($B38,Z$2)</f>
        <v>#NAME?</v>
      </c>
      <c r="AA38" s="36">
        <v>279.654731196885</v>
      </c>
      <c r="AB38" s="36">
        <v>728.4</v>
      </c>
      <c r="AC38" s="92">
        <f t="shared" si="8"/>
        <v>9.9335982673200984E-2</v>
      </c>
    </row>
    <row r="39" spans="1:29" x14ac:dyDescent="0.2">
      <c r="A39" s="1" t="s">
        <v>87</v>
      </c>
      <c r="B39" s="1" t="s">
        <v>87</v>
      </c>
      <c r="C39" s="1" t="s">
        <v>88</v>
      </c>
      <c r="D39" s="36" t="s">
        <v>495</v>
      </c>
      <c r="E39" s="36">
        <v>8905.6998000000003</v>
      </c>
      <c r="F39" s="36">
        <v>8730.4277999999995</v>
      </c>
      <c r="G39" s="36" t="e">
        <f ca="1">_xll.BDP($B39,G$2,"EQY_FUND_YEAR=2016")</f>
        <v>#NAME?</v>
      </c>
      <c r="H39" s="36">
        <v>1035.461</v>
      </c>
      <c r="I39" s="36">
        <v>1245.01</v>
      </c>
      <c r="J39" s="36">
        <f t="shared" si="6"/>
        <v>8.4314404888257499</v>
      </c>
      <c r="K39" s="36">
        <f t="shared" si="7"/>
        <v>7.0123354832491298</v>
      </c>
      <c r="L39" s="44">
        <v>0.20237266299744738</v>
      </c>
      <c r="M39" s="36">
        <v>648.36900695800773</v>
      </c>
      <c r="N39" s="36">
        <v>64.697000000000003</v>
      </c>
      <c r="O39" s="94">
        <f t="shared" si="0"/>
        <v>0.62616458462270208</v>
      </c>
      <c r="P39" s="36">
        <v>150.583</v>
      </c>
      <c r="Q39" s="36">
        <f t="shared" si="1"/>
        <v>0.14542604694913666</v>
      </c>
      <c r="R39" s="36">
        <v>269.78100000000001</v>
      </c>
      <c r="S39" s="36">
        <f t="shared" si="2"/>
        <v>0.26054192287300054</v>
      </c>
      <c r="T39" s="36">
        <v>122.119</v>
      </c>
      <c r="U39" s="36">
        <f t="shared" si="3"/>
        <v>0.11793684165796683</v>
      </c>
      <c r="V39" s="36">
        <v>114.41199999999999</v>
      </c>
      <c r="W39" s="36">
        <v>301.96199999999999</v>
      </c>
      <c r="X39" s="36">
        <f t="shared" si="4"/>
        <v>0.11049378006511108</v>
      </c>
      <c r="Y39" s="36" t="e">
        <f ca="1">_xll.BDP($B39,Y$2,)</f>
        <v>#NAME?</v>
      </c>
      <c r="Z39" s="36" t="e">
        <f ca="1">_xll.BDP($B39,Z$2)</f>
        <v>#NAME?</v>
      </c>
      <c r="AA39" s="36">
        <v>46.960708818636007</v>
      </c>
      <c r="AB39" s="36">
        <v>188.41400000000002</v>
      </c>
      <c r="AC39" s="92">
        <f t="shared" si="8"/>
        <v>4.5352465055309668E-2</v>
      </c>
    </row>
    <row r="40" spans="1:29" x14ac:dyDescent="0.2">
      <c r="A40" s="1" t="s">
        <v>89</v>
      </c>
      <c r="B40" s="1" t="s">
        <v>89</v>
      </c>
      <c r="C40" s="1" t="s">
        <v>90</v>
      </c>
      <c r="D40" s="36" t="s">
        <v>505</v>
      </c>
      <c r="E40" s="36">
        <v>8352.4141999999993</v>
      </c>
      <c r="F40" s="36">
        <v>7440.2691999999997</v>
      </c>
      <c r="G40" s="36" t="e">
        <f ca="1">_xll.BDP($B40,G$2,"EQY_FUND_YEAR=2016")</f>
        <v>#NAME?</v>
      </c>
      <c r="H40" s="36">
        <v>992.76900000000001</v>
      </c>
      <c r="I40" s="36">
        <v>1052.4590000000001</v>
      </c>
      <c r="J40" s="36">
        <f t="shared" si="6"/>
        <v>7.494461652207109</v>
      </c>
      <c r="K40" s="36">
        <f t="shared" si="7"/>
        <v>7.0694147705516315</v>
      </c>
      <c r="L40" s="44">
        <v>6.0124762155143952E-2</v>
      </c>
      <c r="M40" s="36">
        <v>864.88000952148434</v>
      </c>
      <c r="N40" s="36">
        <v>86.718000000000004</v>
      </c>
      <c r="O40" s="94">
        <f t="shared" si="0"/>
        <v>0.87117950854779347</v>
      </c>
      <c r="P40" s="36">
        <v>334.14799999999997</v>
      </c>
      <c r="Q40" s="36">
        <f t="shared" si="1"/>
        <v>0.33658182316329377</v>
      </c>
      <c r="R40" s="36">
        <v>517.44600000000003</v>
      </c>
      <c r="S40" s="36">
        <f t="shared" si="2"/>
        <v>0.52121490497789513</v>
      </c>
      <c r="T40" s="36">
        <v>102.871</v>
      </c>
      <c r="U40" s="36">
        <f t="shared" si="3"/>
        <v>0.10362027823189483</v>
      </c>
      <c r="V40" s="36">
        <v>-123.949</v>
      </c>
      <c r="W40" s="36">
        <v>17.222000000000001</v>
      </c>
      <c r="X40" s="36">
        <f t="shared" si="4"/>
        <v>-0.12485180339031537</v>
      </c>
      <c r="Y40" s="36" t="e">
        <f ca="1">_xll.BDP($B40,Y$2,)</f>
        <v>#NAME?</v>
      </c>
      <c r="Z40" s="36" t="e">
        <f ca="1">_xll.BDP($B40,Z$2)</f>
        <v>#NAME?</v>
      </c>
      <c r="AA40" s="36">
        <v>-146.929</v>
      </c>
      <c r="AB40" s="36">
        <v>-13.881</v>
      </c>
      <c r="AC40" s="92">
        <f t="shared" si="8"/>
        <v>-0.14799918208566143</v>
      </c>
    </row>
    <row r="41" spans="1:29" x14ac:dyDescent="0.2">
      <c r="A41" s="1" t="s">
        <v>91</v>
      </c>
      <c r="B41" s="1" t="s">
        <v>91</v>
      </c>
      <c r="C41" s="1" t="s">
        <v>92</v>
      </c>
      <c r="D41" s="36" t="s">
        <v>495</v>
      </c>
      <c r="E41" s="36">
        <v>8104.8091999999997</v>
      </c>
      <c r="F41" s="36">
        <v>7952.1031999999996</v>
      </c>
      <c r="G41" s="36" t="e">
        <f ca="1">_xll.BDP($B41,G$2,"EQY_FUND_YEAR=2016")</f>
        <v>#NAME?</v>
      </c>
      <c r="H41" s="36">
        <v>891.15700000000004</v>
      </c>
      <c r="I41" s="36">
        <v>1005.667</v>
      </c>
      <c r="J41" s="36">
        <f t="shared" si="6"/>
        <v>8.9233470645464266</v>
      </c>
      <c r="K41" s="36">
        <f t="shared" si="7"/>
        <v>7.9072925729888714</v>
      </c>
      <c r="L41" s="44">
        <v>0.12849587670859353</v>
      </c>
      <c r="M41" s="36">
        <v>422.93600115966797</v>
      </c>
      <c r="N41" s="36">
        <v>51.216999999999999</v>
      </c>
      <c r="O41" s="94">
        <f t="shared" si="0"/>
        <v>0.47459202044047005</v>
      </c>
      <c r="P41" s="36">
        <v>47.323999999999998</v>
      </c>
      <c r="Q41" s="36">
        <f t="shared" si="1"/>
        <v>5.3103998509802422E-2</v>
      </c>
      <c r="R41" s="36" t="s">
        <v>480</v>
      </c>
      <c r="S41" s="36" t="e">
        <f t="shared" si="2"/>
        <v>#VALUE!</v>
      </c>
      <c r="T41" s="36" t="s">
        <v>480</v>
      </c>
      <c r="U41" s="36" t="e">
        <f t="shared" si="3"/>
        <v>#VALUE!</v>
      </c>
      <c r="V41" s="36">
        <v>222.82000000000002</v>
      </c>
      <c r="W41" s="36">
        <v>297.92500000000001</v>
      </c>
      <c r="X41" s="36">
        <f t="shared" si="4"/>
        <v>0.25003450570438207</v>
      </c>
      <c r="Y41" s="36" t="e">
        <f ca="1">_xll.BDP($B41,Y$2,)</f>
        <v>#NAME?</v>
      </c>
      <c r="Z41" s="36" t="e">
        <f ca="1">_xll.BDP($B41,Z$2)</f>
        <v>#NAME?</v>
      </c>
      <c r="AA41" s="36">
        <v>145.27799871199099</v>
      </c>
      <c r="AB41" s="36">
        <v>206.56300000000002</v>
      </c>
      <c r="AC41" s="92">
        <f t="shared" si="8"/>
        <v>0.16302177810642904</v>
      </c>
    </row>
    <row r="42" spans="1:29" x14ac:dyDescent="0.2">
      <c r="A42" s="1" t="s">
        <v>93</v>
      </c>
      <c r="B42" s="1" t="s">
        <v>93</v>
      </c>
      <c r="C42" s="1" t="s">
        <v>94</v>
      </c>
      <c r="D42" s="36" t="s">
        <v>506</v>
      </c>
      <c r="E42" s="36">
        <v>8005.7865000000002</v>
      </c>
      <c r="F42" s="36">
        <v>10399.2865</v>
      </c>
      <c r="G42" s="36" t="e">
        <f ca="1">_xll.BDP($B42,G$2,"EQY_FUND_YEAR=2016")</f>
        <v>#NAME?</v>
      </c>
      <c r="H42" s="36">
        <v>5643.5</v>
      </c>
      <c r="I42" s="36">
        <v>5758.5690000000004</v>
      </c>
      <c r="J42" s="36">
        <f t="shared" si="6"/>
        <v>1.8427016036147781</v>
      </c>
      <c r="K42" s="36">
        <f t="shared" si="7"/>
        <v>1.8058803324228641</v>
      </c>
      <c r="L42" s="44">
        <v>2.0389651811818954E-2</v>
      </c>
      <c r="M42" s="36">
        <v>2280.8999999999996</v>
      </c>
      <c r="N42" s="36">
        <v>40.567</v>
      </c>
      <c r="O42" s="94">
        <f t="shared" si="0"/>
        <v>0.4041640825728714</v>
      </c>
      <c r="P42" s="36">
        <v>0</v>
      </c>
      <c r="Q42" s="36">
        <f t="shared" si="1"/>
        <v>0</v>
      </c>
      <c r="R42" s="36" t="s">
        <v>480</v>
      </c>
      <c r="S42" s="36" t="e">
        <f t="shared" si="2"/>
        <v>#VALUE!</v>
      </c>
      <c r="T42" s="36" t="s">
        <v>480</v>
      </c>
      <c r="U42" s="36" t="e">
        <f t="shared" si="3"/>
        <v>#VALUE!</v>
      </c>
      <c r="V42" s="36">
        <v>1359.4</v>
      </c>
      <c r="W42" s="36">
        <v>1420.375</v>
      </c>
      <c r="X42" s="36">
        <f t="shared" si="4"/>
        <v>0.24087888721538053</v>
      </c>
      <c r="Y42" s="36" t="e">
        <f ca="1">_xll.BDP($B42,Y$2,)</f>
        <v>#NAME?</v>
      </c>
      <c r="Z42" s="36" t="e">
        <f ca="1">_xll.BDP($B42,Z$2)</f>
        <v>#NAME?</v>
      </c>
      <c r="AA42" s="36">
        <v>852.35</v>
      </c>
      <c r="AB42" s="36">
        <v>860.87900000000002</v>
      </c>
      <c r="AC42" s="92">
        <f t="shared" si="8"/>
        <v>0.15103216089306282</v>
      </c>
    </row>
    <row r="43" spans="1:29" x14ac:dyDescent="0.2">
      <c r="A43" s="1" t="s">
        <v>95</v>
      </c>
      <c r="B43" s="1" t="s">
        <v>95</v>
      </c>
      <c r="C43" s="1" t="s">
        <v>96</v>
      </c>
      <c r="D43" s="36" t="s">
        <v>506</v>
      </c>
      <c r="E43" s="36">
        <v>7756.0488999999998</v>
      </c>
      <c r="F43" s="36">
        <v>9911.8019000000004</v>
      </c>
      <c r="G43" s="36" t="e">
        <f ca="1">_xll.BDP($B43,G$2,"EQY_FUND_YEAR=2016")</f>
        <v>#NAME?</v>
      </c>
      <c r="H43" s="36">
        <v>1381.0119999999999</v>
      </c>
      <c r="I43" s="36">
        <v>1551.74</v>
      </c>
      <c r="J43" s="36">
        <f t="shared" si="6"/>
        <v>7.1772018635609252</v>
      </c>
      <c r="K43" s="36">
        <f t="shared" si="7"/>
        <v>6.3875403740317322</v>
      </c>
      <c r="L43" s="44">
        <v>0.12362528348776114</v>
      </c>
      <c r="M43" s="36">
        <v>1037.137987915039</v>
      </c>
      <c r="N43" s="36">
        <v>64.7</v>
      </c>
      <c r="O43" s="94">
        <f t="shared" si="0"/>
        <v>0.75099853434657993</v>
      </c>
      <c r="P43" s="36">
        <v>0</v>
      </c>
      <c r="Q43" s="36">
        <f t="shared" si="1"/>
        <v>0</v>
      </c>
      <c r="R43" s="36">
        <v>0</v>
      </c>
      <c r="S43" s="36">
        <f t="shared" si="2"/>
        <v>0</v>
      </c>
      <c r="T43" s="36" t="s">
        <v>480</v>
      </c>
      <c r="U43" s="36" t="e">
        <f t="shared" si="3"/>
        <v>#VALUE!</v>
      </c>
      <c r="V43" s="36">
        <v>541.74800000000005</v>
      </c>
      <c r="W43" s="36">
        <v>659.16700000000003</v>
      </c>
      <c r="X43" s="36">
        <f t="shared" si="4"/>
        <v>0.3922833400433885</v>
      </c>
      <c r="Y43" s="36" t="e">
        <f ca="1">_xll.BDP($B43,Y$2,)</f>
        <v>#NAME?</v>
      </c>
      <c r="Z43" s="36" t="e">
        <f ca="1">_xll.BDP($B43,Z$2)</f>
        <v>#NAME?</v>
      </c>
      <c r="AA43" s="36">
        <v>160.82074499958901</v>
      </c>
      <c r="AB43" s="36">
        <v>378.98200000000003</v>
      </c>
      <c r="AC43" s="92">
        <f t="shared" si="8"/>
        <v>0.11645137406451864</v>
      </c>
    </row>
    <row r="44" spans="1:29" x14ac:dyDescent="0.2">
      <c r="A44" s="1" t="s">
        <v>97</v>
      </c>
      <c r="B44" s="1" t="s">
        <v>97</v>
      </c>
      <c r="C44" s="1" t="s">
        <v>98</v>
      </c>
      <c r="D44" s="36" t="s">
        <v>495</v>
      </c>
      <c r="E44" s="36">
        <v>7426.6350000000002</v>
      </c>
      <c r="F44" s="36">
        <v>7407.2659999999996</v>
      </c>
      <c r="G44" s="36" t="e">
        <f ca="1">_xll.BDP($B44,G$2,"EQY_FUND_YEAR=2016")</f>
        <v>#NAME?</v>
      </c>
      <c r="H44" s="36">
        <v>498.02800000000002</v>
      </c>
      <c r="I44" s="36">
        <v>621.76</v>
      </c>
      <c r="J44" s="36">
        <f t="shared" si="6"/>
        <v>14.87319186873027</v>
      </c>
      <c r="K44" s="36">
        <f t="shared" si="7"/>
        <v>11.913384585692228</v>
      </c>
      <c r="L44" s="44">
        <v>0.24844386259407103</v>
      </c>
      <c r="M44" s="36">
        <v>416.48600439453128</v>
      </c>
      <c r="N44" s="36">
        <v>82.850000000000009</v>
      </c>
      <c r="O44" s="94">
        <f t="shared" si="0"/>
        <v>0.83627025868933325</v>
      </c>
      <c r="P44" s="36">
        <v>30.43</v>
      </c>
      <c r="Q44" s="36">
        <f t="shared" si="1"/>
        <v>6.1100982274089007E-2</v>
      </c>
      <c r="R44" s="36">
        <v>150.512</v>
      </c>
      <c r="S44" s="36">
        <f t="shared" si="2"/>
        <v>0.30221593966604288</v>
      </c>
      <c r="T44" s="36">
        <v>91.647000000000006</v>
      </c>
      <c r="U44" s="36">
        <f t="shared" si="3"/>
        <v>0.18401977398861108</v>
      </c>
      <c r="V44" s="36">
        <v>148.13299999999998</v>
      </c>
      <c r="W44" s="36">
        <v>254.15200000000002</v>
      </c>
      <c r="X44" s="36">
        <f t="shared" si="4"/>
        <v>0.29743909980964922</v>
      </c>
      <c r="Y44" s="36" t="e">
        <f ca="1">_xll.BDP($B44,Y$2,)</f>
        <v>#NAME?</v>
      </c>
      <c r="Z44" s="36" t="e">
        <f ca="1">_xll.BDP($B44,Z$2)</f>
        <v>#NAME?</v>
      </c>
      <c r="AA44" s="36">
        <v>104.562799698118</v>
      </c>
      <c r="AB44" s="36">
        <v>171.12</v>
      </c>
      <c r="AC44" s="92">
        <f t="shared" si="8"/>
        <v>0.20995365661793713</v>
      </c>
    </row>
    <row r="45" spans="1:29" x14ac:dyDescent="0.2">
      <c r="A45" s="1" t="s">
        <v>99</v>
      </c>
      <c r="B45" s="1" t="s">
        <v>99</v>
      </c>
      <c r="C45" s="1" t="s">
        <v>100</v>
      </c>
      <c r="D45" s="36" t="s">
        <v>495</v>
      </c>
      <c r="E45" s="36">
        <v>7408.9178000000002</v>
      </c>
      <c r="F45" s="36">
        <v>9247.8755000000001</v>
      </c>
      <c r="G45" s="36" t="e">
        <f ca="1">_xll.BDP($B45,G$2,"EQY_FUND_YEAR=2016")</f>
        <v>#NAME?</v>
      </c>
      <c r="H45" s="36">
        <v>2273.2000000000003</v>
      </c>
      <c r="I45" s="36">
        <v>2275</v>
      </c>
      <c r="J45" s="36">
        <f t="shared" si="6"/>
        <v>4.0682190304416679</v>
      </c>
      <c r="K45" s="36">
        <f t="shared" si="7"/>
        <v>4.0650002197802202</v>
      </c>
      <c r="L45" s="44">
        <v>7.9183529825788135E-4</v>
      </c>
      <c r="M45" s="36">
        <v>1091.2</v>
      </c>
      <c r="N45" s="36">
        <v>49.633000000000003</v>
      </c>
      <c r="O45" s="94">
        <f t="shared" si="0"/>
        <v>0.48002815414393801</v>
      </c>
      <c r="P45" s="36">
        <v>0</v>
      </c>
      <c r="Q45" s="36">
        <f t="shared" si="1"/>
        <v>0</v>
      </c>
      <c r="R45" s="36" t="s">
        <v>480</v>
      </c>
      <c r="S45" s="36" t="e">
        <f t="shared" si="2"/>
        <v>#VALUE!</v>
      </c>
      <c r="T45" s="36" t="s">
        <v>480</v>
      </c>
      <c r="U45" s="36" t="e">
        <f t="shared" si="3"/>
        <v>#VALUE!</v>
      </c>
      <c r="V45" s="36">
        <v>767.59999999999991</v>
      </c>
      <c r="W45" s="36">
        <v>898.33299999999997</v>
      </c>
      <c r="X45" s="36">
        <f t="shared" si="4"/>
        <v>0.33767376385711761</v>
      </c>
      <c r="Y45" s="36" t="e">
        <f ca="1">_xll.BDP($B45,Y$2,)</f>
        <v>#NAME?</v>
      </c>
      <c r="Z45" s="36" t="e">
        <f ca="1">_xll.BDP($B45,Z$2)</f>
        <v>#NAME?</v>
      </c>
      <c r="AA45" s="36">
        <v>426.99656571026196</v>
      </c>
      <c r="AB45" s="36">
        <v>496.33300000000003</v>
      </c>
      <c r="AC45" s="92">
        <f t="shared" si="8"/>
        <v>0.18783941831350603</v>
      </c>
    </row>
    <row r="46" spans="1:29" x14ac:dyDescent="0.2">
      <c r="A46" s="1" t="s">
        <v>101</v>
      </c>
      <c r="B46" s="1" t="s">
        <v>101</v>
      </c>
      <c r="C46" s="1" t="s">
        <v>102</v>
      </c>
      <c r="D46" s="36" t="s">
        <v>495</v>
      </c>
      <c r="E46" s="36">
        <v>7152.3764000000001</v>
      </c>
      <c r="F46" s="36">
        <v>6390.3563999999997</v>
      </c>
      <c r="G46" s="36" t="e">
        <f ca="1">_xll.BDP($B46,G$2,"EQY_FUND_YEAR=2016")</f>
        <v>#NAME?</v>
      </c>
      <c r="H46" s="36">
        <v>661.06700000000001</v>
      </c>
      <c r="I46" s="36">
        <v>749.7</v>
      </c>
      <c r="J46" s="36">
        <f t="shared" si="6"/>
        <v>9.6667303011646322</v>
      </c>
      <c r="K46" s="36">
        <f t="shared" si="7"/>
        <v>8.5238847539015605</v>
      </c>
      <c r="L46" s="44">
        <v>0.13407566857822273</v>
      </c>
      <c r="M46" s="36">
        <v>364.36000024414062</v>
      </c>
      <c r="N46" s="36">
        <v>59.675000000000004</v>
      </c>
      <c r="O46" s="94">
        <f t="shared" si="0"/>
        <v>0.55116954899297743</v>
      </c>
      <c r="P46" s="36">
        <v>171.65699999999998</v>
      </c>
      <c r="Q46" s="36">
        <f t="shared" si="1"/>
        <v>0.25966656934924898</v>
      </c>
      <c r="R46" s="36">
        <v>124.117</v>
      </c>
      <c r="S46" s="36">
        <f t="shared" si="2"/>
        <v>0.18775252735350578</v>
      </c>
      <c r="T46" s="36">
        <v>75.915999999999997</v>
      </c>
      <c r="U46" s="36">
        <f t="shared" si="3"/>
        <v>0.11483858670906277</v>
      </c>
      <c r="V46" s="36">
        <v>28.280999999999985</v>
      </c>
      <c r="W46" s="36">
        <v>147.46700000000001</v>
      </c>
      <c r="X46" s="36">
        <f t="shared" si="4"/>
        <v>4.2780837645805925E-2</v>
      </c>
      <c r="Y46" s="36" t="e">
        <f ca="1">_xll.BDP($B46,Y$2,)</f>
        <v>#NAME?</v>
      </c>
      <c r="Z46" s="36" t="e">
        <f ca="1">_xll.BDP($B46,Z$2)</f>
        <v>#NAME?</v>
      </c>
      <c r="AA46" s="36">
        <v>35.34196</v>
      </c>
      <c r="AB46" s="36">
        <v>101.65600000000001</v>
      </c>
      <c r="AC46" s="92">
        <f t="shared" si="8"/>
        <v>5.3461994018760582E-2</v>
      </c>
    </row>
    <row r="47" spans="1:29" x14ac:dyDescent="0.2">
      <c r="A47" s="1" t="s">
        <v>105</v>
      </c>
      <c r="B47" s="1" t="s">
        <v>105</v>
      </c>
      <c r="C47" s="1" t="s">
        <v>106</v>
      </c>
      <c r="D47" s="36" t="s">
        <v>495</v>
      </c>
      <c r="E47" s="36">
        <v>6820.7802000000001</v>
      </c>
      <c r="F47" s="36">
        <v>6894.6152000000002</v>
      </c>
      <c r="G47" s="36" t="e">
        <f ca="1">_xll.BDP($B47,G$2,"EQY_FUND_YEAR=2016")</f>
        <v>#NAME?</v>
      </c>
      <c r="H47" s="36">
        <v>499.51400000000001</v>
      </c>
      <c r="I47" s="36">
        <v>548.56299999999999</v>
      </c>
      <c r="J47" s="36">
        <f t="shared" si="6"/>
        <v>13.80264657246844</v>
      </c>
      <c r="K47" s="36">
        <f t="shared" si="7"/>
        <v>12.568502068130735</v>
      </c>
      <c r="L47" s="44">
        <v>9.8193444027594667E-2</v>
      </c>
      <c r="M47" s="36">
        <v>448.87000836181642</v>
      </c>
      <c r="N47" s="36">
        <v>89.632999999999996</v>
      </c>
      <c r="O47" s="94">
        <f t="shared" si="0"/>
        <v>0.89861346901551586</v>
      </c>
      <c r="P47" s="36">
        <v>82.075999999999993</v>
      </c>
      <c r="Q47" s="36">
        <f t="shared" si="1"/>
        <v>0.16431171098307554</v>
      </c>
      <c r="R47" s="36">
        <v>101.077</v>
      </c>
      <c r="S47" s="36">
        <f t="shared" si="2"/>
        <v>0.20235068486568944</v>
      </c>
      <c r="T47" s="36">
        <v>56.076000000000001</v>
      </c>
      <c r="U47" s="36">
        <f t="shared" si="3"/>
        <v>0.11226111780650792</v>
      </c>
      <c r="V47" s="36">
        <v>218.595</v>
      </c>
      <c r="W47" s="36">
        <v>277.47500000000002</v>
      </c>
      <c r="X47" s="36">
        <f t="shared" si="4"/>
        <v>0.43761536213199226</v>
      </c>
      <c r="Y47" s="36" t="e">
        <f ca="1">_xll.BDP($B47,Y$2,)</f>
        <v>#NAME?</v>
      </c>
      <c r="Z47" s="36" t="e">
        <f ca="1">_xll.BDP($B47,Z$2)</f>
        <v>#NAME?</v>
      </c>
      <c r="AA47" s="36">
        <v>150.27254635458399</v>
      </c>
      <c r="AB47" s="36">
        <v>222.1</v>
      </c>
      <c r="AC47" s="92">
        <f t="shared" si="8"/>
        <v>0.30083750676574428</v>
      </c>
    </row>
    <row r="48" spans="1:29" x14ac:dyDescent="0.2">
      <c r="A48" s="1" t="s">
        <v>107</v>
      </c>
      <c r="B48" s="1" t="s">
        <v>107</v>
      </c>
      <c r="C48" s="1" t="s">
        <v>108</v>
      </c>
      <c r="D48" s="36" t="s">
        <v>495</v>
      </c>
      <c r="E48" s="36">
        <v>6740.9416000000001</v>
      </c>
      <c r="F48" s="36">
        <v>6236.2366000000002</v>
      </c>
      <c r="G48" s="36" t="e">
        <f ca="1">_xll.BDP($B48,G$2,"EQY_FUND_YEAR=2016")</f>
        <v>#NAME?</v>
      </c>
      <c r="H48" s="36">
        <v>1155.4570000000001</v>
      </c>
      <c r="I48" s="36">
        <v>1366.1669999999999</v>
      </c>
      <c r="J48" s="36">
        <f t="shared" si="6"/>
        <v>5.397203530724207</v>
      </c>
      <c r="K48" s="36">
        <f t="shared" si="7"/>
        <v>4.5647688752546358</v>
      </c>
      <c r="L48" s="44">
        <v>0.18236074557512727</v>
      </c>
      <c r="M48" s="36">
        <v>769.42700024414057</v>
      </c>
      <c r="N48" s="36">
        <v>78.515000000000001</v>
      </c>
      <c r="O48" s="94">
        <f t="shared" si="0"/>
        <v>0.66590708286343891</v>
      </c>
      <c r="P48" s="36">
        <v>313.77699999999999</v>
      </c>
      <c r="Q48" s="36">
        <f t="shared" si="1"/>
        <v>0.27156094947713327</v>
      </c>
      <c r="R48" s="36">
        <v>649.65700000000004</v>
      </c>
      <c r="S48" s="36">
        <f t="shared" si="2"/>
        <v>0.56225112661050991</v>
      </c>
      <c r="T48" s="36">
        <v>86.400999999999996</v>
      </c>
      <c r="U48" s="36">
        <f t="shared" si="3"/>
        <v>7.4776473724249351E-2</v>
      </c>
      <c r="V48" s="36">
        <v>-222.005860759494</v>
      </c>
      <c r="W48" s="36">
        <v>-120.633</v>
      </c>
      <c r="X48" s="36">
        <f t="shared" si="4"/>
        <v>-0.19213684348227064</v>
      </c>
      <c r="Y48" s="36" t="e">
        <f ca="1">_xll.BDP($B48,Y$2,)</f>
        <v>#NAME?</v>
      </c>
      <c r="Z48" s="36" t="e">
        <f ca="1">_xll.BDP($B48,Z$2)</f>
        <v>#NAME?</v>
      </c>
      <c r="AA48" s="36">
        <v>-290.7982245</v>
      </c>
      <c r="AB48" s="36">
        <v>-189.75900000000001</v>
      </c>
      <c r="AC48" s="92">
        <f t="shared" si="8"/>
        <v>-0.25167377453250095</v>
      </c>
    </row>
    <row r="49" spans="1:29" x14ac:dyDescent="0.2">
      <c r="A49" s="1" t="s">
        <v>109</v>
      </c>
      <c r="B49" s="1" t="s">
        <v>109</v>
      </c>
      <c r="C49" s="1" t="s">
        <v>110</v>
      </c>
      <c r="D49" s="36" t="s">
        <v>506</v>
      </c>
      <c r="E49" s="36">
        <v>6666.2766000000001</v>
      </c>
      <c r="F49" s="36">
        <v>9733.1316000000006</v>
      </c>
      <c r="G49" s="36" t="e">
        <f ca="1">_xll.BDP($B49,G$2,"EQY_FUND_YEAR=2016")</f>
        <v>#NAME?</v>
      </c>
      <c r="H49" s="36">
        <v>3755.2129999999997</v>
      </c>
      <c r="I49" s="36">
        <v>3945.0750000000003</v>
      </c>
      <c r="J49" s="36">
        <f t="shared" si="6"/>
        <v>2.5918986752549058</v>
      </c>
      <c r="K49" s="36">
        <f t="shared" si="7"/>
        <v>2.4671600920134598</v>
      </c>
      <c r="L49" s="44">
        <v>5.0559582106261436E-2</v>
      </c>
      <c r="M49" s="36">
        <v>1077.0209764404296</v>
      </c>
      <c r="N49" s="36">
        <v>38.840000000000003</v>
      </c>
      <c r="O49" s="94">
        <f t="shared" si="0"/>
        <v>0.28680689389401604</v>
      </c>
      <c r="P49" s="36">
        <v>0</v>
      </c>
      <c r="Q49" s="36">
        <f t="shared" si="1"/>
        <v>0</v>
      </c>
      <c r="R49" s="36" t="s">
        <v>480</v>
      </c>
      <c r="S49" s="36" t="e">
        <f t="shared" si="2"/>
        <v>#VALUE!</v>
      </c>
      <c r="T49" s="36" t="s">
        <v>480</v>
      </c>
      <c r="U49" s="36" t="e">
        <f t="shared" si="3"/>
        <v>#VALUE!</v>
      </c>
      <c r="V49" s="36">
        <v>972.27599999999995</v>
      </c>
      <c r="W49" s="36">
        <v>1138.2860000000001</v>
      </c>
      <c r="X49" s="36">
        <f t="shared" si="4"/>
        <v>0.2589136754692743</v>
      </c>
      <c r="Y49" s="36" t="e">
        <f ca="1">_xll.BDP($B49,Y$2,)</f>
        <v>#NAME?</v>
      </c>
      <c r="Z49" s="36" t="e">
        <f ca="1">_xll.BDP($B49,Z$2)</f>
        <v>#NAME?</v>
      </c>
      <c r="AA49" s="36">
        <v>307.796316586464</v>
      </c>
      <c r="AB49" s="36">
        <v>431.33300000000003</v>
      </c>
      <c r="AC49" s="92">
        <f t="shared" si="8"/>
        <v>8.1965075372945298E-2</v>
      </c>
    </row>
    <row r="50" spans="1:29" x14ac:dyDescent="0.2">
      <c r="A50" s="1" t="s">
        <v>113</v>
      </c>
      <c r="B50" s="1" t="s">
        <v>113</v>
      </c>
      <c r="C50" s="1" t="s">
        <v>114</v>
      </c>
      <c r="D50" s="36" t="s">
        <v>495</v>
      </c>
      <c r="E50" s="36">
        <v>6043.8905999999997</v>
      </c>
      <c r="F50" s="36">
        <v>5616.1094999999996</v>
      </c>
      <c r="G50" s="36" t="e">
        <f ca="1">_xll.BDP($B50,G$2,"EQY_FUND_YEAR=2016")</f>
        <v>#NAME?</v>
      </c>
      <c r="H50" s="36">
        <v>507.88499999999999</v>
      </c>
      <c r="I50" s="36">
        <v>667.96900000000005</v>
      </c>
      <c r="J50" s="36">
        <f t="shared" si="6"/>
        <v>11.057836911899347</v>
      </c>
      <c r="K50" s="36">
        <f t="shared" si="7"/>
        <v>8.4077397304365906</v>
      </c>
      <c r="L50" s="44">
        <v>0.31519733798005456</v>
      </c>
      <c r="M50" s="36">
        <v>356.01800524902342</v>
      </c>
      <c r="N50" s="36">
        <v>73.061000000000007</v>
      </c>
      <c r="O50" s="94">
        <f t="shared" si="0"/>
        <v>0.70098153174246813</v>
      </c>
      <c r="P50" s="36">
        <v>115.291</v>
      </c>
      <c r="Q50" s="36">
        <f t="shared" si="1"/>
        <v>0.2270021756893785</v>
      </c>
      <c r="R50" s="36">
        <v>220.74199999999999</v>
      </c>
      <c r="S50" s="36">
        <f t="shared" si="2"/>
        <v>0.43462988668694685</v>
      </c>
      <c r="T50" s="36">
        <v>81.680000000000007</v>
      </c>
      <c r="U50" s="36">
        <f t="shared" si="3"/>
        <v>0.1608238085393347</v>
      </c>
      <c r="V50" s="36">
        <v>-86.045139240506003</v>
      </c>
      <c r="W50" s="36">
        <v>50.771999999999998</v>
      </c>
      <c r="X50" s="36">
        <f t="shared" si="4"/>
        <v>-0.16941854797937722</v>
      </c>
      <c r="Y50" s="36" t="e">
        <f ca="1">_xll.BDP($B50,Y$2,)</f>
        <v>#NAME?</v>
      </c>
      <c r="Z50" s="36" t="e">
        <f ca="1">_xll.BDP($B50,Z$2)</f>
        <v>#NAME?</v>
      </c>
      <c r="AA50" s="36">
        <v>-115.405</v>
      </c>
      <c r="AB50" s="36">
        <v>25.371000000000002</v>
      </c>
      <c r="AC50" s="92">
        <f t="shared" si="8"/>
        <v>-0.22722663595105191</v>
      </c>
    </row>
    <row r="51" spans="1:29" x14ac:dyDescent="0.2">
      <c r="A51" s="1" t="s">
        <v>115</v>
      </c>
      <c r="B51" s="1" t="s">
        <v>115</v>
      </c>
      <c r="C51" s="1" t="s">
        <v>116</v>
      </c>
      <c r="D51" s="36" t="s">
        <v>495</v>
      </c>
      <c r="E51" s="36">
        <v>5895.5968999999996</v>
      </c>
      <c r="F51" s="36">
        <v>5688.8769000000002</v>
      </c>
      <c r="G51" s="36" t="e">
        <f ca="1">_xll.BDP($B51,G$2,"EQY_FUND_YEAR=2016")</f>
        <v>#NAME?</v>
      </c>
      <c r="H51" s="36">
        <v>581.47399999999993</v>
      </c>
      <c r="I51" s="36">
        <v>724.625</v>
      </c>
      <c r="J51" s="36">
        <f t="shared" si="6"/>
        <v>9.7835447500662127</v>
      </c>
      <c r="K51" s="36">
        <f t="shared" si="7"/>
        <v>7.8507875107814389</v>
      </c>
      <c r="L51" s="44">
        <v>0.24618641590165691</v>
      </c>
      <c r="M51" s="36">
        <v>443.33000299072262</v>
      </c>
      <c r="N51" s="36">
        <v>77.007999999999996</v>
      </c>
      <c r="O51" s="94">
        <f t="shared" si="0"/>
        <v>0.762424464362504</v>
      </c>
      <c r="P51" s="36">
        <v>75.147999999999996</v>
      </c>
      <c r="Q51" s="36">
        <f t="shared" si="1"/>
        <v>0.12923707680824939</v>
      </c>
      <c r="R51" s="36">
        <v>260.06900000000002</v>
      </c>
      <c r="S51" s="36">
        <f t="shared" si="2"/>
        <v>0.44725817491409769</v>
      </c>
      <c r="T51" s="36">
        <v>72.313000000000002</v>
      </c>
      <c r="U51" s="36">
        <f t="shared" si="3"/>
        <v>0.1243615363713597</v>
      </c>
      <c r="V51" s="36">
        <v>1.981681596884</v>
      </c>
      <c r="W51" s="36">
        <v>88.007999999999996</v>
      </c>
      <c r="X51" s="36">
        <f t="shared" si="4"/>
        <v>3.4080313081651117E-3</v>
      </c>
      <c r="Y51" s="36" t="e">
        <f ca="1">_xll.BDP($B51,Y$2,)</f>
        <v>#NAME?</v>
      </c>
      <c r="Z51" s="36" t="e">
        <f ca="1">_xll.BDP($B51,Z$2)</f>
        <v>#NAME?</v>
      </c>
      <c r="AA51" s="36">
        <v>-22.126999999999999</v>
      </c>
      <c r="AB51" s="36">
        <v>62.160000000000004</v>
      </c>
      <c r="AC51" s="92">
        <f t="shared" si="8"/>
        <v>-3.8053292150637866E-2</v>
      </c>
    </row>
    <row r="52" spans="1:29" x14ac:dyDescent="0.2">
      <c r="A52" s="1" t="s">
        <v>117</v>
      </c>
      <c r="B52" s="1" t="s">
        <v>117</v>
      </c>
      <c r="C52" s="1" t="s">
        <v>118</v>
      </c>
      <c r="D52" s="36" t="s">
        <v>495</v>
      </c>
      <c r="E52" s="36">
        <v>5899.6878999999999</v>
      </c>
      <c r="F52" s="36">
        <v>6521.5419000000002</v>
      </c>
      <c r="G52" s="36" t="e">
        <f ca="1">_xll.BDP($B52,G$2,"EQY_FUND_YEAR=2016")</f>
        <v>#NAME?</v>
      </c>
      <c r="H52" s="36">
        <v>1005.8890000000001</v>
      </c>
      <c r="I52" s="36">
        <v>1083.6669999999999</v>
      </c>
      <c r="J52" s="36">
        <f t="shared" si="6"/>
        <v>6.4833613848048834</v>
      </c>
      <c r="K52" s="36">
        <f t="shared" si="7"/>
        <v>6.0180312771358739</v>
      </c>
      <c r="L52" s="44">
        <v>7.732264693221591E-2</v>
      </c>
      <c r="M52" s="36">
        <v>699.41901611328126</v>
      </c>
      <c r="N52" s="36">
        <v>72.05</v>
      </c>
      <c r="O52" s="94">
        <f t="shared" si="0"/>
        <v>0.69532425159563449</v>
      </c>
      <c r="P52" s="36">
        <v>110.86999999999999</v>
      </c>
      <c r="Q52" s="36">
        <f t="shared" si="1"/>
        <v>0.11022090906650732</v>
      </c>
      <c r="R52" s="36" t="s">
        <v>480</v>
      </c>
      <c r="S52" s="36" t="e">
        <f t="shared" si="2"/>
        <v>#VALUE!</v>
      </c>
      <c r="T52" s="36" t="s">
        <v>480</v>
      </c>
      <c r="U52" s="36" t="e">
        <f t="shared" si="3"/>
        <v>#VALUE!</v>
      </c>
      <c r="V52" s="36">
        <v>228.197</v>
      </c>
      <c r="W52" s="36">
        <v>336.8</v>
      </c>
      <c r="X52" s="36">
        <f t="shared" si="4"/>
        <v>0.2268610154798392</v>
      </c>
      <c r="Y52" s="36" t="e">
        <f ca="1">_xll.BDP($B52,Y$2,)</f>
        <v>#NAME?</v>
      </c>
      <c r="Z52" s="36" t="e">
        <f ca="1">_xll.BDP($B52,Z$2)</f>
        <v>#NAME?</v>
      </c>
      <c r="AA52" s="36">
        <v>130.87135000000001</v>
      </c>
      <c r="AB52" s="36">
        <v>217.4</v>
      </c>
      <c r="AC52" s="92">
        <f t="shared" si="8"/>
        <v>0.13010516070858713</v>
      </c>
    </row>
    <row r="53" spans="1:29" x14ac:dyDescent="0.2">
      <c r="A53" s="1" t="s">
        <v>119</v>
      </c>
      <c r="B53" s="1" t="s">
        <v>119</v>
      </c>
      <c r="C53" s="1" t="s">
        <v>120</v>
      </c>
      <c r="D53" s="36" t="s">
        <v>506</v>
      </c>
      <c r="E53" s="36">
        <v>5740.0319</v>
      </c>
      <c r="F53" s="36">
        <v>5499.3319000000001</v>
      </c>
      <c r="G53" s="36" t="e">
        <f ca="1">_xll.BDP($B53,G$2,"EQY_FUND_YEAR=2016")</f>
        <v>#NAME?</v>
      </c>
      <c r="H53" s="36">
        <v>2491.8389999999999</v>
      </c>
      <c r="I53" s="36">
        <v>2815.54</v>
      </c>
      <c r="J53" s="36">
        <f t="shared" si="6"/>
        <v>2.2069370854216506</v>
      </c>
      <c r="K53" s="36">
        <f t="shared" si="7"/>
        <v>1.9532068093509594</v>
      </c>
      <c r="L53" s="44">
        <v>0.12990446011961443</v>
      </c>
      <c r="M53" s="36">
        <v>1021.3030059814453</v>
      </c>
      <c r="N53" s="36">
        <v>39.6</v>
      </c>
      <c r="O53" s="94">
        <f t="shared" si="0"/>
        <v>0.40985914659070882</v>
      </c>
      <c r="P53" s="36">
        <v>0</v>
      </c>
      <c r="Q53" s="36">
        <f t="shared" si="1"/>
        <v>0</v>
      </c>
      <c r="R53" s="36" t="s">
        <v>480</v>
      </c>
      <c r="S53" s="36" t="e">
        <f t="shared" si="2"/>
        <v>#VALUE!</v>
      </c>
      <c r="T53" s="36" t="s">
        <v>480</v>
      </c>
      <c r="U53" s="36" t="e">
        <f t="shared" si="3"/>
        <v>#VALUE!</v>
      </c>
      <c r="V53" s="36">
        <v>464.61600000000004</v>
      </c>
      <c r="W53" s="36">
        <v>577.71699999999998</v>
      </c>
      <c r="X53" s="36">
        <f t="shared" si="4"/>
        <v>0.18645506391062988</v>
      </c>
      <c r="Y53" s="36" t="e">
        <f ca="1">_xll.BDP($B53,Y$2,)</f>
        <v>#NAME?</v>
      </c>
      <c r="Z53" s="36" t="e">
        <f ca="1">_xll.BDP($B53,Z$2)</f>
        <v>#NAME?</v>
      </c>
      <c r="AA53" s="36">
        <v>221.308428571429</v>
      </c>
      <c r="AB53" s="36">
        <v>354.21300000000002</v>
      </c>
      <c r="AC53" s="92">
        <f t="shared" si="8"/>
        <v>8.8813293544016694E-2</v>
      </c>
    </row>
    <row r="54" spans="1:29" x14ac:dyDescent="0.2">
      <c r="A54" s="1" t="s">
        <v>121</v>
      </c>
      <c r="B54" s="1" t="s">
        <v>121</v>
      </c>
      <c r="C54" s="1" t="s">
        <v>122</v>
      </c>
      <c r="D54" s="36" t="s">
        <v>506</v>
      </c>
      <c r="E54" s="36">
        <v>5282.4870000000001</v>
      </c>
      <c r="F54" s="36">
        <v>6190.1469999999999</v>
      </c>
      <c r="G54" s="36" t="e">
        <f ca="1">_xll.BDP($B54,G$2,"EQY_FUND_YEAR=2016")</f>
        <v>#NAME?</v>
      </c>
      <c r="H54" s="36">
        <v>2860.71</v>
      </c>
      <c r="I54" s="36">
        <v>3102.7919999999999</v>
      </c>
      <c r="J54" s="36">
        <f t="shared" si="6"/>
        <v>2.1638498834205495</v>
      </c>
      <c r="K54" s="36">
        <f t="shared" si="7"/>
        <v>1.9950248034673288</v>
      </c>
      <c r="L54" s="44">
        <v>8.4623048124416567E-2</v>
      </c>
      <c r="M54" s="36">
        <v>1068.4139918212891</v>
      </c>
      <c r="N54" s="36">
        <v>39.024999999999999</v>
      </c>
      <c r="O54" s="94">
        <f t="shared" si="0"/>
        <v>0.37347860909399733</v>
      </c>
      <c r="P54" s="36">
        <v>0</v>
      </c>
      <c r="Q54" s="36">
        <f t="shared" si="1"/>
        <v>0</v>
      </c>
      <c r="R54" s="36" t="s">
        <v>480</v>
      </c>
      <c r="S54" s="36" t="e">
        <f t="shared" si="2"/>
        <v>#VALUE!</v>
      </c>
      <c r="T54" s="36" t="s">
        <v>480</v>
      </c>
      <c r="U54" s="36" t="e">
        <f t="shared" si="3"/>
        <v>#VALUE!</v>
      </c>
      <c r="V54" s="36">
        <v>407.05099999999999</v>
      </c>
      <c r="W54" s="36">
        <v>514.5</v>
      </c>
      <c r="X54" s="36">
        <f t="shared" si="4"/>
        <v>0.14229020068444545</v>
      </c>
      <c r="Y54" s="36" t="e">
        <f ca="1">_xll.BDP($B54,Y$2,)</f>
        <v>#NAME?</v>
      </c>
      <c r="Z54" s="36" t="e">
        <f ca="1">_xll.BDP($B54,Z$2)</f>
        <v>#NAME?</v>
      </c>
      <c r="AA54" s="36">
        <v>271.84730999999999</v>
      </c>
      <c r="AB54" s="36">
        <v>348.45100000000002</v>
      </c>
      <c r="AC54" s="92">
        <f t="shared" si="8"/>
        <v>9.5027916146690858E-2</v>
      </c>
    </row>
    <row r="55" spans="1:29" x14ac:dyDescent="0.2">
      <c r="A55" s="1" t="s">
        <v>123</v>
      </c>
      <c r="B55" s="1" t="s">
        <v>123</v>
      </c>
      <c r="C55" s="1" t="s">
        <v>124</v>
      </c>
      <c r="D55" s="36" t="s">
        <v>495</v>
      </c>
      <c r="E55" s="36">
        <v>5142.1211000000003</v>
      </c>
      <c r="F55" s="36">
        <v>5264.8521000000001</v>
      </c>
      <c r="G55" s="36" t="e">
        <f ca="1">_xll.BDP($B55,G$2,"EQY_FUND_YEAR=2016")</f>
        <v>#NAME?</v>
      </c>
      <c r="H55" s="36">
        <v>774.29099999999994</v>
      </c>
      <c r="I55" s="36">
        <v>940.42899999999997</v>
      </c>
      <c r="J55" s="36">
        <f t="shared" si="6"/>
        <v>6.7995780656109917</v>
      </c>
      <c r="K55" s="36">
        <f t="shared" si="7"/>
        <v>5.5983514970295474</v>
      </c>
      <c r="L55" s="44">
        <v>0.21456790793125591</v>
      </c>
      <c r="M55" s="36">
        <v>470.14299932861331</v>
      </c>
      <c r="N55" s="36">
        <v>64.5</v>
      </c>
      <c r="O55" s="94">
        <f t="shared" si="0"/>
        <v>0.60719161055548021</v>
      </c>
      <c r="P55" s="36">
        <v>89.451999999999998</v>
      </c>
      <c r="Q55" s="36">
        <f t="shared" si="1"/>
        <v>0.11552762462691676</v>
      </c>
      <c r="R55" s="36">
        <v>165.07900000000001</v>
      </c>
      <c r="S55" s="36">
        <f t="shared" si="2"/>
        <v>0.21320020509085089</v>
      </c>
      <c r="T55" s="36">
        <v>112.97499999999999</v>
      </c>
      <c r="U55" s="36">
        <f t="shared" si="3"/>
        <v>0.14590767553800832</v>
      </c>
      <c r="V55" s="36">
        <v>151.96100000000001</v>
      </c>
      <c r="W55" s="36">
        <v>254.5</v>
      </c>
      <c r="X55" s="36">
        <f t="shared" si="4"/>
        <v>0.19625825432557015</v>
      </c>
      <c r="Y55" s="36" t="e">
        <f ca="1">_xll.BDP($B55,Y$2,)</f>
        <v>#NAME?</v>
      </c>
      <c r="Z55" s="36" t="e">
        <f ca="1">_xll.BDP($B55,Z$2)</f>
        <v>#NAME?</v>
      </c>
      <c r="AA55" s="36">
        <v>39.375608755979997</v>
      </c>
      <c r="AB55" s="36">
        <v>147.19200000000001</v>
      </c>
      <c r="AC55" s="92">
        <f t="shared" si="8"/>
        <v>5.0853760092755822E-2</v>
      </c>
    </row>
    <row r="56" spans="1:29" x14ac:dyDescent="0.2">
      <c r="A56" s="1" t="s">
        <v>127</v>
      </c>
      <c r="B56" s="1" t="s">
        <v>127</v>
      </c>
      <c r="C56" s="1" t="s">
        <v>128</v>
      </c>
      <c r="D56" s="36" t="s">
        <v>505</v>
      </c>
      <c r="E56" s="36">
        <v>5107.2048999999997</v>
      </c>
      <c r="F56" s="36">
        <v>5177.2318999999998</v>
      </c>
      <c r="G56" s="36" t="e">
        <f ca="1">_xll.BDP($B56,G$2,"EQY_FUND_YEAR=2016")</f>
        <v>#NAME?</v>
      </c>
      <c r="H56" s="36">
        <v>614.04600000000005</v>
      </c>
      <c r="I56" s="36">
        <v>792.19399999999996</v>
      </c>
      <c r="J56" s="36">
        <f t="shared" si="6"/>
        <v>8.4313421144344218</v>
      </c>
      <c r="K56" s="36">
        <f t="shared" si="7"/>
        <v>6.5353081442171996</v>
      </c>
      <c r="L56" s="44">
        <v>0.29012158698208257</v>
      </c>
      <c r="M56" s="36">
        <v>439.7080033569336</v>
      </c>
      <c r="N56" s="36">
        <v>77.510000000000005</v>
      </c>
      <c r="O56" s="94">
        <f t="shared" si="0"/>
        <v>0.71608316536046746</v>
      </c>
      <c r="P56" s="36">
        <v>129.803</v>
      </c>
      <c r="Q56" s="36">
        <f t="shared" si="1"/>
        <v>0.21138970044589492</v>
      </c>
      <c r="R56" s="36">
        <v>258.83699999999999</v>
      </c>
      <c r="S56" s="36">
        <f t="shared" si="2"/>
        <v>0.42152705171925225</v>
      </c>
      <c r="T56" s="36">
        <v>52.734999999999999</v>
      </c>
      <c r="U56" s="36">
        <f t="shared" si="3"/>
        <v>8.5881188054315147E-2</v>
      </c>
      <c r="V56" s="36">
        <v>-23.048000000000005</v>
      </c>
      <c r="W56" s="36">
        <v>135.55000000000001</v>
      </c>
      <c r="X56" s="36">
        <f t="shared" si="4"/>
        <v>-3.7534647241411888E-2</v>
      </c>
      <c r="Y56" s="36" t="e">
        <f ca="1">_xll.BDP($B56,Y$2,)</f>
        <v>#NAME?</v>
      </c>
      <c r="Z56" s="36" t="e">
        <f ca="1">_xll.BDP($B56,Z$2)</f>
        <v>#NAME?</v>
      </c>
      <c r="AA56" s="36">
        <v>-78.538188416806008</v>
      </c>
      <c r="AB56" s="36">
        <v>74.016999999999996</v>
      </c>
      <c r="AC56" s="92">
        <f t="shared" si="8"/>
        <v>-0.12790277669230971</v>
      </c>
    </row>
    <row r="57" spans="1:29" x14ac:dyDescent="0.2">
      <c r="A57" s="1" t="s">
        <v>129</v>
      </c>
      <c r="B57" s="1" t="s">
        <v>129</v>
      </c>
      <c r="C57" s="1" t="s">
        <v>130</v>
      </c>
      <c r="D57" s="36" t="s">
        <v>495</v>
      </c>
      <c r="E57" s="36">
        <v>4998.8274000000001</v>
      </c>
      <c r="F57" s="36">
        <v>4738.1673000000001</v>
      </c>
      <c r="G57" s="36" t="e">
        <f ca="1">_xll.BDP($B57,G$2,"EQY_FUND_YEAR=2016")</f>
        <v>#NAME?</v>
      </c>
      <c r="H57" s="36">
        <v>441.399</v>
      </c>
      <c r="I57" s="36">
        <v>558.06700000000001</v>
      </c>
      <c r="J57" s="36">
        <f t="shared" si="6"/>
        <v>10.734431432785303</v>
      </c>
      <c r="K57" s="36">
        <f t="shared" si="7"/>
        <v>8.490319800310715</v>
      </c>
      <c r="L57" s="44">
        <v>0.26431414661111607</v>
      </c>
      <c r="M57" s="36">
        <v>354.10500488281252</v>
      </c>
      <c r="N57" s="36">
        <v>81.478999999999999</v>
      </c>
      <c r="O57" s="94">
        <f t="shared" si="0"/>
        <v>0.80223336455862504</v>
      </c>
      <c r="P57" s="36">
        <v>70.37299999999999</v>
      </c>
      <c r="Q57" s="36">
        <f t="shared" si="1"/>
        <v>0.15943171597579511</v>
      </c>
      <c r="R57" s="36">
        <v>212.85900000000001</v>
      </c>
      <c r="S57" s="36">
        <f t="shared" si="2"/>
        <v>0.48223715957670954</v>
      </c>
      <c r="T57" s="36">
        <v>56.786999999999999</v>
      </c>
      <c r="U57" s="36">
        <f t="shared" si="3"/>
        <v>0.12865230777595779</v>
      </c>
      <c r="V57" s="36">
        <v>-24.503810126582</v>
      </c>
      <c r="W57" s="36">
        <v>59.963000000000001</v>
      </c>
      <c r="X57" s="36">
        <f t="shared" si="4"/>
        <v>-5.5513968374604379E-2</v>
      </c>
      <c r="Y57" s="36" t="e">
        <f ca="1">_xll.BDP($B57,Y$2,)</f>
        <v>#NAME?</v>
      </c>
      <c r="Z57" s="36" t="e">
        <f ca="1">_xll.BDP($B57,Z$2)</f>
        <v>#NAME?</v>
      </c>
      <c r="AA57" s="36">
        <v>-55.844099999999997</v>
      </c>
      <c r="AB57" s="36">
        <v>37.355000000000004</v>
      </c>
      <c r="AC57" s="92">
        <f t="shared" si="8"/>
        <v>-0.1265161452563327</v>
      </c>
    </row>
    <row r="58" spans="1:29" x14ac:dyDescent="0.2">
      <c r="A58" s="1" t="s">
        <v>131</v>
      </c>
      <c r="B58" s="1" t="s">
        <v>131</v>
      </c>
      <c r="C58" s="1" t="s">
        <v>132</v>
      </c>
      <c r="D58" s="36" t="s">
        <v>505</v>
      </c>
      <c r="E58" s="36">
        <v>4889.1738999999998</v>
      </c>
      <c r="F58" s="36">
        <v>3355.8386999999998</v>
      </c>
      <c r="G58" s="36" t="e">
        <f ca="1">_xll.BDP($B58,G$2,"EQY_FUND_YEAR=2016")</f>
        <v>#NAME?</v>
      </c>
      <c r="H58" s="36">
        <v>882</v>
      </c>
      <c r="I58" s="36">
        <v>905.96699999999998</v>
      </c>
      <c r="J58" s="36">
        <f t="shared" si="6"/>
        <v>3.8048057823129251</v>
      </c>
      <c r="K58" s="36">
        <f t="shared" si="7"/>
        <v>3.7041511445781135</v>
      </c>
      <c r="L58" s="44">
        <v>2.7173469387755E-2</v>
      </c>
      <c r="M58" s="36">
        <v>675</v>
      </c>
      <c r="N58" s="36">
        <v>75.55</v>
      </c>
      <c r="O58" s="94">
        <f t="shared" si="0"/>
        <v>0.76530612244897955</v>
      </c>
      <c r="P58" s="36">
        <v>239</v>
      </c>
      <c r="Q58" s="36">
        <f t="shared" si="1"/>
        <v>0.27097505668934241</v>
      </c>
      <c r="R58" s="36">
        <v>0</v>
      </c>
      <c r="S58" s="36">
        <f t="shared" si="2"/>
        <v>0</v>
      </c>
      <c r="T58" s="36" t="s">
        <v>480</v>
      </c>
      <c r="U58" s="36" t="e">
        <f t="shared" si="3"/>
        <v>#VALUE!</v>
      </c>
      <c r="V58" s="36">
        <v>74</v>
      </c>
      <c r="W58" s="36">
        <v>159.923</v>
      </c>
      <c r="X58" s="36">
        <f t="shared" si="4"/>
        <v>8.390022675736962E-2</v>
      </c>
      <c r="Y58" s="36" t="e">
        <f ca="1">_xll.BDP($B58,Y$2,)</f>
        <v>#NAME?</v>
      </c>
      <c r="Z58" s="36" t="e">
        <f ca="1">_xll.BDP($B58,Z$2)</f>
        <v>#NAME?</v>
      </c>
      <c r="AA58" s="36">
        <v>-68.715000000000003</v>
      </c>
      <c r="AB58" s="36">
        <v>88.109000000000009</v>
      </c>
      <c r="AC58" s="92">
        <f t="shared" si="8"/>
        <v>-7.7908163265306127E-2</v>
      </c>
    </row>
    <row r="59" spans="1:29" x14ac:dyDescent="0.2">
      <c r="A59" s="1" t="s">
        <v>133</v>
      </c>
      <c r="B59" s="1" t="s">
        <v>133</v>
      </c>
      <c r="C59" s="1" t="s">
        <v>134</v>
      </c>
      <c r="D59" s="36" t="s">
        <v>495</v>
      </c>
      <c r="E59" s="36">
        <v>5030.9390999999996</v>
      </c>
      <c r="F59" s="36">
        <v>6274.3391000000001</v>
      </c>
      <c r="G59" s="36" t="e">
        <f ca="1">_xll.BDP($B59,G$2,"EQY_FUND_YEAR=2016")</f>
        <v>#NAME?</v>
      </c>
      <c r="H59" s="36">
        <v>750.7</v>
      </c>
      <c r="I59" s="36">
        <v>763.30000000000007</v>
      </c>
      <c r="J59" s="36">
        <f t="shared" si="6"/>
        <v>8.3579846809644334</v>
      </c>
      <c r="K59" s="36">
        <f t="shared" si="7"/>
        <v>8.2200171623214988</v>
      </c>
      <c r="L59" s="44">
        <v>1.6784334621020358E-2</v>
      </c>
      <c r="M59" s="36">
        <v>293.00000000000006</v>
      </c>
      <c r="N59" s="36">
        <v>42.375</v>
      </c>
      <c r="O59" s="94">
        <f t="shared" si="0"/>
        <v>0.39030238444118825</v>
      </c>
      <c r="P59" s="36">
        <v>0</v>
      </c>
      <c r="Q59" s="36">
        <f t="shared" si="1"/>
        <v>0</v>
      </c>
      <c r="R59" s="36" t="s">
        <v>480</v>
      </c>
      <c r="S59" s="36" t="e">
        <f t="shared" si="2"/>
        <v>#VALUE!</v>
      </c>
      <c r="T59" s="36" t="s">
        <v>480</v>
      </c>
      <c r="U59" s="36" t="e">
        <f t="shared" si="3"/>
        <v>#VALUE!</v>
      </c>
      <c r="V59" s="36">
        <v>90.5</v>
      </c>
      <c r="W59" s="36">
        <v>163.22800000000001</v>
      </c>
      <c r="X59" s="36">
        <f t="shared" si="4"/>
        <v>0.12055414946050352</v>
      </c>
      <c r="Y59" s="36" t="e">
        <f ca="1">_xll.BDP($B59,Y$2,)</f>
        <v>#NAME?</v>
      </c>
      <c r="Z59" s="36" t="e">
        <f ca="1">_xll.BDP($B59,Z$2)</f>
        <v>#NAME?</v>
      </c>
      <c r="AA59" s="36">
        <v>-9.1999999999999993</v>
      </c>
      <c r="AB59" s="36">
        <v>49.454999999999998</v>
      </c>
      <c r="AC59" s="92">
        <f t="shared" si="8"/>
        <v>-1.2255228453443451E-2</v>
      </c>
    </row>
    <row r="60" spans="1:29" x14ac:dyDescent="0.2">
      <c r="A60" s="1" t="s">
        <v>135</v>
      </c>
      <c r="B60" s="1" t="s">
        <v>135</v>
      </c>
      <c r="C60" s="1" t="s">
        <v>136</v>
      </c>
      <c r="D60" s="36" t="s">
        <v>495</v>
      </c>
      <c r="E60" s="36">
        <v>4912.9336000000003</v>
      </c>
      <c r="F60" s="36">
        <v>6727.3046000000004</v>
      </c>
      <c r="G60" s="36" t="e">
        <f ca="1">_xll.BDP($B60,G$2,"EQY_FUND_YEAR=2016")</f>
        <v>#NAME?</v>
      </c>
      <c r="H60" s="36">
        <v>2007.8210000000001</v>
      </c>
      <c r="I60" s="36">
        <v>2103.1669999999999</v>
      </c>
      <c r="J60" s="36">
        <f t="shared" si="6"/>
        <v>3.3505499743254004</v>
      </c>
      <c r="K60" s="36">
        <f t="shared" si="7"/>
        <v>3.1986545053245892</v>
      </c>
      <c r="L60" s="44">
        <v>4.7487300909792252E-2</v>
      </c>
      <c r="M60" s="36">
        <v>1132.4420061035157</v>
      </c>
      <c r="N60" s="36">
        <v>63.65</v>
      </c>
      <c r="O60" s="94">
        <f t="shared" si="0"/>
        <v>0.56401542074891919</v>
      </c>
      <c r="P60" s="36">
        <v>266.09699999999998</v>
      </c>
      <c r="Q60" s="36">
        <f t="shared" si="1"/>
        <v>0.13253024049454606</v>
      </c>
      <c r="R60" s="36">
        <v>398.13</v>
      </c>
      <c r="S60" s="36">
        <f t="shared" si="2"/>
        <v>0.19828958856392076</v>
      </c>
      <c r="T60" s="36">
        <v>166.67699999999999</v>
      </c>
      <c r="U60" s="36">
        <f t="shared" si="3"/>
        <v>8.3013874244765834E-2</v>
      </c>
      <c r="V60" s="36">
        <v>344.83600000000001</v>
      </c>
      <c r="W60" s="36">
        <v>589</v>
      </c>
      <c r="X60" s="36">
        <f t="shared" si="4"/>
        <v>0.17174638575849141</v>
      </c>
      <c r="Y60" s="36" t="e">
        <f ca="1">_xll.BDP($B60,Y$2,)</f>
        <v>#NAME?</v>
      </c>
      <c r="Z60" s="36" t="e">
        <f ca="1">_xll.BDP($B60,Z$2)</f>
        <v>#NAME?</v>
      </c>
      <c r="AA60" s="36">
        <v>21.322419709094</v>
      </c>
      <c r="AB60" s="36">
        <v>352.72500000000002</v>
      </c>
      <c r="AC60" s="92">
        <f t="shared" si="8"/>
        <v>1.0619681589690514E-2</v>
      </c>
    </row>
    <row r="61" spans="1:29" x14ac:dyDescent="0.2">
      <c r="A61" s="1" t="s">
        <v>137</v>
      </c>
      <c r="B61" s="1" t="s">
        <v>137</v>
      </c>
      <c r="C61" s="1" t="s">
        <v>138</v>
      </c>
      <c r="D61" s="36" t="s">
        <v>495</v>
      </c>
      <c r="E61" s="36">
        <v>4775.0842000000002</v>
      </c>
      <c r="F61" s="36">
        <v>4436.8191999999999</v>
      </c>
      <c r="G61" s="36" t="e">
        <f ca="1">_xll.BDP($B61,G$2,"EQY_FUND_YEAR=2016")</f>
        <v>#NAME?</v>
      </c>
      <c r="H61" s="36">
        <v>383.18099999999998</v>
      </c>
      <c r="I61" s="36">
        <v>489.97500000000002</v>
      </c>
      <c r="J61" s="36">
        <f t="shared" si="6"/>
        <v>11.578912315589761</v>
      </c>
      <c r="K61" s="36">
        <f t="shared" si="7"/>
        <v>9.0551950609724976</v>
      </c>
      <c r="L61" s="44">
        <v>0.27870379794405276</v>
      </c>
      <c r="M61" s="36">
        <v>318.38299798583984</v>
      </c>
      <c r="N61" s="36">
        <v>83.225000000000009</v>
      </c>
      <c r="O61" s="94">
        <f t="shared" si="0"/>
        <v>0.83089453283393444</v>
      </c>
      <c r="P61" s="36">
        <v>74.331999999999994</v>
      </c>
      <c r="Q61" s="36">
        <f t="shared" si="1"/>
        <v>0.1939866538267816</v>
      </c>
      <c r="R61" s="36">
        <v>207.02099999999999</v>
      </c>
      <c r="S61" s="36">
        <f t="shared" si="2"/>
        <v>0.54026948100245054</v>
      </c>
      <c r="T61" s="36">
        <v>57.787999999999997</v>
      </c>
      <c r="U61" s="36">
        <f t="shared" si="3"/>
        <v>0.1508112354213805</v>
      </c>
      <c r="V61" s="36">
        <v>-2.2589999999999986</v>
      </c>
      <c r="W61" s="36">
        <v>54.381999999999998</v>
      </c>
      <c r="X61" s="36">
        <f t="shared" si="4"/>
        <v>-5.8953862534937762E-3</v>
      </c>
      <c r="Y61" s="36" t="e">
        <f ca="1">_xll.BDP($B61,Y$2,)</f>
        <v>#NAME?</v>
      </c>
      <c r="Z61" s="36" t="e">
        <f ca="1">_xll.BDP($B61,Z$2)</f>
        <v>#NAME?</v>
      </c>
      <c r="AA61" s="36">
        <v>-33.405200000000001</v>
      </c>
      <c r="AB61" s="36">
        <v>28.193000000000001</v>
      </c>
      <c r="AC61" s="92">
        <f t="shared" si="8"/>
        <v>-8.7178644035064382E-2</v>
      </c>
    </row>
    <row r="62" spans="1:29" x14ac:dyDescent="0.2">
      <c r="A62" s="1" t="s">
        <v>139</v>
      </c>
      <c r="B62" s="1" t="s">
        <v>139</v>
      </c>
      <c r="C62" s="1" t="s">
        <v>140</v>
      </c>
      <c r="D62" s="36" t="s">
        <v>495</v>
      </c>
      <c r="E62" s="36">
        <v>4558.2957999999999</v>
      </c>
      <c r="F62" s="36">
        <v>4485.9957999999997</v>
      </c>
      <c r="G62" s="36" t="e">
        <f ca="1">_xll.BDP($B62,G$2,"EQY_FUND_YEAR=2016")</f>
        <v>#NAME?</v>
      </c>
      <c r="H62" s="36">
        <v>509.43599999999998</v>
      </c>
      <c r="I62" s="36">
        <v>735.4</v>
      </c>
      <c r="J62" s="36">
        <f t="shared" si="6"/>
        <v>8.8058083841738704</v>
      </c>
      <c r="K62" s="36">
        <f t="shared" si="7"/>
        <v>6.1000758770737011</v>
      </c>
      <c r="L62" s="44">
        <v>0.44355718873420802</v>
      </c>
      <c r="M62" s="36">
        <v>281.04199999999997</v>
      </c>
      <c r="N62" s="36">
        <v>63.5</v>
      </c>
      <c r="O62" s="94">
        <f t="shared" si="0"/>
        <v>0.55167283034571557</v>
      </c>
      <c r="P62" s="36">
        <v>160.947</v>
      </c>
      <c r="Q62" s="36">
        <f t="shared" si="1"/>
        <v>0.31593173627305493</v>
      </c>
      <c r="R62" s="36">
        <v>221.18700000000001</v>
      </c>
      <c r="S62" s="36">
        <f t="shared" si="2"/>
        <v>0.43418015216828026</v>
      </c>
      <c r="T62" s="36">
        <v>67.203999999999994</v>
      </c>
      <c r="U62" s="36">
        <f t="shared" si="3"/>
        <v>0.13191843528922179</v>
      </c>
      <c r="V62" s="36">
        <v>-146.059</v>
      </c>
      <c r="W62" s="36">
        <v>-47.813000000000002</v>
      </c>
      <c r="X62" s="36">
        <f t="shared" si="4"/>
        <v>-0.2867072605783651</v>
      </c>
      <c r="Y62" s="36" t="e">
        <f ca="1">_xll.BDP($B62,Y$2,)</f>
        <v>#NAME?</v>
      </c>
      <c r="Z62" s="36" t="e">
        <f ca="1">_xll.BDP($B62,Z$2)</f>
        <v>#NAME?</v>
      </c>
      <c r="AA62" s="36">
        <v>-163.51499999999999</v>
      </c>
      <c r="AB62" s="36">
        <v>-73.906999999999996</v>
      </c>
      <c r="AC62" s="92">
        <f t="shared" si="8"/>
        <v>-0.32097260499846886</v>
      </c>
    </row>
    <row r="63" spans="1:29" x14ac:dyDescent="0.2">
      <c r="A63" s="1" t="s">
        <v>147</v>
      </c>
      <c r="B63" s="1" t="s">
        <v>147</v>
      </c>
      <c r="C63" s="1" t="s">
        <v>148</v>
      </c>
      <c r="D63" s="36" t="s">
        <v>495</v>
      </c>
      <c r="E63" s="36">
        <v>4131.2433000000001</v>
      </c>
      <c r="F63" s="36">
        <v>3887.6603</v>
      </c>
      <c r="G63" s="36" t="e">
        <f ca="1">_xll.BDP($B63,G$2,"EQY_FUND_YEAR=2016")</f>
        <v>#NAME?</v>
      </c>
      <c r="H63" s="36">
        <v>851.31600000000003</v>
      </c>
      <c r="I63" s="36">
        <v>927.80000000000007</v>
      </c>
      <c r="J63" s="36">
        <f t="shared" si="6"/>
        <v>4.5666477547702611</v>
      </c>
      <c r="K63" s="36">
        <f t="shared" si="7"/>
        <v>4.1901921750377236</v>
      </c>
      <c r="L63" s="44">
        <v>8.9842079791757845E-2</v>
      </c>
      <c r="M63" s="36">
        <v>558.17699633789061</v>
      </c>
      <c r="N63" s="36">
        <v>64.025000000000006</v>
      </c>
      <c r="O63" s="94">
        <f t="shared" si="0"/>
        <v>0.65566369754343934</v>
      </c>
      <c r="P63" s="36">
        <v>162.886</v>
      </c>
      <c r="Q63" s="36">
        <f t="shared" si="1"/>
        <v>0.19133435762983428</v>
      </c>
      <c r="R63" s="36">
        <v>307.20999999999998</v>
      </c>
      <c r="S63" s="36">
        <f t="shared" si="2"/>
        <v>0.36086482575212958</v>
      </c>
      <c r="T63" s="36">
        <v>52.152999999999999</v>
      </c>
      <c r="U63" s="36">
        <f t="shared" si="3"/>
        <v>6.1261623181051453E-2</v>
      </c>
      <c r="V63" s="36">
        <v>16.656999999999996</v>
      </c>
      <c r="W63" s="36">
        <v>104.4</v>
      </c>
      <c r="X63" s="36">
        <f t="shared" si="4"/>
        <v>1.9566177541594419E-2</v>
      </c>
      <c r="Y63" s="36" t="e">
        <f ca="1">_xll.BDP($B63,Y$2,)</f>
        <v>#NAME?</v>
      </c>
      <c r="Z63" s="36" t="e">
        <f ca="1">_xll.BDP($B63,Z$2)</f>
        <v>#NAME?</v>
      </c>
      <c r="AA63" s="36">
        <v>16.697999999999997</v>
      </c>
      <c r="AB63" s="36">
        <v>69.878</v>
      </c>
      <c r="AC63" s="92">
        <f t="shared" si="8"/>
        <v>1.9614338271570129E-2</v>
      </c>
    </row>
    <row r="64" spans="1:29" x14ac:dyDescent="0.2">
      <c r="A64" s="1" t="s">
        <v>149</v>
      </c>
      <c r="B64" s="1" t="s">
        <v>149</v>
      </c>
      <c r="C64" s="1" t="s">
        <v>150</v>
      </c>
      <c r="D64" s="36" t="s">
        <v>506</v>
      </c>
      <c r="E64" s="36">
        <v>4143.2241999999997</v>
      </c>
      <c r="F64" s="36">
        <v>5314.2241999999997</v>
      </c>
      <c r="G64" s="36" t="e">
        <f ca="1">_xll.BDP($B64,G$2,"EQY_FUND_YEAR=2016")</f>
        <v>#NAME?</v>
      </c>
      <c r="H64" s="36">
        <v>5780</v>
      </c>
      <c r="I64" s="36">
        <v>5298.5830000000005</v>
      </c>
      <c r="J64" s="36">
        <f t="shared" si="6"/>
        <v>0.91941595155709332</v>
      </c>
      <c r="K64" s="36">
        <f t="shared" si="7"/>
        <v>1.0029519590426343</v>
      </c>
      <c r="L64" s="44">
        <v>-8.3290138408304459E-2</v>
      </c>
      <c r="M64" s="36">
        <v>1057</v>
      </c>
      <c r="N64" s="36">
        <v>18.580000000000002</v>
      </c>
      <c r="O64" s="94">
        <f t="shared" si="0"/>
        <v>0.1828719723183391</v>
      </c>
      <c r="P64" s="36">
        <v>13</v>
      </c>
      <c r="Q64" s="36">
        <f t="shared" si="1"/>
        <v>2.249134948096886E-3</v>
      </c>
      <c r="R64" s="36" t="s">
        <v>480</v>
      </c>
      <c r="S64" s="36" t="e">
        <f t="shared" si="2"/>
        <v>#VALUE!</v>
      </c>
      <c r="T64" s="36" t="s">
        <v>480</v>
      </c>
      <c r="U64" s="36" t="e">
        <f t="shared" si="3"/>
        <v>#VALUE!</v>
      </c>
      <c r="V64" s="36">
        <v>689</v>
      </c>
      <c r="W64" s="36">
        <v>679.75</v>
      </c>
      <c r="X64" s="36">
        <f t="shared" si="4"/>
        <v>0.11920415224913494</v>
      </c>
      <c r="Y64" s="36" t="e">
        <f ca="1">_xll.BDP($B64,Y$2,)</f>
        <v>#NAME?</v>
      </c>
      <c r="Z64" s="36" t="e">
        <f ca="1">_xll.BDP($B64,Z$2)</f>
        <v>#NAME?</v>
      </c>
      <c r="AA64" s="36">
        <v>34.552340425531995</v>
      </c>
      <c r="AB64" s="36">
        <v>248.583</v>
      </c>
      <c r="AC64" s="92">
        <f t="shared" si="8"/>
        <v>5.9779135684311412E-3</v>
      </c>
    </row>
    <row r="65" spans="1:29" x14ac:dyDescent="0.2">
      <c r="A65" s="1" t="s">
        <v>151</v>
      </c>
      <c r="B65" s="1" t="s">
        <v>151</v>
      </c>
      <c r="C65" s="1" t="s">
        <v>152</v>
      </c>
      <c r="D65" s="36" t="s">
        <v>506</v>
      </c>
      <c r="E65" s="36">
        <v>4212.7368999999999</v>
      </c>
      <c r="F65" s="36">
        <v>3967.4378999999999</v>
      </c>
      <c r="G65" s="36" t="e">
        <f ca="1">_xll.BDP($B65,G$2,"EQY_FUND_YEAR=2016")</f>
        <v>#NAME?</v>
      </c>
      <c r="H65" s="36">
        <v>2454.6930000000002</v>
      </c>
      <c r="I65" s="36">
        <v>2523.6790000000001</v>
      </c>
      <c r="J65" s="36">
        <f t="shared" si="6"/>
        <v>1.6162664333177303</v>
      </c>
      <c r="K65" s="36">
        <f t="shared" si="7"/>
        <v>1.5720849997166835</v>
      </c>
      <c r="L65" s="44">
        <v>2.8103718061688321E-2</v>
      </c>
      <c r="M65" s="36">
        <v>618.02799414062497</v>
      </c>
      <c r="N65" s="36">
        <v>24.150000000000002</v>
      </c>
      <c r="O65" s="94">
        <f t="shared" si="0"/>
        <v>0.25177404838023532</v>
      </c>
      <c r="P65" s="36">
        <v>0</v>
      </c>
      <c r="Q65" s="36">
        <f t="shared" si="1"/>
        <v>0</v>
      </c>
      <c r="R65" s="36" t="s">
        <v>480</v>
      </c>
      <c r="S65" s="36" t="e">
        <f t="shared" si="2"/>
        <v>#VALUE!</v>
      </c>
      <c r="T65" s="36" t="s">
        <v>480</v>
      </c>
      <c r="U65" s="36" t="e">
        <f t="shared" si="3"/>
        <v>#VALUE!</v>
      </c>
      <c r="V65" s="36">
        <v>376.36900000000003</v>
      </c>
      <c r="W65" s="36">
        <v>350.94</v>
      </c>
      <c r="X65" s="36">
        <f t="shared" si="4"/>
        <v>0.1533263019041485</v>
      </c>
      <c r="Y65" s="36" t="e">
        <f ca="1">_xll.BDP($B65,Y$2,)</f>
        <v>#NAME?</v>
      </c>
      <c r="Z65" s="36" t="e">
        <f ca="1">_xll.BDP($B65,Z$2)</f>
        <v>#NAME?</v>
      </c>
      <c r="AA65" s="36">
        <v>229.65975</v>
      </c>
      <c r="AB65" s="36">
        <v>216.108</v>
      </c>
      <c r="AC65" s="92">
        <f t="shared" si="8"/>
        <v>9.3559459370275627E-2</v>
      </c>
    </row>
    <row r="66" spans="1:29" x14ac:dyDescent="0.2">
      <c r="A66" s="1" t="s">
        <v>153</v>
      </c>
      <c r="B66" s="1" t="s">
        <v>153</v>
      </c>
      <c r="C66" s="1" t="s">
        <v>154</v>
      </c>
      <c r="D66" s="36" t="s">
        <v>495</v>
      </c>
      <c r="E66" s="36">
        <v>4064.9578000000001</v>
      </c>
      <c r="F66" s="36">
        <v>4064.2968000000001</v>
      </c>
      <c r="G66" s="36" t="e">
        <f ca="1">_xll.BDP($B66,G$2,"EQY_FUND_YEAR=2016")</f>
        <v>#NAME?</v>
      </c>
      <c r="H66" s="36">
        <v>1130.17</v>
      </c>
      <c r="I66" s="36">
        <v>1221.8890000000001</v>
      </c>
      <c r="J66" s="36">
        <f t="shared" si="6"/>
        <v>3.5961818133555128</v>
      </c>
      <c r="K66" s="36">
        <f t="shared" si="7"/>
        <v>3.3262405995961988</v>
      </c>
      <c r="L66" s="44">
        <v>8.1155047470734543E-2</v>
      </c>
      <c r="M66" s="36">
        <v>883.36700305175782</v>
      </c>
      <c r="N66" s="36">
        <v>82.8</v>
      </c>
      <c r="O66" s="94">
        <f t="shared" si="0"/>
        <v>0.78162312134613177</v>
      </c>
      <c r="P66" s="36">
        <v>156.73099999999999</v>
      </c>
      <c r="Q66" s="36">
        <f t="shared" si="1"/>
        <v>0.13867913676703503</v>
      </c>
      <c r="R66" s="36">
        <v>346.96100000000001</v>
      </c>
      <c r="S66" s="36">
        <f t="shared" si="2"/>
        <v>0.30699894706106162</v>
      </c>
      <c r="T66" s="36">
        <v>160.36600000000001</v>
      </c>
      <c r="U66" s="36">
        <f t="shared" si="3"/>
        <v>0.1418954670536291</v>
      </c>
      <c r="V66" s="36">
        <v>389.65500000000003</v>
      </c>
      <c r="W66" s="36">
        <v>448.25</v>
      </c>
      <c r="X66" s="36">
        <f t="shared" si="4"/>
        <v>0.34477556473804827</v>
      </c>
      <c r="Y66" s="36" t="e">
        <f ca="1">_xll.BDP($B66,Y$2,)</f>
        <v>#NAME?</v>
      </c>
      <c r="Z66" s="36" t="e">
        <f ca="1">_xll.BDP($B66,Z$2)</f>
        <v>#NAME?</v>
      </c>
      <c r="AA66" s="36">
        <v>85.247472264912005</v>
      </c>
      <c r="AB66" s="36">
        <v>282.01300000000003</v>
      </c>
      <c r="AC66" s="92">
        <f t="shared" si="8"/>
        <v>7.5428893232798611E-2</v>
      </c>
    </row>
    <row r="67" spans="1:29" x14ac:dyDescent="0.2">
      <c r="A67" s="1" t="s">
        <v>155</v>
      </c>
      <c r="B67" s="1" t="s">
        <v>155</v>
      </c>
      <c r="C67" s="1" t="s">
        <v>156</v>
      </c>
      <c r="D67" s="36" t="s">
        <v>495</v>
      </c>
      <c r="E67" s="36">
        <v>3530.201</v>
      </c>
      <c r="F67" s="36">
        <v>3256.0626999999999</v>
      </c>
      <c r="G67" s="36" t="e">
        <f ca="1">_xll.BDP($B67,G$2,"EQY_FUND_YEAR=2016")</f>
        <v>#NAME?</v>
      </c>
      <c r="H67" s="36">
        <v>219.095</v>
      </c>
      <c r="I67" s="36">
        <v>265.79300000000001</v>
      </c>
      <c r="J67" s="36">
        <f t="shared" si="6"/>
        <v>14.861419475569958</v>
      </c>
      <c r="K67" s="36">
        <f t="shared" si="7"/>
        <v>12.250370401026363</v>
      </c>
      <c r="L67" s="44">
        <v>0.21314041853990284</v>
      </c>
      <c r="M67" s="36">
        <v>150.86900170898437</v>
      </c>
      <c r="N67" s="36">
        <v>71.73</v>
      </c>
      <c r="O67" s="94">
        <f t="shared" si="0"/>
        <v>0.68860084305431146</v>
      </c>
      <c r="P67" s="36">
        <v>44.536000000000001</v>
      </c>
      <c r="Q67" s="36">
        <f t="shared" si="1"/>
        <v>0.20327255300212238</v>
      </c>
      <c r="R67" s="36">
        <v>88.721999999999994</v>
      </c>
      <c r="S67" s="36">
        <f t="shared" si="2"/>
        <v>0.40494762545927565</v>
      </c>
      <c r="T67" s="36">
        <v>38.578000000000003</v>
      </c>
      <c r="U67" s="36">
        <f t="shared" si="3"/>
        <v>0.17607886989662019</v>
      </c>
      <c r="V67" s="36">
        <v>-34.963000000000001</v>
      </c>
      <c r="W67" s="36">
        <v>4.0910000000000002</v>
      </c>
      <c r="X67" s="36">
        <f t="shared" si="4"/>
        <v>-0.15957917798215387</v>
      </c>
      <c r="Y67" s="36" t="e">
        <f ca="1">_xll.BDP($B67,Y$2,)</f>
        <v>#NAME?</v>
      </c>
      <c r="Z67" s="36" t="e">
        <f ca="1">_xll.BDP($B67,Z$2)</f>
        <v>#NAME?</v>
      </c>
      <c r="AA67" s="36">
        <v>-49.332999999999998</v>
      </c>
      <c r="AB67" s="36">
        <v>-6.7450000000000001</v>
      </c>
      <c r="AC67" s="92">
        <f t="shared" si="8"/>
        <v>-0.22516716492845568</v>
      </c>
    </row>
    <row r="68" spans="1:29" x14ac:dyDescent="0.2">
      <c r="A68" s="1" t="s">
        <v>157</v>
      </c>
      <c r="B68" s="1" t="s">
        <v>157</v>
      </c>
      <c r="C68" s="1" t="s">
        <v>158</v>
      </c>
      <c r="D68" s="36" t="s">
        <v>495</v>
      </c>
      <c r="E68" s="36">
        <v>3622.2921999999999</v>
      </c>
      <c r="F68" s="36">
        <v>4272.2191999999995</v>
      </c>
      <c r="G68" s="36" t="e">
        <f ca="1">_xll.BDP($B68,G$2,"EQY_FUND_YEAR=2016")</f>
        <v>#NAME?</v>
      </c>
      <c r="H68" s="36">
        <v>1158.5079999999998</v>
      </c>
      <c r="I68" s="36">
        <v>1252.3330000000001</v>
      </c>
      <c r="J68" s="36">
        <f t="shared" si="6"/>
        <v>3.6876907194425934</v>
      </c>
      <c r="K68" s="36">
        <f t="shared" si="7"/>
        <v>3.4114083075348165</v>
      </c>
      <c r="L68" s="44">
        <v>8.0987787740784078E-2</v>
      </c>
      <c r="M68" s="36">
        <v>974.26899780273436</v>
      </c>
      <c r="N68" s="36">
        <v>83.78</v>
      </c>
      <c r="O68" s="94">
        <f t="shared" ref="O68:O131" si="9">M68/H68</f>
        <v>0.84096872684757851</v>
      </c>
      <c r="P68" s="36">
        <v>46.003999999999998</v>
      </c>
      <c r="Q68" s="36">
        <f t="shared" ref="Q68:Q131" si="10">P68/H68</f>
        <v>3.9709695573962374E-2</v>
      </c>
      <c r="R68" s="36">
        <v>330.29599999999999</v>
      </c>
      <c r="S68" s="36">
        <f t="shared" ref="S68:S131" si="11">R68/H68</f>
        <v>0.28510463458172064</v>
      </c>
      <c r="T68" s="36">
        <v>323.517</v>
      </c>
      <c r="U68" s="36">
        <f t="shared" ref="U68:U131" si="12">T68/H68</f>
        <v>0.27925314283544012</v>
      </c>
      <c r="V68" s="36">
        <v>412.85069230769199</v>
      </c>
      <c r="W68" s="36">
        <v>528.46699999999998</v>
      </c>
      <c r="X68" s="36">
        <f t="shared" ref="X68:X131" si="13">V68/H68</f>
        <v>0.35636412722889443</v>
      </c>
      <c r="Y68" s="36" t="e">
        <f ca="1">_xll.BDP($B68,Y$2,)</f>
        <v>#NAME?</v>
      </c>
      <c r="Z68" s="36" t="e">
        <f ca="1">_xll.BDP($B68,Z$2)</f>
        <v>#NAME?</v>
      </c>
      <c r="AA68" s="36">
        <v>150.78399999999999</v>
      </c>
      <c r="AB68" s="36">
        <v>330.483</v>
      </c>
      <c r="AC68" s="92">
        <f t="shared" ref="AC68:AC99" si="14">AA68/H68</f>
        <v>0.1301536113691058</v>
      </c>
    </row>
    <row r="69" spans="1:29" x14ac:dyDescent="0.2">
      <c r="A69" s="1" t="s">
        <v>159</v>
      </c>
      <c r="B69" s="1" t="s">
        <v>159</v>
      </c>
      <c r="C69" s="1" t="s">
        <v>160</v>
      </c>
      <c r="D69" s="36" t="s">
        <v>506</v>
      </c>
      <c r="E69" s="36">
        <v>3592.2889</v>
      </c>
      <c r="F69" s="36">
        <v>5315.9659000000001</v>
      </c>
      <c r="G69" s="36" t="e">
        <f ca="1">_xll.BDP($B69,G$2,"EQY_FUND_YEAR=2016")</f>
        <v>#NAME?</v>
      </c>
      <c r="H69" s="36">
        <v>1870.5889999999999</v>
      </c>
      <c r="I69" s="36">
        <v>1850.3410000000001</v>
      </c>
      <c r="J69" s="36">
        <f t="shared" ref="J69:J132" si="15">F69/H69</f>
        <v>2.8418674011233898</v>
      </c>
      <c r="K69" s="36">
        <f t="shared" ref="K69:K132" si="16">F69/I69</f>
        <v>2.8729655236521268</v>
      </c>
      <c r="L69" s="44">
        <v>-1.0824398090654719E-2</v>
      </c>
      <c r="M69" s="36">
        <v>918.13100402832038</v>
      </c>
      <c r="N69" s="36">
        <v>51.018000000000001</v>
      </c>
      <c r="O69" s="94">
        <f t="shared" si="9"/>
        <v>0.49082454992963198</v>
      </c>
      <c r="P69" s="36">
        <v>0</v>
      </c>
      <c r="Q69" s="36">
        <f t="shared" si="10"/>
        <v>0</v>
      </c>
      <c r="R69" s="36" t="s">
        <v>480</v>
      </c>
      <c r="S69" s="36" t="e">
        <f t="shared" si="11"/>
        <v>#VALUE!</v>
      </c>
      <c r="T69" s="36" t="s">
        <v>480</v>
      </c>
      <c r="U69" s="36" t="e">
        <f t="shared" si="12"/>
        <v>#VALUE!</v>
      </c>
      <c r="V69" s="36">
        <v>460.75</v>
      </c>
      <c r="W69" s="36">
        <v>487.44200000000001</v>
      </c>
      <c r="X69" s="36">
        <f t="shared" si="13"/>
        <v>0.24631279238785217</v>
      </c>
      <c r="Y69" s="36" t="e">
        <f ca="1">_xll.BDP($B69,Y$2,)</f>
        <v>#NAME?</v>
      </c>
      <c r="Z69" s="36" t="e">
        <f ca="1">_xll.BDP($B69,Z$2)</f>
        <v>#NAME?</v>
      </c>
      <c r="AA69" s="36">
        <v>156.14600000000002</v>
      </c>
      <c r="AB69" s="36">
        <v>221.86700000000002</v>
      </c>
      <c r="AC69" s="92">
        <f t="shared" si="14"/>
        <v>8.3474242604869381E-2</v>
      </c>
    </row>
    <row r="70" spans="1:29" x14ac:dyDescent="0.2">
      <c r="A70" s="1" t="s">
        <v>161</v>
      </c>
      <c r="B70" s="1" t="s">
        <v>161</v>
      </c>
      <c r="C70" s="1" t="s">
        <v>162</v>
      </c>
      <c r="D70" s="36" t="s">
        <v>495</v>
      </c>
      <c r="E70" s="36">
        <v>3651.6462000000001</v>
      </c>
      <c r="F70" s="36">
        <v>3162.8121999999998</v>
      </c>
      <c r="G70" s="36" t="e">
        <f ca="1">_xll.BDP($B70,G$2,"EQY_FUND_YEAR=2016")</f>
        <v>#NAME?</v>
      </c>
      <c r="H70" s="36">
        <v>346.63900000000001</v>
      </c>
      <c r="I70" s="36">
        <v>473.83300000000003</v>
      </c>
      <c r="J70" s="36">
        <f t="shared" si="15"/>
        <v>9.1242249141037206</v>
      </c>
      <c r="K70" s="36">
        <f t="shared" si="16"/>
        <v>6.6749513014078792</v>
      </c>
      <c r="L70" s="44">
        <v>0.3669350534706135</v>
      </c>
      <c r="M70" s="36">
        <v>287.72500283813474</v>
      </c>
      <c r="N70" s="36">
        <v>78.55</v>
      </c>
      <c r="O70" s="94">
        <f t="shared" si="9"/>
        <v>0.83004221347896434</v>
      </c>
      <c r="P70" s="36">
        <v>45.925999999999995</v>
      </c>
      <c r="Q70" s="36">
        <f t="shared" si="10"/>
        <v>0.13248941982869786</v>
      </c>
      <c r="R70" s="36">
        <v>150.923</v>
      </c>
      <c r="S70" s="36">
        <f t="shared" si="11"/>
        <v>0.4353895551279573</v>
      </c>
      <c r="T70" s="36">
        <v>62.664999999999999</v>
      </c>
      <c r="U70" s="36">
        <f t="shared" si="12"/>
        <v>0.18077885061980908</v>
      </c>
      <c r="V70" s="36">
        <v>-26.742999999999999</v>
      </c>
      <c r="W70" s="36">
        <v>23.045000000000002</v>
      </c>
      <c r="X70" s="36">
        <f t="shared" si="13"/>
        <v>-7.7149426348448957E-2</v>
      </c>
      <c r="Y70" s="36" t="e">
        <f ca="1">_xll.BDP($B70,Y$2,)</f>
        <v>#NAME?</v>
      </c>
      <c r="Z70" s="36" t="e">
        <f ca="1">_xll.BDP($B70,Z$2)</f>
        <v>#NAME?</v>
      </c>
      <c r="AA70" s="36">
        <v>-47.448000000000008</v>
      </c>
      <c r="AB70" s="36">
        <v>-2.9330000000000003</v>
      </c>
      <c r="AC70" s="92">
        <f t="shared" si="14"/>
        <v>-0.13688015485851276</v>
      </c>
    </row>
    <row r="71" spans="1:29" x14ac:dyDescent="0.2">
      <c r="A71" s="1" t="s">
        <v>163</v>
      </c>
      <c r="B71" s="1" t="s">
        <v>163</v>
      </c>
      <c r="C71" s="1" t="s">
        <v>164</v>
      </c>
      <c r="D71" s="36" t="s">
        <v>495</v>
      </c>
      <c r="E71" s="36">
        <v>3424.6939000000002</v>
      </c>
      <c r="F71" s="36">
        <v>3579.8489</v>
      </c>
      <c r="G71" s="36" t="e">
        <f ca="1">_xll.BDP($B71,G$2,"EQY_FUND_YEAR=2016")</f>
        <v>#NAME?</v>
      </c>
      <c r="H71" s="36">
        <v>833.04499999999996</v>
      </c>
      <c r="I71" s="36">
        <v>871.04500000000007</v>
      </c>
      <c r="J71" s="36">
        <f t="shared" si="15"/>
        <v>4.2973055477195112</v>
      </c>
      <c r="K71" s="36">
        <f t="shared" si="16"/>
        <v>4.1098323278361049</v>
      </c>
      <c r="L71" s="44">
        <v>4.5615783060939163E-2</v>
      </c>
      <c r="M71" s="36">
        <v>461.10500335693359</v>
      </c>
      <c r="N71" s="36">
        <v>61.056000000000004</v>
      </c>
      <c r="O71" s="94">
        <f t="shared" si="9"/>
        <v>0.55351752109061769</v>
      </c>
      <c r="P71" s="36">
        <v>89.911000000000001</v>
      </c>
      <c r="Q71" s="36">
        <f t="shared" si="10"/>
        <v>0.10793054396821301</v>
      </c>
      <c r="R71" s="36">
        <v>173.52500000000001</v>
      </c>
      <c r="S71" s="36">
        <f t="shared" si="11"/>
        <v>0.20830207251709093</v>
      </c>
      <c r="T71" s="36">
        <v>94.87</v>
      </c>
      <c r="U71" s="36">
        <f t="shared" si="12"/>
        <v>0.11388340365766557</v>
      </c>
      <c r="V71" s="36">
        <v>162.346</v>
      </c>
      <c r="W71" s="36">
        <v>184.31399999999999</v>
      </c>
      <c r="X71" s="36">
        <f t="shared" si="13"/>
        <v>0.19488262938976889</v>
      </c>
      <c r="Y71" s="36" t="e">
        <f ca="1">_xll.BDP($B71,Y$2,)</f>
        <v>#NAME?</v>
      </c>
      <c r="Z71" s="36" t="e">
        <f ca="1">_xll.BDP($B71,Z$2)</f>
        <v>#NAME?</v>
      </c>
      <c r="AA71" s="36">
        <v>80.155496400630994</v>
      </c>
      <c r="AB71" s="36">
        <v>118.879</v>
      </c>
      <c r="AC71" s="92">
        <f t="shared" si="14"/>
        <v>9.621988776192282E-2</v>
      </c>
    </row>
    <row r="72" spans="1:29" x14ac:dyDescent="0.2">
      <c r="A72" s="1" t="s">
        <v>165</v>
      </c>
      <c r="B72" s="1" t="s">
        <v>165</v>
      </c>
      <c r="C72" s="1" t="s">
        <v>166</v>
      </c>
      <c r="D72" s="36" t="s">
        <v>505</v>
      </c>
      <c r="E72" s="36">
        <v>3332.6280000000002</v>
      </c>
      <c r="F72" s="36">
        <v>3196.73</v>
      </c>
      <c r="G72" s="36" t="e">
        <f ca="1">_xll.BDP($B72,G$2,"EQY_FUND_YEAR=2016")</f>
        <v>#NAME?</v>
      </c>
      <c r="H72" s="36">
        <v>793.64200000000005</v>
      </c>
      <c r="I72" s="36">
        <v>853.05899999999997</v>
      </c>
      <c r="J72" s="36">
        <f t="shared" si="15"/>
        <v>4.0279244294026775</v>
      </c>
      <c r="K72" s="36">
        <f t="shared" si="16"/>
        <v>3.7473726905173033</v>
      </c>
      <c r="L72" s="44">
        <v>7.4866249518044548E-2</v>
      </c>
      <c r="M72" s="36">
        <v>520.84100958251952</v>
      </c>
      <c r="N72" s="36">
        <v>74.894000000000005</v>
      </c>
      <c r="O72" s="94">
        <f t="shared" si="9"/>
        <v>0.65626694351170867</v>
      </c>
      <c r="P72" s="36">
        <v>243.273</v>
      </c>
      <c r="Q72" s="36">
        <f t="shared" si="10"/>
        <v>0.30652737632332966</v>
      </c>
      <c r="R72" s="36">
        <v>371.935</v>
      </c>
      <c r="S72" s="36">
        <f t="shared" si="11"/>
        <v>0.46864329256768161</v>
      </c>
      <c r="T72" s="36">
        <v>125.59699999999999</v>
      </c>
      <c r="U72" s="36">
        <f t="shared" si="12"/>
        <v>0.15825397345402586</v>
      </c>
      <c r="V72" s="36">
        <v>-128.273</v>
      </c>
      <c r="W72" s="36">
        <v>121.242</v>
      </c>
      <c r="X72" s="36">
        <f t="shared" si="13"/>
        <v>-0.1616257708135406</v>
      </c>
      <c r="Y72" s="36" t="e">
        <f ca="1">_xll.BDP($B72,Y$2,)</f>
        <v>#NAME?</v>
      </c>
      <c r="Z72" s="36" t="e">
        <f ca="1">_xll.BDP($B72,Z$2)</f>
        <v>#NAME?</v>
      </c>
      <c r="AA72" s="36">
        <v>-257.473708220025</v>
      </c>
      <c r="AB72" s="36">
        <v>23.024000000000001</v>
      </c>
      <c r="AC72" s="92">
        <f t="shared" si="14"/>
        <v>-0.32442046693600513</v>
      </c>
    </row>
    <row r="73" spans="1:29" x14ac:dyDescent="0.2">
      <c r="A73" s="1" t="s">
        <v>167</v>
      </c>
      <c r="B73" s="1" t="s">
        <v>167</v>
      </c>
      <c r="C73" s="1" t="s">
        <v>168</v>
      </c>
      <c r="D73" s="36" t="s">
        <v>495</v>
      </c>
      <c r="E73" s="36">
        <v>3339.4326000000001</v>
      </c>
      <c r="F73" s="36">
        <v>3202.2395999999999</v>
      </c>
      <c r="G73" s="36" t="e">
        <f ca="1">_xll.BDP($B73,G$2,"EQY_FUND_YEAR=2016")</f>
        <v>#NAME?</v>
      </c>
      <c r="H73" s="36">
        <v>377.52699999999999</v>
      </c>
      <c r="I73" s="36">
        <v>452.61400000000003</v>
      </c>
      <c r="J73" s="36">
        <f t="shared" si="15"/>
        <v>8.482147237151251</v>
      </c>
      <c r="K73" s="36">
        <f t="shared" si="16"/>
        <v>7.0749901682228113</v>
      </c>
      <c r="L73" s="44">
        <v>0.19889173489578238</v>
      </c>
      <c r="M73" s="36">
        <v>228.32999908447266</v>
      </c>
      <c r="N73" s="36">
        <v>66.656999999999996</v>
      </c>
      <c r="O73" s="94">
        <f t="shared" si="9"/>
        <v>0.60480442215913743</v>
      </c>
      <c r="P73" s="36">
        <v>37.644999999999996</v>
      </c>
      <c r="Q73" s="36">
        <f t="shared" si="10"/>
        <v>9.9714722390716423E-2</v>
      </c>
      <c r="R73" s="36">
        <v>95.483999999999995</v>
      </c>
      <c r="S73" s="36">
        <f t="shared" si="11"/>
        <v>0.25291965872639571</v>
      </c>
      <c r="T73" s="36">
        <v>79.251999999999995</v>
      </c>
      <c r="U73" s="36">
        <f t="shared" si="12"/>
        <v>0.20992405841171624</v>
      </c>
      <c r="V73" s="36">
        <v>46.511999999999993</v>
      </c>
      <c r="W73" s="36">
        <v>125.129</v>
      </c>
      <c r="X73" s="36">
        <f t="shared" si="13"/>
        <v>0.12320178424324617</v>
      </c>
      <c r="Y73" s="36" t="e">
        <f ca="1">_xll.BDP($B73,Y$2,)</f>
        <v>#NAME?</v>
      </c>
      <c r="Z73" s="36" t="e">
        <f ca="1">_xll.BDP($B73,Z$2)</f>
        <v>#NAME?</v>
      </c>
      <c r="AA73" s="36">
        <v>3.8283299999999998</v>
      </c>
      <c r="AB73" s="36">
        <v>76.643000000000001</v>
      </c>
      <c r="AC73" s="92">
        <f t="shared" si="14"/>
        <v>1.0140546239076941E-2</v>
      </c>
    </row>
    <row r="74" spans="1:29" x14ac:dyDescent="0.2">
      <c r="A74" s="1" t="s">
        <v>169</v>
      </c>
      <c r="B74" s="1" t="s">
        <v>169</v>
      </c>
      <c r="C74" s="1" t="s">
        <v>170</v>
      </c>
      <c r="D74" s="36" t="s">
        <v>495</v>
      </c>
      <c r="E74" s="36">
        <v>3406.6007</v>
      </c>
      <c r="F74" s="36">
        <v>3692.9135000000001</v>
      </c>
      <c r="G74" s="36" t="e">
        <f ca="1">_xll.BDP($B74,G$2,"EQY_FUND_YEAR=2016")</f>
        <v>#NAME?</v>
      </c>
      <c r="H74" s="36">
        <v>166.82400000000001</v>
      </c>
      <c r="I74" s="36">
        <v>257.7</v>
      </c>
      <c r="J74" s="36">
        <f t="shared" si="15"/>
        <v>22.136584064642975</v>
      </c>
      <c r="K74" s="36">
        <f t="shared" si="16"/>
        <v>14.330281334885527</v>
      </c>
      <c r="L74" s="44">
        <v>0.54474176377499628</v>
      </c>
      <c r="M74" s="36">
        <v>116.99600000000001</v>
      </c>
      <c r="N74" s="36">
        <v>75.674999999999997</v>
      </c>
      <c r="O74" s="94">
        <f t="shared" si="9"/>
        <v>0.70131395962211673</v>
      </c>
      <c r="P74" s="36">
        <v>0</v>
      </c>
      <c r="Q74" s="36">
        <f t="shared" si="10"/>
        <v>0</v>
      </c>
      <c r="R74" s="36">
        <v>103.47799999999999</v>
      </c>
      <c r="S74" s="36">
        <f t="shared" si="11"/>
        <v>0.62028245336402432</v>
      </c>
      <c r="T74" s="36">
        <v>46.970999999999997</v>
      </c>
      <c r="U74" s="36">
        <f t="shared" si="12"/>
        <v>0.28156020716443675</v>
      </c>
      <c r="V74" s="36">
        <v>-66.082999999999998</v>
      </c>
      <c r="W74" s="36">
        <v>-48.283000000000001</v>
      </c>
      <c r="X74" s="36">
        <f t="shared" si="13"/>
        <v>-0.39612405888840929</v>
      </c>
      <c r="Y74" s="36" t="e">
        <f ca="1">_xll.BDP($B74,Y$2,)</f>
        <v>#NAME?</v>
      </c>
      <c r="Z74" s="36" t="e">
        <f ca="1">_xll.BDP($B74,Z$2)</f>
        <v>#NAME?</v>
      </c>
      <c r="AA74" s="36">
        <v>-95.293880000000001</v>
      </c>
      <c r="AB74" s="36">
        <v>-59.25</v>
      </c>
      <c r="AC74" s="92">
        <f t="shared" si="14"/>
        <v>-0.57122404450199005</v>
      </c>
    </row>
    <row r="75" spans="1:29" x14ac:dyDescent="0.2">
      <c r="A75" s="1" t="s">
        <v>171</v>
      </c>
      <c r="B75" s="1" t="s">
        <v>171</v>
      </c>
      <c r="C75" s="1" t="s">
        <v>172</v>
      </c>
      <c r="D75" s="36" t="s">
        <v>495</v>
      </c>
      <c r="E75" s="36">
        <v>2926.9940999999999</v>
      </c>
      <c r="F75" s="36">
        <v>2833.0971</v>
      </c>
      <c r="G75" s="36" t="e">
        <f ca="1">_xll.BDP($B75,G$2,"EQY_FUND_YEAR=2016")</f>
        <v>#NAME?</v>
      </c>
      <c r="H75" s="36">
        <v>558.87699999999995</v>
      </c>
      <c r="I75" s="36">
        <v>561.4</v>
      </c>
      <c r="J75" s="36">
        <f t="shared" si="15"/>
        <v>5.0692676563895098</v>
      </c>
      <c r="K75" s="36">
        <f t="shared" si="16"/>
        <v>5.0464857499109375</v>
      </c>
      <c r="L75" s="44">
        <v>4.5144101474923204E-3</v>
      </c>
      <c r="M75" s="36">
        <v>322.08900360107418</v>
      </c>
      <c r="N75" s="36">
        <v>56.7</v>
      </c>
      <c r="O75" s="94">
        <f t="shared" si="9"/>
        <v>0.57631465170524854</v>
      </c>
      <c r="P75" s="36">
        <v>57.704000000000001</v>
      </c>
      <c r="Q75" s="36">
        <f t="shared" si="10"/>
        <v>0.10324991008755058</v>
      </c>
      <c r="R75" s="36">
        <v>47.481999999999999</v>
      </c>
      <c r="S75" s="36">
        <f t="shared" si="11"/>
        <v>8.4959660175673718E-2</v>
      </c>
      <c r="T75" s="36">
        <v>46.054000000000002</v>
      </c>
      <c r="U75" s="36">
        <f t="shared" si="12"/>
        <v>8.2404536239637713E-2</v>
      </c>
      <c r="V75" s="36">
        <v>152.07</v>
      </c>
      <c r="W75" s="36">
        <v>131.92500000000001</v>
      </c>
      <c r="X75" s="36">
        <f t="shared" si="13"/>
        <v>0.27209922755812105</v>
      </c>
      <c r="Y75" s="36" t="e">
        <f ca="1">_xll.BDP($B75,Y$2,)</f>
        <v>#NAME?</v>
      </c>
      <c r="Z75" s="36" t="e">
        <f ca="1">_xll.BDP($B75,Z$2)</f>
        <v>#NAME?</v>
      </c>
      <c r="AA75" s="36">
        <v>105.80647999999999</v>
      </c>
      <c r="AB75" s="36">
        <v>94.12</v>
      </c>
      <c r="AC75" s="92">
        <f t="shared" si="14"/>
        <v>0.18931979666366661</v>
      </c>
    </row>
    <row r="76" spans="1:29" x14ac:dyDescent="0.2">
      <c r="A76" s="1" t="s">
        <v>173</v>
      </c>
      <c r="B76" s="1" t="s">
        <v>173</v>
      </c>
      <c r="C76" s="1" t="s">
        <v>174</v>
      </c>
      <c r="D76" s="36" t="s">
        <v>505</v>
      </c>
      <c r="E76" s="36">
        <v>2917.6007</v>
      </c>
      <c r="F76" s="36">
        <v>2532.3746999999998</v>
      </c>
      <c r="G76" s="36" t="e">
        <f ca="1">_xll.BDP($B76,G$2,"EQY_FUND_YEAR=2016")</f>
        <v>#NAME?</v>
      </c>
      <c r="H76" s="36">
        <v>255.43600000000001</v>
      </c>
      <c r="I76" s="36">
        <v>303.84500000000003</v>
      </c>
      <c r="J76" s="36">
        <f t="shared" si="15"/>
        <v>9.9139302995662302</v>
      </c>
      <c r="K76" s="36">
        <f t="shared" si="16"/>
        <v>8.3344293965673266</v>
      </c>
      <c r="L76" s="44">
        <v>0.18951518188509064</v>
      </c>
      <c r="M76" s="36">
        <v>196.15400054931641</v>
      </c>
      <c r="N76" s="36">
        <v>78.582000000000008</v>
      </c>
      <c r="O76" s="94">
        <f t="shared" si="9"/>
        <v>0.76791838483736197</v>
      </c>
      <c r="P76" s="36">
        <v>42.815999999999995</v>
      </c>
      <c r="Q76" s="36">
        <f t="shared" si="10"/>
        <v>0.16761928623999747</v>
      </c>
      <c r="R76" s="36">
        <v>63.854999999999997</v>
      </c>
      <c r="S76" s="36">
        <f t="shared" si="11"/>
        <v>0.24998434050016441</v>
      </c>
      <c r="T76" s="36">
        <v>35.334000000000003</v>
      </c>
      <c r="U76" s="36">
        <f t="shared" si="12"/>
        <v>0.13832819179755398</v>
      </c>
      <c r="V76" s="36">
        <v>67.129000000000005</v>
      </c>
      <c r="W76" s="36">
        <v>109.622</v>
      </c>
      <c r="X76" s="36">
        <f t="shared" si="13"/>
        <v>0.2628016411155828</v>
      </c>
      <c r="Y76" s="36" t="e">
        <f ca="1">_xll.BDP($B76,Y$2,)</f>
        <v>#NAME?</v>
      </c>
      <c r="Z76" s="36" t="e">
        <f ca="1">_xll.BDP($B76,Z$2)</f>
        <v>#NAME?</v>
      </c>
      <c r="AA76" s="36">
        <v>42.557038674647998</v>
      </c>
      <c r="AB76" s="36">
        <v>67.052999999999997</v>
      </c>
      <c r="AC76" s="92">
        <f t="shared" si="14"/>
        <v>0.166605485032055</v>
      </c>
    </row>
    <row r="77" spans="1:29" x14ac:dyDescent="0.2">
      <c r="A77" s="1" t="s">
        <v>175</v>
      </c>
      <c r="B77" s="1" t="s">
        <v>175</v>
      </c>
      <c r="C77" s="1" t="s">
        <v>176</v>
      </c>
      <c r="D77" s="36" t="s">
        <v>495</v>
      </c>
      <c r="E77" s="36">
        <v>2921.7831000000001</v>
      </c>
      <c r="F77" s="36">
        <v>3540.5491000000002</v>
      </c>
      <c r="G77" s="36" t="e">
        <f ca="1">_xll.BDP($B77,G$2,"EQY_FUND_YEAR=2016")</f>
        <v>#NAME?</v>
      </c>
      <c r="H77" s="36">
        <v>996.43500000000006</v>
      </c>
      <c r="I77" s="36">
        <v>1060</v>
      </c>
      <c r="J77" s="36">
        <f t="shared" si="15"/>
        <v>3.553216316167136</v>
      </c>
      <c r="K77" s="36">
        <f t="shared" si="16"/>
        <v>3.3401406603773585</v>
      </c>
      <c r="L77" s="44">
        <v>6.3792419977218628E-2</v>
      </c>
      <c r="M77" s="36">
        <v>549.45199468994144</v>
      </c>
      <c r="N77" s="36">
        <v>53.332999999999998</v>
      </c>
      <c r="O77" s="94">
        <f t="shared" si="9"/>
        <v>0.55141779914388933</v>
      </c>
      <c r="P77" s="36">
        <v>136.92099999999999</v>
      </c>
      <c r="Q77" s="36">
        <f t="shared" si="10"/>
        <v>0.13741086975066108</v>
      </c>
      <c r="R77" s="36">
        <v>107.88500000000001</v>
      </c>
      <c r="S77" s="36">
        <f t="shared" si="11"/>
        <v>0.10827098606532287</v>
      </c>
      <c r="T77" s="36">
        <v>153.03200000000001</v>
      </c>
      <c r="U77" s="36">
        <f t="shared" si="12"/>
        <v>0.15357951095656014</v>
      </c>
      <c r="V77" s="36">
        <v>214.69400000000002</v>
      </c>
      <c r="W77" s="36">
        <v>279.60000000000002</v>
      </c>
      <c r="X77" s="36">
        <f t="shared" si="13"/>
        <v>0.21546212246659341</v>
      </c>
      <c r="Y77" s="36" t="e">
        <f ca="1">_xll.BDP($B77,Y$2,)</f>
        <v>#NAME?</v>
      </c>
      <c r="Z77" s="36" t="e">
        <f ca="1">_xll.BDP($B77,Z$2)</f>
        <v>#NAME?</v>
      </c>
      <c r="AA77" s="36">
        <v>48.026550000000007</v>
      </c>
      <c r="AB77" s="36">
        <v>108.74000000000001</v>
      </c>
      <c r="AC77" s="92">
        <f t="shared" si="14"/>
        <v>4.819837721477066E-2</v>
      </c>
    </row>
    <row r="78" spans="1:29" x14ac:dyDescent="0.2">
      <c r="A78" s="1" t="s">
        <v>177</v>
      </c>
      <c r="B78" s="1" t="s">
        <v>177</v>
      </c>
      <c r="C78" s="1" t="s">
        <v>178</v>
      </c>
      <c r="D78" s="36" t="s">
        <v>495</v>
      </c>
      <c r="E78" s="36">
        <v>2940.2168000000001</v>
      </c>
      <c r="F78" s="36">
        <v>3342.4558000000002</v>
      </c>
      <c r="G78" s="36" t="e">
        <f ca="1">_xll.BDP($B78,G$2,"EQY_FUND_YEAR=2016")</f>
        <v>#NAME?</v>
      </c>
      <c r="H78" s="36">
        <v>1198.9859999999999</v>
      </c>
      <c r="I78" s="36">
        <v>1271.2</v>
      </c>
      <c r="J78" s="36">
        <f t="shared" si="15"/>
        <v>2.7877354698053192</v>
      </c>
      <c r="K78" s="36">
        <f t="shared" si="16"/>
        <v>2.6293705160478287</v>
      </c>
      <c r="L78" s="44">
        <v>6.0229227030174082E-2</v>
      </c>
      <c r="M78" s="36">
        <v>770.49898681640627</v>
      </c>
      <c r="N78" s="36">
        <v>65.567000000000007</v>
      </c>
      <c r="O78" s="94">
        <f t="shared" si="9"/>
        <v>0.64262550756756653</v>
      </c>
      <c r="P78" s="36">
        <v>190.643</v>
      </c>
      <c r="Q78" s="36">
        <f t="shared" si="10"/>
        <v>0.15900352464499171</v>
      </c>
      <c r="R78" s="36" t="s">
        <v>480</v>
      </c>
      <c r="S78" s="36" t="e">
        <f t="shared" si="11"/>
        <v>#VALUE!</v>
      </c>
      <c r="T78" s="36" t="s">
        <v>480</v>
      </c>
      <c r="U78" s="36" t="e">
        <f t="shared" si="12"/>
        <v>#VALUE!</v>
      </c>
      <c r="V78" s="36">
        <v>212.02799999999999</v>
      </c>
      <c r="W78" s="36">
        <v>291.33300000000003</v>
      </c>
      <c r="X78" s="36">
        <f t="shared" si="13"/>
        <v>0.17683942931777352</v>
      </c>
      <c r="Y78" s="36" t="e">
        <f ca="1">_xll.BDP($B78,Y$2,)</f>
        <v>#NAME?</v>
      </c>
      <c r="Z78" s="36" t="e">
        <f ca="1">_xll.BDP($B78,Z$2)</f>
        <v>#NAME?</v>
      </c>
      <c r="AA78" s="36">
        <v>54.014695631445996</v>
      </c>
      <c r="AB78" s="36">
        <v>213.55</v>
      </c>
      <c r="AC78" s="92">
        <f t="shared" si="14"/>
        <v>4.5050313874762507E-2</v>
      </c>
    </row>
    <row r="79" spans="1:29" x14ac:dyDescent="0.2">
      <c r="A79" s="1" t="s">
        <v>179</v>
      </c>
      <c r="B79" s="1" t="s">
        <v>179</v>
      </c>
      <c r="C79" s="1" t="s">
        <v>180</v>
      </c>
      <c r="D79" s="36" t="s">
        <v>495</v>
      </c>
      <c r="E79" s="36">
        <v>2813.1309000000001</v>
      </c>
      <c r="F79" s="36">
        <v>2710.8598999999999</v>
      </c>
      <c r="G79" s="36" t="e">
        <f ca="1">_xll.BDP($B79,G$2,"EQY_FUND_YEAR=2016")</f>
        <v>#NAME?</v>
      </c>
      <c r="H79" s="36">
        <v>519.38200000000006</v>
      </c>
      <c r="I79" s="36">
        <v>532.57500000000005</v>
      </c>
      <c r="J79" s="36">
        <f t="shared" si="15"/>
        <v>5.2193951657931921</v>
      </c>
      <c r="K79" s="36">
        <f t="shared" si="16"/>
        <v>5.0900997981504945</v>
      </c>
      <c r="L79" s="44">
        <v>2.540134236457936E-2</v>
      </c>
      <c r="M79" s="36">
        <v>372.4000010986328</v>
      </c>
      <c r="N79" s="36">
        <v>74.260000000000005</v>
      </c>
      <c r="O79" s="94">
        <f t="shared" si="9"/>
        <v>0.71700598229941115</v>
      </c>
      <c r="P79" s="36">
        <v>61.974999999999994</v>
      </c>
      <c r="Q79" s="36">
        <f t="shared" si="10"/>
        <v>0.11932450489235281</v>
      </c>
      <c r="R79" s="36">
        <v>240.27099999999999</v>
      </c>
      <c r="S79" s="36">
        <f t="shared" si="11"/>
        <v>0.46260940887439295</v>
      </c>
      <c r="T79" s="36">
        <v>84.588999999999999</v>
      </c>
      <c r="U79" s="36">
        <f t="shared" si="12"/>
        <v>0.16286471229268629</v>
      </c>
      <c r="V79" s="36">
        <v>15.740000000000002</v>
      </c>
      <c r="W79" s="36">
        <v>115.2</v>
      </c>
      <c r="X79" s="36">
        <f t="shared" si="13"/>
        <v>3.0305247390167545E-2</v>
      </c>
      <c r="Y79" s="36" t="e">
        <f ca="1">_xll.BDP($B79,Y$2,)</f>
        <v>#NAME?</v>
      </c>
      <c r="Z79" s="36" t="e">
        <f ca="1">_xll.BDP($B79,Z$2)</f>
        <v>#NAME?</v>
      </c>
      <c r="AA79" s="36">
        <v>-40.478999999999999</v>
      </c>
      <c r="AB79" s="36">
        <v>56.395000000000003</v>
      </c>
      <c r="AC79" s="92">
        <f t="shared" si="14"/>
        <v>-7.793685572468817E-2</v>
      </c>
    </row>
    <row r="80" spans="1:29" x14ac:dyDescent="0.2">
      <c r="A80" s="1" t="s">
        <v>181</v>
      </c>
      <c r="B80" s="1" t="s">
        <v>181</v>
      </c>
      <c r="C80" s="1" t="s">
        <v>182</v>
      </c>
      <c r="D80" s="36" t="s">
        <v>495</v>
      </c>
      <c r="E80" s="36">
        <v>2765.9047</v>
      </c>
      <c r="F80" s="36">
        <v>2781.2797</v>
      </c>
      <c r="G80" s="36" t="e">
        <f ca="1">_xll.BDP($B80,G$2,"EQY_FUND_YEAR=2016")</f>
        <v>#NAME?</v>
      </c>
      <c r="H80" s="36">
        <v>394.09599999999995</v>
      </c>
      <c r="I80" s="36">
        <v>427.56700000000001</v>
      </c>
      <c r="J80" s="36">
        <f t="shared" si="15"/>
        <v>7.0573659717429269</v>
      </c>
      <c r="K80" s="36">
        <f t="shared" si="16"/>
        <v>6.5048979458190175</v>
      </c>
      <c r="L80" s="44">
        <v>8.4931082781860345E-2</v>
      </c>
      <c r="M80" s="36">
        <v>220.96600073242186</v>
      </c>
      <c r="N80" s="36">
        <v>57.550000000000004</v>
      </c>
      <c r="O80" s="94">
        <f t="shared" si="9"/>
        <v>0.56069079800967758</v>
      </c>
      <c r="P80" s="36">
        <v>57.309999999999995</v>
      </c>
      <c r="Q80" s="36">
        <f t="shared" si="10"/>
        <v>0.14542142016158499</v>
      </c>
      <c r="R80" s="36">
        <v>85.912000000000006</v>
      </c>
      <c r="S80" s="36">
        <f t="shared" si="11"/>
        <v>0.2179976452437985</v>
      </c>
      <c r="T80" s="36">
        <v>49.837000000000003</v>
      </c>
      <c r="U80" s="36">
        <f t="shared" si="12"/>
        <v>0.12645903536194231</v>
      </c>
      <c r="V80" s="36">
        <v>54.477999999999994</v>
      </c>
      <c r="W80" s="36">
        <v>103.52500000000001</v>
      </c>
      <c r="X80" s="36">
        <f t="shared" si="13"/>
        <v>0.13823535382241892</v>
      </c>
      <c r="Y80" s="36" t="e">
        <f ca="1">_xll.BDP($B80,Y$2,)</f>
        <v>#NAME?</v>
      </c>
      <c r="Z80" s="36" t="e">
        <f ca="1">_xll.BDP($B80,Z$2)</f>
        <v>#NAME?</v>
      </c>
      <c r="AA80" s="36">
        <v>4.2689791113369981</v>
      </c>
      <c r="AB80" s="36">
        <v>61.438000000000002</v>
      </c>
      <c r="AC80" s="92">
        <f t="shared" si="14"/>
        <v>1.0832333013623581E-2</v>
      </c>
    </row>
    <row r="81" spans="1:29" x14ac:dyDescent="0.2">
      <c r="A81" s="1" t="s">
        <v>183</v>
      </c>
      <c r="B81" s="1" t="s">
        <v>183</v>
      </c>
      <c r="C81" s="1" t="s">
        <v>184</v>
      </c>
      <c r="D81" s="36" t="s">
        <v>495</v>
      </c>
      <c r="E81" s="36">
        <v>2781.9353000000001</v>
      </c>
      <c r="F81" s="36">
        <v>2538.9832999999999</v>
      </c>
      <c r="G81" s="36" t="e">
        <f ca="1">_xll.BDP($B81,G$2,"EQY_FUND_YEAR=2016")</f>
        <v>#NAME?</v>
      </c>
      <c r="H81" s="36">
        <v>462.851</v>
      </c>
      <c r="I81" s="36">
        <v>534.75</v>
      </c>
      <c r="J81" s="36">
        <f t="shared" si="15"/>
        <v>5.4855305487078994</v>
      </c>
      <c r="K81" s="36">
        <f t="shared" si="16"/>
        <v>4.7479818606825619</v>
      </c>
      <c r="L81" s="44">
        <v>0.15533940728225715</v>
      </c>
      <c r="M81" s="36">
        <v>273.98900335693361</v>
      </c>
      <c r="N81" s="36">
        <v>59.332999999999998</v>
      </c>
      <c r="O81" s="94">
        <f t="shared" si="9"/>
        <v>0.59195940671389624</v>
      </c>
      <c r="P81" s="36">
        <v>69.265999999999991</v>
      </c>
      <c r="Q81" s="36">
        <f t="shared" si="10"/>
        <v>0.14965075153775187</v>
      </c>
      <c r="R81" s="36">
        <v>65.042000000000002</v>
      </c>
      <c r="S81" s="36">
        <f t="shared" si="11"/>
        <v>0.14052470449453497</v>
      </c>
      <c r="T81" s="36">
        <v>79.686000000000007</v>
      </c>
      <c r="U81" s="36">
        <f t="shared" si="12"/>
        <v>0.17216339599568761</v>
      </c>
      <c r="V81" s="36">
        <v>85.867999999999995</v>
      </c>
      <c r="W81" s="36">
        <v>150.49700000000001</v>
      </c>
      <c r="X81" s="36">
        <f t="shared" si="13"/>
        <v>0.1855197460953957</v>
      </c>
      <c r="Y81" s="36" t="e">
        <f ca="1">_xll.BDP($B81,Y$2,)</f>
        <v>#NAME?</v>
      </c>
      <c r="Z81" s="36" t="e">
        <f ca="1">_xll.BDP($B81,Z$2)</f>
        <v>#NAME?</v>
      </c>
      <c r="AA81" s="36">
        <v>19.337490000000003</v>
      </c>
      <c r="AB81" s="36">
        <v>76.745000000000005</v>
      </c>
      <c r="AC81" s="92">
        <f t="shared" si="14"/>
        <v>4.177908225325213E-2</v>
      </c>
    </row>
    <row r="82" spans="1:29" x14ac:dyDescent="0.2">
      <c r="A82" s="1" t="s">
        <v>185</v>
      </c>
      <c r="B82" s="1" t="s">
        <v>185</v>
      </c>
      <c r="C82" s="1" t="s">
        <v>186</v>
      </c>
      <c r="D82" s="36" t="s">
        <v>495</v>
      </c>
      <c r="E82" s="36">
        <v>2694.8279000000002</v>
      </c>
      <c r="F82" s="36">
        <v>2584.7898</v>
      </c>
      <c r="G82" s="36" t="e">
        <f ca="1">_xll.BDP($B82,G$2,"EQY_FUND_YEAR=2016")</f>
        <v>#NAME?</v>
      </c>
      <c r="H82" s="36">
        <v>554.70800000000008</v>
      </c>
      <c r="I82" s="36">
        <v>668.68299999999999</v>
      </c>
      <c r="J82" s="36">
        <f t="shared" si="15"/>
        <v>4.6597305248887695</v>
      </c>
      <c r="K82" s="36">
        <f t="shared" si="16"/>
        <v>3.8654935148642928</v>
      </c>
      <c r="L82" s="44">
        <v>0.20546846268667451</v>
      </c>
      <c r="M82" s="36">
        <v>403.28800524902346</v>
      </c>
      <c r="N82" s="36">
        <v>73.040000000000006</v>
      </c>
      <c r="O82" s="94">
        <f t="shared" si="9"/>
        <v>0.72702756269789404</v>
      </c>
      <c r="P82" s="36">
        <v>136.791</v>
      </c>
      <c r="Q82" s="36">
        <f t="shared" si="10"/>
        <v>0.24660001297980194</v>
      </c>
      <c r="R82" s="36">
        <v>303.31900000000002</v>
      </c>
      <c r="S82" s="36">
        <f t="shared" si="11"/>
        <v>0.54680841091168686</v>
      </c>
      <c r="T82" s="36">
        <v>84.805000000000007</v>
      </c>
      <c r="U82" s="36">
        <f t="shared" si="12"/>
        <v>0.15288223714098229</v>
      </c>
      <c r="V82" s="36">
        <v>-104.10600000000001</v>
      </c>
      <c r="W82" s="36">
        <v>37.133000000000003</v>
      </c>
      <c r="X82" s="36">
        <f t="shared" si="13"/>
        <v>-0.18767712021459937</v>
      </c>
      <c r="Y82" s="36" t="e">
        <f ca="1">_xll.BDP($B82,Y$2,)</f>
        <v>#NAME?</v>
      </c>
      <c r="Z82" s="36" t="e">
        <f ca="1">_xll.BDP($B82,Z$2)</f>
        <v>#NAME?</v>
      </c>
      <c r="AA82" s="36">
        <v>-150.31100000000001</v>
      </c>
      <c r="AB82" s="36">
        <v>-2.8890000000000002</v>
      </c>
      <c r="AC82" s="92">
        <f t="shared" si="14"/>
        <v>-0.27097319670889908</v>
      </c>
    </row>
    <row r="83" spans="1:29" x14ac:dyDescent="0.2">
      <c r="A83" s="1" t="s">
        <v>187</v>
      </c>
      <c r="B83" s="1" t="s">
        <v>187</v>
      </c>
      <c r="C83" s="1" t="s">
        <v>188</v>
      </c>
      <c r="D83" s="36" t="s">
        <v>505</v>
      </c>
      <c r="E83" s="36">
        <v>2707.2824000000001</v>
      </c>
      <c r="F83" s="36">
        <v>2961.8824</v>
      </c>
      <c r="G83" s="36" t="e">
        <f ca="1">_xll.BDP($B83,G$2,"EQY_FUND_YEAR=2016")</f>
        <v>#NAME?</v>
      </c>
      <c r="H83" s="36">
        <v>187.727</v>
      </c>
      <c r="I83" s="36">
        <v>294.17700000000002</v>
      </c>
      <c r="J83" s="36">
        <f t="shared" si="15"/>
        <v>15.777604713227186</v>
      </c>
      <c r="K83" s="36">
        <f t="shared" si="16"/>
        <v>10.068368363264293</v>
      </c>
      <c r="L83" s="44">
        <v>0.56704682863946054</v>
      </c>
      <c r="M83" s="36">
        <v>162.13900000000001</v>
      </c>
      <c r="N83" s="36">
        <v>82.54</v>
      </c>
      <c r="O83" s="94">
        <f t="shared" si="9"/>
        <v>0.86369568575644429</v>
      </c>
      <c r="P83" s="36">
        <v>57.672999999999995</v>
      </c>
      <c r="Q83" s="36">
        <f t="shared" si="10"/>
        <v>0.30721739547321375</v>
      </c>
      <c r="R83" s="36">
        <v>116.29900000000001</v>
      </c>
      <c r="S83" s="36">
        <f t="shared" si="11"/>
        <v>0.61951131163870943</v>
      </c>
      <c r="T83" s="36">
        <v>28.927</v>
      </c>
      <c r="U83" s="36">
        <f t="shared" si="12"/>
        <v>0.15409078076142482</v>
      </c>
      <c r="V83" s="36">
        <v>-36.067999999999998</v>
      </c>
      <c r="W83" s="36">
        <v>-63.645000000000003</v>
      </c>
      <c r="X83" s="36">
        <f t="shared" si="13"/>
        <v>-0.19213006120590004</v>
      </c>
      <c r="Y83" s="36" t="e">
        <f ca="1">_xll.BDP($B83,Y$2,)</f>
        <v>#NAME?</v>
      </c>
      <c r="Z83" s="36" t="e">
        <f ca="1">_xll.BDP($B83,Z$2)</f>
        <v>#NAME?</v>
      </c>
      <c r="AA83" s="36">
        <v>-41.021999999999998</v>
      </c>
      <c r="AB83" s="36">
        <v>-68.793000000000006</v>
      </c>
      <c r="AC83" s="92">
        <f t="shared" si="14"/>
        <v>-0.21851944579096239</v>
      </c>
    </row>
    <row r="84" spans="1:29" x14ac:dyDescent="0.2">
      <c r="A84" s="1" t="s">
        <v>189</v>
      </c>
      <c r="B84" s="1" t="s">
        <v>189</v>
      </c>
      <c r="C84" s="1" t="s">
        <v>190</v>
      </c>
      <c r="D84" s="36" t="s">
        <v>495</v>
      </c>
      <c r="E84" s="36">
        <v>2698.6026999999999</v>
      </c>
      <c r="F84" s="36">
        <v>2363.1176</v>
      </c>
      <c r="G84" s="36" t="e">
        <f ca="1">_xll.BDP($B84,G$2,"EQY_FUND_YEAR=2016")</f>
        <v>#NAME?</v>
      </c>
      <c r="H84" s="36">
        <v>162.35999999999999</v>
      </c>
      <c r="I84" s="36">
        <v>224.28800000000001</v>
      </c>
      <c r="J84" s="36">
        <f t="shared" si="15"/>
        <v>14.554801675289482</v>
      </c>
      <c r="K84" s="36">
        <f t="shared" si="16"/>
        <v>10.536085746896847</v>
      </c>
      <c r="L84" s="44">
        <v>0.3814239960581427</v>
      </c>
      <c r="M84" s="36">
        <v>140.40400271606444</v>
      </c>
      <c r="N84" s="36">
        <v>87.478000000000009</v>
      </c>
      <c r="O84" s="94">
        <f t="shared" si="9"/>
        <v>0.86476966442513215</v>
      </c>
      <c r="P84" s="36">
        <v>29.341999999999999</v>
      </c>
      <c r="Q84" s="36">
        <f t="shared" si="10"/>
        <v>0.1807218526730722</v>
      </c>
      <c r="R84" s="36">
        <v>66.42</v>
      </c>
      <c r="S84" s="36">
        <f t="shared" si="11"/>
        <v>0.40909090909090912</v>
      </c>
      <c r="T84" s="36">
        <v>32.241</v>
      </c>
      <c r="U84" s="36">
        <f t="shared" si="12"/>
        <v>0.19857723577235775</v>
      </c>
      <c r="V84" s="36">
        <v>-13.546000000000001</v>
      </c>
      <c r="W84" s="36">
        <v>-7.2229999999999999</v>
      </c>
      <c r="X84" s="36">
        <f t="shared" si="13"/>
        <v>-8.3431879773343209E-2</v>
      </c>
      <c r="Y84" s="36" t="e">
        <f ca="1">_xll.BDP($B84,Y$2,)</f>
        <v>#NAME?</v>
      </c>
      <c r="Z84" s="36" t="e">
        <f ca="1">_xll.BDP($B84,Z$2)</f>
        <v>#NAME?</v>
      </c>
      <c r="AA84" s="36">
        <v>-19.666589999999999</v>
      </c>
      <c r="AB84" s="36">
        <v>-15.01</v>
      </c>
      <c r="AC84" s="92">
        <f t="shared" si="14"/>
        <v>-0.12112952697708795</v>
      </c>
    </row>
    <row r="85" spans="1:29" x14ac:dyDescent="0.2">
      <c r="A85" s="1" t="s">
        <v>191</v>
      </c>
      <c r="B85" s="1" t="s">
        <v>191</v>
      </c>
      <c r="C85" s="1" t="s">
        <v>192</v>
      </c>
      <c r="D85" s="36" t="s">
        <v>505</v>
      </c>
      <c r="E85" s="36">
        <v>2711.1356000000001</v>
      </c>
      <c r="F85" s="36">
        <v>2249.4695999999999</v>
      </c>
      <c r="G85" s="36" t="e">
        <f ca="1">_xll.BDP($B85,G$2,"EQY_FUND_YEAR=2016")</f>
        <v>#NAME?</v>
      </c>
      <c r="H85" s="36">
        <v>709.59799999999996</v>
      </c>
      <c r="I85" s="36">
        <v>761.19500000000005</v>
      </c>
      <c r="J85" s="36">
        <f t="shared" si="15"/>
        <v>3.1700619223842232</v>
      </c>
      <c r="K85" s="36">
        <f t="shared" si="16"/>
        <v>2.955181786533017</v>
      </c>
      <c r="L85" s="44">
        <v>7.2713000882189682E-2</v>
      </c>
      <c r="M85" s="36">
        <v>605.50099267578128</v>
      </c>
      <c r="N85" s="36">
        <v>84.97</v>
      </c>
      <c r="O85" s="94">
        <f t="shared" si="9"/>
        <v>0.85330143641298495</v>
      </c>
      <c r="P85" s="36">
        <v>94.164000000000001</v>
      </c>
      <c r="Q85" s="36">
        <f t="shared" si="10"/>
        <v>0.13270048675447227</v>
      </c>
      <c r="R85" s="36">
        <v>410.72699999999998</v>
      </c>
      <c r="S85" s="36">
        <f t="shared" si="11"/>
        <v>0.57881645664164783</v>
      </c>
      <c r="T85" s="36">
        <v>87.575000000000003</v>
      </c>
      <c r="U85" s="36">
        <f t="shared" si="12"/>
        <v>0.12341494761822892</v>
      </c>
      <c r="V85" s="36">
        <v>20.122</v>
      </c>
      <c r="W85" s="36">
        <v>127.75</v>
      </c>
      <c r="X85" s="36">
        <f t="shared" si="13"/>
        <v>2.8356900667701995E-2</v>
      </c>
      <c r="Y85" s="36" t="e">
        <f ca="1">_xll.BDP($B85,Y$2,)</f>
        <v>#NAME?</v>
      </c>
      <c r="Z85" s="36" t="e">
        <f ca="1">_xll.BDP($B85,Z$2)</f>
        <v>#NAME?</v>
      </c>
      <c r="AA85" s="36">
        <v>-7.6881895614599998</v>
      </c>
      <c r="AB85" s="36">
        <v>84.094999999999999</v>
      </c>
      <c r="AC85" s="92">
        <f t="shared" si="14"/>
        <v>-1.0834570505356555E-2</v>
      </c>
    </row>
    <row r="86" spans="1:29" x14ac:dyDescent="0.2">
      <c r="A86" s="1" t="s">
        <v>193</v>
      </c>
      <c r="B86" s="1" t="s">
        <v>193</v>
      </c>
      <c r="C86" s="1" t="s">
        <v>194</v>
      </c>
      <c r="D86" s="36" t="s">
        <v>506</v>
      </c>
      <c r="E86" s="36">
        <v>2588.6080999999999</v>
      </c>
      <c r="F86" s="36">
        <v>2665.1181000000001</v>
      </c>
      <c r="G86" s="36" t="e">
        <f ca="1">_xll.BDP($B86,G$2,"EQY_FUND_YEAR=2016")</f>
        <v>#NAME?</v>
      </c>
      <c r="H86" s="36">
        <v>325.887</v>
      </c>
      <c r="I86" s="36">
        <v>515.72500000000002</v>
      </c>
      <c r="J86" s="36">
        <f t="shared" si="15"/>
        <v>8.1780436163455441</v>
      </c>
      <c r="K86" s="36">
        <f t="shared" si="16"/>
        <v>5.1677116680401376</v>
      </c>
      <c r="L86" s="44">
        <v>0.58252707226738099</v>
      </c>
      <c r="M86" s="36">
        <v>236.179</v>
      </c>
      <c r="N86" s="36">
        <v>67.674999999999997</v>
      </c>
      <c r="O86" s="94">
        <f t="shared" si="9"/>
        <v>0.72472666906013439</v>
      </c>
      <c r="P86" s="36">
        <v>0</v>
      </c>
      <c r="Q86" s="36">
        <f t="shared" si="10"/>
        <v>0</v>
      </c>
      <c r="R86" s="36">
        <v>2.198</v>
      </c>
      <c r="S86" s="36">
        <f t="shared" si="11"/>
        <v>6.7446691644649833E-3</v>
      </c>
      <c r="T86" s="36">
        <v>14.875999999999999</v>
      </c>
      <c r="U86" s="36">
        <f t="shared" si="12"/>
        <v>4.5647724518007776E-2</v>
      </c>
      <c r="V86" s="36">
        <v>150.26899999999998</v>
      </c>
      <c r="W86" s="36">
        <v>231.45099999999999</v>
      </c>
      <c r="X86" s="36">
        <f t="shared" si="13"/>
        <v>0.46110768456550882</v>
      </c>
      <c r="Y86" s="36" t="e">
        <f ca="1">_xll.BDP($B86,Y$2,)</f>
        <v>#NAME?</v>
      </c>
      <c r="Z86" s="36" t="e">
        <f ca="1">_xll.BDP($B86,Z$2)</f>
        <v>#NAME?</v>
      </c>
      <c r="AA86" s="36">
        <v>138.66800000000001</v>
      </c>
      <c r="AB86" s="36">
        <v>148.94800000000001</v>
      </c>
      <c r="AC86" s="92">
        <f t="shared" si="14"/>
        <v>0.42550945573158794</v>
      </c>
    </row>
    <row r="87" spans="1:29" x14ac:dyDescent="0.2">
      <c r="A87" s="1" t="s">
        <v>195</v>
      </c>
      <c r="B87" s="1" t="s">
        <v>195</v>
      </c>
      <c r="C87" s="1" t="s">
        <v>196</v>
      </c>
      <c r="D87" s="36" t="s">
        <v>505</v>
      </c>
      <c r="E87" s="36">
        <v>2499.4157</v>
      </c>
      <c r="F87" s="36">
        <v>2121.9027000000001</v>
      </c>
      <c r="G87" s="36" t="e">
        <f ca="1">_xll.BDP($B87,G$2,"EQY_FUND_YEAR=2016")</f>
        <v>#NAME?</v>
      </c>
      <c r="H87" s="36">
        <v>294.68199999999996</v>
      </c>
      <c r="I87" s="36">
        <v>349.25299999999999</v>
      </c>
      <c r="J87" s="36">
        <f t="shared" si="15"/>
        <v>7.2006525678528055</v>
      </c>
      <c r="K87" s="36">
        <f t="shared" si="16"/>
        <v>6.0755460940922488</v>
      </c>
      <c r="L87" s="44">
        <v>0.1851860649785193</v>
      </c>
      <c r="M87" s="36">
        <v>249.10499847412109</v>
      </c>
      <c r="N87" s="36">
        <v>86.929000000000002</v>
      </c>
      <c r="O87" s="94">
        <f t="shared" si="9"/>
        <v>0.84533496607909919</v>
      </c>
      <c r="P87" s="36">
        <v>42.388999999999996</v>
      </c>
      <c r="Q87" s="36">
        <f t="shared" si="10"/>
        <v>0.14384658716854101</v>
      </c>
      <c r="R87" s="36">
        <v>126.739</v>
      </c>
      <c r="S87" s="36">
        <f t="shared" si="11"/>
        <v>0.43008734839589802</v>
      </c>
      <c r="T87" s="36">
        <v>30.399000000000001</v>
      </c>
      <c r="U87" s="36">
        <f t="shared" si="12"/>
        <v>0.10315865916479461</v>
      </c>
      <c r="V87" s="36">
        <v>33.942999999999998</v>
      </c>
      <c r="W87" s="36">
        <v>80.558000000000007</v>
      </c>
      <c r="X87" s="36">
        <f t="shared" si="13"/>
        <v>0.11518518267148996</v>
      </c>
      <c r="Y87" s="36" t="e">
        <f ca="1">_xll.BDP($B87,Y$2,)</f>
        <v>#NAME?</v>
      </c>
      <c r="Z87" s="36" t="e">
        <f ca="1">_xll.BDP($B87,Z$2)</f>
        <v>#NAME?</v>
      </c>
      <c r="AA87" s="36">
        <v>27.055742028858003</v>
      </c>
      <c r="AB87" s="36">
        <v>55.678000000000004</v>
      </c>
      <c r="AC87" s="92">
        <f t="shared" si="14"/>
        <v>9.1813351439375343E-2</v>
      </c>
    </row>
    <row r="88" spans="1:29" x14ac:dyDescent="0.2">
      <c r="A88" s="1" t="s">
        <v>197</v>
      </c>
      <c r="B88" s="1" t="s">
        <v>197</v>
      </c>
      <c r="C88" s="1" t="s">
        <v>198</v>
      </c>
      <c r="D88" s="36" t="s">
        <v>495</v>
      </c>
      <c r="E88" s="36">
        <v>2542.2449000000001</v>
      </c>
      <c r="F88" s="36">
        <v>2344.0949000000001</v>
      </c>
      <c r="G88" s="36" t="e">
        <f ca="1">_xll.BDP($B88,G$2,"EQY_FUND_YEAR=2016")</f>
        <v>#NAME?</v>
      </c>
      <c r="H88" s="36">
        <v>362.10199999999998</v>
      </c>
      <c r="I88" s="36">
        <v>403.58300000000003</v>
      </c>
      <c r="J88" s="36">
        <f t="shared" si="15"/>
        <v>6.473576229902072</v>
      </c>
      <c r="K88" s="36">
        <f t="shared" si="16"/>
        <v>5.8082102070701689</v>
      </c>
      <c r="L88" s="44">
        <v>0.11455611954642619</v>
      </c>
      <c r="M88" s="36">
        <v>250.68500076293947</v>
      </c>
      <c r="N88" s="36">
        <v>70.325000000000003</v>
      </c>
      <c r="O88" s="94">
        <f t="shared" si="9"/>
        <v>0.69230493276187233</v>
      </c>
      <c r="P88" s="36">
        <v>93.233999999999995</v>
      </c>
      <c r="Q88" s="36">
        <f t="shared" si="10"/>
        <v>0.25747993659245183</v>
      </c>
      <c r="R88" s="36">
        <v>79.957999999999998</v>
      </c>
      <c r="S88" s="36">
        <f t="shared" si="11"/>
        <v>0.22081623409978404</v>
      </c>
      <c r="T88" s="36">
        <v>87.978999999999999</v>
      </c>
      <c r="U88" s="36">
        <f t="shared" si="12"/>
        <v>0.24296745116017035</v>
      </c>
      <c r="V88" s="36">
        <v>-3.4740000000000002</v>
      </c>
      <c r="W88" s="36">
        <v>42.646999999999998</v>
      </c>
      <c r="X88" s="36">
        <f t="shared" si="13"/>
        <v>-9.5939818062313938E-3</v>
      </c>
      <c r="Y88" s="36" t="e">
        <f ca="1">_xll.BDP($B88,Y$2,)</f>
        <v>#NAME?</v>
      </c>
      <c r="Z88" s="36" t="e">
        <f ca="1">_xll.BDP($B88,Z$2)</f>
        <v>#NAME?</v>
      </c>
      <c r="AA88" s="36">
        <v>-84.54</v>
      </c>
      <c r="AB88" s="36">
        <v>25.7</v>
      </c>
      <c r="AC88" s="92">
        <f t="shared" si="14"/>
        <v>-0.23347012720172772</v>
      </c>
    </row>
    <row r="89" spans="1:29" x14ac:dyDescent="0.2">
      <c r="A89" s="1" t="s">
        <v>199</v>
      </c>
      <c r="B89" s="1" t="s">
        <v>199</v>
      </c>
      <c r="C89" s="1" t="s">
        <v>200</v>
      </c>
      <c r="D89" s="36" t="s">
        <v>495</v>
      </c>
      <c r="E89" s="36">
        <v>2458.9054000000001</v>
      </c>
      <c r="F89" s="36">
        <v>2777.4384</v>
      </c>
      <c r="G89" s="36" t="e">
        <f ca="1">_xll.BDP($B89,G$2,"EQY_FUND_YEAR=2016")</f>
        <v>#NAME?</v>
      </c>
      <c r="H89" s="36">
        <v>757.60300000000007</v>
      </c>
      <c r="I89" s="36">
        <v>863.7</v>
      </c>
      <c r="J89" s="36">
        <f t="shared" si="15"/>
        <v>3.6660868555166752</v>
      </c>
      <c r="K89" s="36">
        <f t="shared" si="16"/>
        <v>3.215744355679055</v>
      </c>
      <c r="L89" s="44">
        <v>0.14004300405357428</v>
      </c>
      <c r="M89" s="36">
        <v>512.96599737548831</v>
      </c>
      <c r="N89" s="36">
        <v>67.867000000000004</v>
      </c>
      <c r="O89" s="94">
        <f t="shared" si="9"/>
        <v>0.67709076835161464</v>
      </c>
      <c r="P89" s="36">
        <v>0</v>
      </c>
      <c r="Q89" s="36">
        <f t="shared" si="10"/>
        <v>0</v>
      </c>
      <c r="R89" s="36" t="s">
        <v>480</v>
      </c>
      <c r="S89" s="36" t="e">
        <f t="shared" si="11"/>
        <v>#VALUE!</v>
      </c>
      <c r="T89" s="36">
        <v>121.01</v>
      </c>
      <c r="U89" s="36">
        <f t="shared" si="12"/>
        <v>0.15972745620067502</v>
      </c>
      <c r="V89" s="36">
        <v>106.039</v>
      </c>
      <c r="W89" s="36">
        <v>170.54</v>
      </c>
      <c r="X89" s="36">
        <f t="shared" si="13"/>
        <v>0.13996644680657283</v>
      </c>
      <c r="Y89" s="36" t="e">
        <f ca="1">_xll.BDP($B89,Y$2,)</f>
        <v>#NAME?</v>
      </c>
      <c r="Z89" s="36" t="e">
        <f ca="1">_xll.BDP($B89,Z$2)</f>
        <v>#NAME?</v>
      </c>
      <c r="AA89" s="36">
        <v>32.882268060742</v>
      </c>
      <c r="AB89" s="36">
        <v>91.412999999999997</v>
      </c>
      <c r="AC89" s="92">
        <f t="shared" si="14"/>
        <v>4.3403033067110346E-2</v>
      </c>
    </row>
    <row r="90" spans="1:29" x14ac:dyDescent="0.2">
      <c r="A90" s="1" t="s">
        <v>201</v>
      </c>
      <c r="B90" s="1" t="s">
        <v>201</v>
      </c>
      <c r="C90" s="1" t="s">
        <v>202</v>
      </c>
      <c r="D90" s="36" t="s">
        <v>495</v>
      </c>
      <c r="E90" s="36">
        <v>2438.0086000000001</v>
      </c>
      <c r="F90" s="36">
        <v>2499.6136000000001</v>
      </c>
      <c r="G90" s="36" t="e">
        <f ca="1">_xll.BDP($B90,G$2,"EQY_FUND_YEAR=2016")</f>
        <v>#NAME?</v>
      </c>
      <c r="H90" s="36">
        <v>111.253</v>
      </c>
      <c r="I90" s="36">
        <v>195.833</v>
      </c>
      <c r="J90" s="36">
        <f t="shared" si="15"/>
        <v>22.467830979838748</v>
      </c>
      <c r="K90" s="36">
        <f t="shared" si="16"/>
        <v>12.764006066393305</v>
      </c>
      <c r="L90" s="44">
        <v>0.76024916182035529</v>
      </c>
      <c r="M90" s="36">
        <v>89.570999999999998</v>
      </c>
      <c r="N90" s="36">
        <v>79.174999999999997</v>
      </c>
      <c r="O90" s="94">
        <f t="shared" si="9"/>
        <v>0.80511087341464949</v>
      </c>
      <c r="P90" s="36">
        <v>37.589999999999996</v>
      </c>
      <c r="Q90" s="36">
        <f t="shared" si="10"/>
        <v>0.3378785291183159</v>
      </c>
      <c r="R90" s="36">
        <v>72.924999999999997</v>
      </c>
      <c r="S90" s="36">
        <f t="shared" si="11"/>
        <v>0.65548794189819592</v>
      </c>
      <c r="T90" s="36">
        <v>28.033999999999999</v>
      </c>
      <c r="U90" s="36">
        <f t="shared" si="12"/>
        <v>0.25198421615596883</v>
      </c>
      <c r="V90" s="36">
        <v>-44.902000000000001</v>
      </c>
      <c r="W90" s="36">
        <v>-45.95</v>
      </c>
      <c r="X90" s="36">
        <f t="shared" si="13"/>
        <v>-0.40360259948046345</v>
      </c>
      <c r="Y90" s="36" t="e">
        <f ca="1">_xll.BDP($B90,Y$2,)</f>
        <v>#NAME?</v>
      </c>
      <c r="Z90" s="36" t="e">
        <f ca="1">_xll.BDP($B90,Z$2)</f>
        <v>#NAME?</v>
      </c>
      <c r="AA90" s="36">
        <v>-49.106000000000002</v>
      </c>
      <c r="AB90" s="36">
        <v>-63.59</v>
      </c>
      <c r="AC90" s="92">
        <f t="shared" si="14"/>
        <v>-0.44139034453003517</v>
      </c>
    </row>
    <row r="91" spans="1:29" x14ac:dyDescent="0.2">
      <c r="A91" s="1" t="s">
        <v>203</v>
      </c>
      <c r="B91" s="1" t="s">
        <v>203</v>
      </c>
      <c r="C91" s="1" t="s">
        <v>204</v>
      </c>
      <c r="D91" s="36" t="s">
        <v>506</v>
      </c>
      <c r="E91" s="36">
        <v>2461.5574999999999</v>
      </c>
      <c r="F91" s="36">
        <v>2436.4575</v>
      </c>
      <c r="G91" s="36" t="e">
        <f ca="1">_xll.BDP($B91,G$2,"EQY_FUND_YEAR=2016")</f>
        <v>#NAME?</v>
      </c>
      <c r="H91" s="36">
        <v>777.6</v>
      </c>
      <c r="I91" s="36">
        <v>824</v>
      </c>
      <c r="J91" s="36">
        <f t="shared" si="15"/>
        <v>3.1333043981481481</v>
      </c>
      <c r="K91" s="36">
        <f t="shared" si="16"/>
        <v>2.9568658980582523</v>
      </c>
      <c r="L91" s="44">
        <v>5.967078189300401E-2</v>
      </c>
      <c r="M91" s="36">
        <v>266.30000152587888</v>
      </c>
      <c r="N91" s="36">
        <v>34.533000000000001</v>
      </c>
      <c r="O91" s="94">
        <f t="shared" si="9"/>
        <v>0.34246399373184011</v>
      </c>
      <c r="P91" s="36">
        <v>0</v>
      </c>
      <c r="Q91" s="36">
        <f t="shared" si="10"/>
        <v>0</v>
      </c>
      <c r="R91" s="36">
        <v>41.767000000000003</v>
      </c>
      <c r="S91" s="36">
        <f t="shared" si="11"/>
        <v>5.3712705761316877E-2</v>
      </c>
      <c r="T91" s="36">
        <v>117.626</v>
      </c>
      <c r="U91" s="36">
        <f t="shared" si="12"/>
        <v>0.15126800411522634</v>
      </c>
      <c r="V91" s="36">
        <v>119.85900000000001</v>
      </c>
      <c r="W91" s="36">
        <v>168.292</v>
      </c>
      <c r="X91" s="36">
        <f t="shared" si="13"/>
        <v>0.15413966049382716</v>
      </c>
      <c r="Y91" s="36" t="e">
        <f ca="1">_xll.BDP($B91,Y$2,)</f>
        <v>#NAME?</v>
      </c>
      <c r="Z91" s="36" t="e">
        <f ca="1">_xll.BDP($B91,Z$2)</f>
        <v>#NAME?</v>
      </c>
      <c r="AA91" s="36">
        <v>92.1</v>
      </c>
      <c r="AB91" s="36">
        <v>125.28400000000001</v>
      </c>
      <c r="AC91" s="92">
        <f t="shared" si="14"/>
        <v>0.11844135802469134</v>
      </c>
    </row>
    <row r="92" spans="1:29" x14ac:dyDescent="0.2">
      <c r="A92" s="1" t="s">
        <v>205</v>
      </c>
      <c r="B92" s="1" t="s">
        <v>205</v>
      </c>
      <c r="C92" s="1" t="s">
        <v>206</v>
      </c>
      <c r="D92" s="36" t="s">
        <v>495</v>
      </c>
      <c r="E92" s="36">
        <v>2373.3932</v>
      </c>
      <c r="F92" s="36">
        <v>2399.3838999999998</v>
      </c>
      <c r="G92" s="36" t="e">
        <f ca="1">_xll.BDP($B92,G$2,"EQY_FUND_YEAR=2016")</f>
        <v>#NAME?</v>
      </c>
      <c r="H92" s="36">
        <v>259.76499999999999</v>
      </c>
      <c r="I92" s="36">
        <v>290.03199999999998</v>
      </c>
      <c r="J92" s="36">
        <f t="shared" si="15"/>
        <v>9.2367482147325468</v>
      </c>
      <c r="K92" s="36">
        <f t="shared" si="16"/>
        <v>8.2728247227892098</v>
      </c>
      <c r="L92" s="44">
        <v>0.11651685176986892</v>
      </c>
      <c r="M92" s="36">
        <v>189.24499960327148</v>
      </c>
      <c r="N92" s="36">
        <v>72.911000000000001</v>
      </c>
      <c r="O92" s="94">
        <f t="shared" si="9"/>
        <v>0.72852385657525642</v>
      </c>
      <c r="P92" s="36">
        <v>41.803999999999995</v>
      </c>
      <c r="Q92" s="36">
        <f t="shared" si="10"/>
        <v>0.16093007141069812</v>
      </c>
      <c r="R92" s="36">
        <v>33.128</v>
      </c>
      <c r="S92" s="36">
        <f t="shared" si="11"/>
        <v>0.12753065270532982</v>
      </c>
      <c r="T92" s="36">
        <v>25.448</v>
      </c>
      <c r="U92" s="36">
        <f t="shared" si="12"/>
        <v>9.7965468789097843E-2</v>
      </c>
      <c r="V92" s="36">
        <v>83.233999999999995</v>
      </c>
      <c r="W92" s="36">
        <v>100.771</v>
      </c>
      <c r="X92" s="36">
        <f t="shared" si="13"/>
        <v>0.3204203799588089</v>
      </c>
      <c r="Y92" s="36" t="e">
        <f ca="1">_xll.BDP($B92,Y$2,)</f>
        <v>#NAME?</v>
      </c>
      <c r="Z92" s="36" t="e">
        <f ca="1">_xll.BDP($B92,Z$2)</f>
        <v>#NAME?</v>
      </c>
      <c r="AA92" s="36">
        <v>31.351610000000001</v>
      </c>
      <c r="AB92" s="36">
        <v>42.183</v>
      </c>
      <c r="AC92" s="92">
        <f t="shared" si="14"/>
        <v>0.12069220256770544</v>
      </c>
    </row>
    <row r="93" spans="1:29" x14ac:dyDescent="0.2">
      <c r="A93" s="1" t="s">
        <v>207</v>
      </c>
      <c r="B93" s="1" t="s">
        <v>207</v>
      </c>
      <c r="C93" s="1" t="s">
        <v>208</v>
      </c>
      <c r="D93" s="36" t="s">
        <v>495</v>
      </c>
      <c r="E93" s="36">
        <v>2279.9922999999999</v>
      </c>
      <c r="F93" s="36">
        <v>2165.1192999999998</v>
      </c>
      <c r="G93" s="36" t="e">
        <f ca="1">_xll.BDP($B93,G$2,"EQY_FUND_YEAR=2016")</f>
        <v>#NAME?</v>
      </c>
      <c r="H93" s="36">
        <v>202.84200000000001</v>
      </c>
      <c r="I93" s="36">
        <v>246.78800000000001</v>
      </c>
      <c r="J93" s="36">
        <f t="shared" si="15"/>
        <v>10.673920095443743</v>
      </c>
      <c r="K93" s="36">
        <f t="shared" si="16"/>
        <v>8.7731952120848646</v>
      </c>
      <c r="L93" s="44">
        <v>0.21665138383569471</v>
      </c>
      <c r="M93" s="36">
        <v>157.49099987792968</v>
      </c>
      <c r="N93" s="36">
        <v>81.329000000000008</v>
      </c>
      <c r="O93" s="94">
        <f t="shared" si="9"/>
        <v>0.77642204217040689</v>
      </c>
      <c r="P93" s="36">
        <v>23.873999999999999</v>
      </c>
      <c r="Q93" s="36">
        <f t="shared" si="10"/>
        <v>0.11769751826544797</v>
      </c>
      <c r="R93" s="36">
        <v>109.77500000000001</v>
      </c>
      <c r="S93" s="36">
        <f t="shared" si="11"/>
        <v>0.54118476449650466</v>
      </c>
      <c r="T93" s="36">
        <v>36.956000000000003</v>
      </c>
      <c r="U93" s="36">
        <f t="shared" si="12"/>
        <v>0.18219106496682147</v>
      </c>
      <c r="V93" s="36">
        <v>-13.472000000000001</v>
      </c>
      <c r="W93" s="36">
        <v>12.863</v>
      </c>
      <c r="X93" s="36">
        <f t="shared" si="13"/>
        <v>-6.6416225436546669E-2</v>
      </c>
      <c r="Y93" s="36" t="e">
        <f ca="1">_xll.BDP($B93,Y$2,)</f>
        <v>#NAME?</v>
      </c>
      <c r="Z93" s="36" t="e">
        <f ca="1">_xll.BDP($B93,Z$2)</f>
        <v>#NAME?</v>
      </c>
      <c r="AA93" s="36">
        <v>-33.920332731689001</v>
      </c>
      <c r="AB93" s="36">
        <v>2.661</v>
      </c>
      <c r="AC93" s="92">
        <f t="shared" si="14"/>
        <v>-0.16722539085440391</v>
      </c>
    </row>
    <row r="94" spans="1:29" x14ac:dyDescent="0.2">
      <c r="A94" s="1" t="s">
        <v>211</v>
      </c>
      <c r="B94" s="1" t="s">
        <v>211</v>
      </c>
      <c r="C94" s="1" t="s">
        <v>212</v>
      </c>
      <c r="D94" s="36" t="s">
        <v>495</v>
      </c>
      <c r="E94" s="36">
        <v>2144.8136</v>
      </c>
      <c r="F94" s="36">
        <v>2527.3155999999999</v>
      </c>
      <c r="G94" s="36" t="e">
        <f ca="1">_xll.BDP($B94,G$2,"EQY_FUND_YEAR=2016")</f>
        <v>#NAME?</v>
      </c>
      <c r="H94" s="36">
        <v>213.15899999999999</v>
      </c>
      <c r="I94" s="36">
        <v>282.81</v>
      </c>
      <c r="J94" s="36">
        <f t="shared" si="15"/>
        <v>11.85648084293884</v>
      </c>
      <c r="K94" s="36">
        <f t="shared" si="16"/>
        <v>8.9364435486722531</v>
      </c>
      <c r="L94" s="44">
        <v>0.32675608348697449</v>
      </c>
      <c r="M94" s="36">
        <v>155.18199999999999</v>
      </c>
      <c r="N94" s="36">
        <v>73.067000000000007</v>
      </c>
      <c r="O94" s="94">
        <f t="shared" si="9"/>
        <v>0.72801054611815585</v>
      </c>
      <c r="P94" s="36">
        <v>41.263999999999996</v>
      </c>
      <c r="Q94" s="36">
        <f t="shared" si="10"/>
        <v>0.19358319376615576</v>
      </c>
      <c r="R94" s="36">
        <v>133.79400000000001</v>
      </c>
      <c r="S94" s="36">
        <f t="shared" si="11"/>
        <v>0.62767230095843951</v>
      </c>
      <c r="T94" s="36">
        <v>34.286000000000001</v>
      </c>
      <c r="U94" s="36">
        <f t="shared" si="12"/>
        <v>0.16084706721273792</v>
      </c>
      <c r="V94" s="36">
        <v>-43.302999999999997</v>
      </c>
      <c r="W94" s="36">
        <v>-23.48</v>
      </c>
      <c r="X94" s="36">
        <f t="shared" si="13"/>
        <v>-0.20314882317894153</v>
      </c>
      <c r="Y94" s="36" t="e">
        <f ca="1">_xll.BDP($B94,Y$2,)</f>
        <v>#NAME?</v>
      </c>
      <c r="Z94" s="36" t="e">
        <f ca="1">_xll.BDP($B94,Z$2)</f>
        <v>#NAME?</v>
      </c>
      <c r="AA94" s="36">
        <v>-55.233550000000001</v>
      </c>
      <c r="AB94" s="36">
        <v>-39.237000000000002</v>
      </c>
      <c r="AC94" s="92">
        <f t="shared" si="14"/>
        <v>-0.25911901444461649</v>
      </c>
    </row>
    <row r="95" spans="1:29" x14ac:dyDescent="0.2">
      <c r="A95" s="1" t="s">
        <v>213</v>
      </c>
      <c r="B95" s="1" t="s">
        <v>213</v>
      </c>
      <c r="C95" s="1" t="s">
        <v>214</v>
      </c>
      <c r="D95" s="36" t="s">
        <v>495</v>
      </c>
      <c r="E95" s="36">
        <v>2123.6478000000002</v>
      </c>
      <c r="F95" s="36">
        <v>2086.6887999999999</v>
      </c>
      <c r="G95" s="36" t="e">
        <f ca="1">_xll.BDP($B95,G$2,"EQY_FUND_YEAR=2016")</f>
        <v>#NAME?</v>
      </c>
      <c r="H95" s="36">
        <v>375.99900000000002</v>
      </c>
      <c r="I95" s="36">
        <v>410.81200000000001</v>
      </c>
      <c r="J95" s="36">
        <f t="shared" si="15"/>
        <v>5.5497190152101465</v>
      </c>
      <c r="K95" s="36">
        <f t="shared" si="16"/>
        <v>5.0794251385061777</v>
      </c>
      <c r="L95" s="44">
        <v>9.2588012202160064E-2</v>
      </c>
      <c r="M95" s="36">
        <v>251.41600036621094</v>
      </c>
      <c r="N95" s="36">
        <v>68.244</v>
      </c>
      <c r="O95" s="94">
        <f t="shared" si="9"/>
        <v>0.66866135379671465</v>
      </c>
      <c r="P95" s="36">
        <v>72.754999999999995</v>
      </c>
      <c r="Q95" s="36">
        <f t="shared" si="10"/>
        <v>0.19349785504748682</v>
      </c>
      <c r="R95" s="36">
        <v>43.49</v>
      </c>
      <c r="S95" s="36">
        <f t="shared" si="11"/>
        <v>0.11566520123723734</v>
      </c>
      <c r="T95" s="36">
        <v>55.396000000000001</v>
      </c>
      <c r="U95" s="36">
        <f t="shared" si="12"/>
        <v>0.14733017906962517</v>
      </c>
      <c r="V95" s="36">
        <v>78.801000000000002</v>
      </c>
      <c r="W95" s="36">
        <v>86.858000000000004</v>
      </c>
      <c r="X95" s="36">
        <f t="shared" si="13"/>
        <v>0.2095776850470347</v>
      </c>
      <c r="Y95" s="36" t="e">
        <f ca="1">_xll.BDP($B95,Y$2,)</f>
        <v>#NAME?</v>
      </c>
      <c r="Z95" s="36" t="e">
        <f ca="1">_xll.BDP($B95,Z$2)</f>
        <v>#NAME?</v>
      </c>
      <c r="AA95" s="36">
        <v>54.195191958732003</v>
      </c>
      <c r="AB95" s="36">
        <v>60.554000000000002</v>
      </c>
      <c r="AC95" s="92">
        <f t="shared" si="14"/>
        <v>0.14413653216825575</v>
      </c>
    </row>
    <row r="96" spans="1:29" x14ac:dyDescent="0.2">
      <c r="A96" s="1" t="s">
        <v>215</v>
      </c>
      <c r="B96" s="1" t="s">
        <v>215</v>
      </c>
      <c r="C96" s="1" t="s">
        <v>216</v>
      </c>
      <c r="D96" s="36" t="s">
        <v>495</v>
      </c>
      <c r="E96" s="36">
        <v>2082.1448999999998</v>
      </c>
      <c r="F96" s="36">
        <v>1642.0148999999999</v>
      </c>
      <c r="G96" s="36" t="e">
        <f ca="1">_xll.BDP($B96,G$2,"EQY_FUND_YEAR=2016")</f>
        <v>#NAME?</v>
      </c>
      <c r="H96" s="36">
        <v>411.06400000000002</v>
      </c>
      <c r="I96" s="36">
        <v>487.03300000000002</v>
      </c>
      <c r="J96" s="36">
        <f t="shared" si="15"/>
        <v>3.9945480509117797</v>
      </c>
      <c r="K96" s="36">
        <f t="shared" si="16"/>
        <v>3.3714653832491841</v>
      </c>
      <c r="L96" s="44">
        <v>0.18481063775957018</v>
      </c>
      <c r="M96" s="36">
        <v>279.62800469970705</v>
      </c>
      <c r="N96" s="36">
        <v>75.41</v>
      </c>
      <c r="O96" s="94">
        <f t="shared" si="9"/>
        <v>0.68025418110004043</v>
      </c>
      <c r="P96" s="36">
        <v>215.69499999999999</v>
      </c>
      <c r="Q96" s="36">
        <f t="shared" si="10"/>
        <v>0.52472364400677263</v>
      </c>
      <c r="R96" s="36">
        <v>298.46699999999998</v>
      </c>
      <c r="S96" s="36">
        <f t="shared" si="11"/>
        <v>0.72608401611427897</v>
      </c>
      <c r="T96" s="36">
        <v>85.539000000000001</v>
      </c>
      <c r="U96" s="36">
        <f t="shared" si="12"/>
        <v>0.20809168402000661</v>
      </c>
      <c r="V96" s="36">
        <v>-176.494</v>
      </c>
      <c r="W96" s="36">
        <v>-58.75</v>
      </c>
      <c r="X96" s="36">
        <f t="shared" si="13"/>
        <v>-0.42935893194247121</v>
      </c>
      <c r="Y96" s="36" t="e">
        <f ca="1">_xll.BDP($B96,Y$2,)</f>
        <v>#NAME?</v>
      </c>
      <c r="Z96" s="36" t="e">
        <f ca="1">_xll.BDP($B96,Z$2)</f>
        <v>#NAME?</v>
      </c>
      <c r="AA96" s="36">
        <v>-184.54894999999999</v>
      </c>
      <c r="AB96" s="36">
        <v>-70.158000000000001</v>
      </c>
      <c r="AC96" s="92">
        <f t="shared" si="14"/>
        <v>-0.44895429908724671</v>
      </c>
    </row>
    <row r="97" spans="1:29" x14ac:dyDescent="0.2">
      <c r="A97" s="1" t="s">
        <v>217</v>
      </c>
      <c r="B97" s="1" t="s">
        <v>217</v>
      </c>
      <c r="C97" s="1" t="s">
        <v>218</v>
      </c>
      <c r="D97" s="36" t="s">
        <v>495</v>
      </c>
      <c r="E97" s="36">
        <v>2134.5376999999999</v>
      </c>
      <c r="F97" s="36">
        <v>2066.1927000000001</v>
      </c>
      <c r="G97" s="36" t="e">
        <f ca="1">_xll.BDP($B97,G$2,"EQY_FUND_YEAR=2016")</f>
        <v>#NAME?</v>
      </c>
      <c r="H97" s="36">
        <v>225.50900000000001</v>
      </c>
      <c r="I97" s="36">
        <v>266.108</v>
      </c>
      <c r="J97" s="36">
        <f t="shared" si="15"/>
        <v>9.1623513917404615</v>
      </c>
      <c r="K97" s="36">
        <f t="shared" si="16"/>
        <v>7.7644892299367179</v>
      </c>
      <c r="L97" s="44">
        <v>0.18003272596659103</v>
      </c>
      <c r="M97" s="36">
        <v>133.13299966430662</v>
      </c>
      <c r="N97" s="36">
        <v>62.867000000000004</v>
      </c>
      <c r="O97" s="94">
        <f t="shared" si="9"/>
        <v>0.59036668010725346</v>
      </c>
      <c r="P97" s="36">
        <v>27.119999999999997</v>
      </c>
      <c r="Q97" s="36">
        <f t="shared" si="10"/>
        <v>0.12026127560319098</v>
      </c>
      <c r="R97" s="36">
        <v>66.569999999999993</v>
      </c>
      <c r="S97" s="36">
        <f t="shared" si="11"/>
        <v>0.29519886124278849</v>
      </c>
      <c r="T97" s="36">
        <v>29.151</v>
      </c>
      <c r="U97" s="36">
        <f t="shared" si="12"/>
        <v>0.12926756803497863</v>
      </c>
      <c r="V97" s="36">
        <v>10.643000000000001</v>
      </c>
      <c r="W97" s="36">
        <v>40.977000000000004</v>
      </c>
      <c r="X97" s="36">
        <f t="shared" si="13"/>
        <v>4.7195455613744906E-2</v>
      </c>
      <c r="Y97" s="36" t="e">
        <f ca="1">_xll.BDP($B97,Y$2,)</f>
        <v>#NAME?</v>
      </c>
      <c r="Z97" s="36" t="e">
        <f ca="1">_xll.BDP($B97,Z$2)</f>
        <v>#NAME?</v>
      </c>
      <c r="AA97" s="36">
        <v>-2.3560000000000003</v>
      </c>
      <c r="AB97" s="36">
        <v>28.244</v>
      </c>
      <c r="AC97" s="92">
        <f t="shared" si="14"/>
        <v>-1.0447476597386358E-2</v>
      </c>
    </row>
    <row r="98" spans="1:29" x14ac:dyDescent="0.2">
      <c r="A98" s="1" t="s">
        <v>219</v>
      </c>
      <c r="B98" s="1" t="s">
        <v>219</v>
      </c>
      <c r="C98" s="1" t="s">
        <v>220</v>
      </c>
      <c r="D98" s="36" t="s">
        <v>495</v>
      </c>
      <c r="E98" s="36">
        <v>2162.7305999999999</v>
      </c>
      <c r="F98" s="36">
        <v>2059.2656000000002</v>
      </c>
      <c r="G98" s="36" t="e">
        <f ca="1">_xll.BDP($B98,G$2,"EQY_FUND_YEAR=2016")</f>
        <v>#NAME?</v>
      </c>
      <c r="H98" s="36">
        <v>215.20100000000002</v>
      </c>
      <c r="I98" s="36">
        <v>265.75200000000001</v>
      </c>
      <c r="J98" s="36">
        <f t="shared" si="15"/>
        <v>9.5690336011449766</v>
      </c>
      <c r="K98" s="36">
        <f t="shared" si="16"/>
        <v>7.7488244679249831</v>
      </c>
      <c r="L98" s="44">
        <v>0.2349013248079701</v>
      </c>
      <c r="M98" s="36">
        <v>106.53599938964844</v>
      </c>
      <c r="N98" s="36">
        <v>52.910000000000004</v>
      </c>
      <c r="O98" s="94">
        <f t="shared" si="9"/>
        <v>0.49505345881129004</v>
      </c>
      <c r="P98" s="36">
        <v>40.338000000000001</v>
      </c>
      <c r="Q98" s="36">
        <f t="shared" si="10"/>
        <v>0.18744336689885269</v>
      </c>
      <c r="R98" s="36">
        <v>41.17</v>
      </c>
      <c r="S98" s="36">
        <f t="shared" si="11"/>
        <v>0.19130951993717502</v>
      </c>
      <c r="T98" s="36">
        <v>37.179000000000002</v>
      </c>
      <c r="U98" s="36">
        <f t="shared" si="12"/>
        <v>0.17276406708147266</v>
      </c>
      <c r="V98" s="36">
        <v>-7.5960000000000001</v>
      </c>
      <c r="W98" s="36">
        <v>28.12</v>
      </c>
      <c r="X98" s="36">
        <f t="shared" si="13"/>
        <v>-3.5297233748913803E-2</v>
      </c>
      <c r="Y98" s="36" t="e">
        <f ca="1">_xll.BDP($B98,Y$2,)</f>
        <v>#NAME?</v>
      </c>
      <c r="Z98" s="36" t="e">
        <f ca="1">_xll.BDP($B98,Z$2)</f>
        <v>#NAME?</v>
      </c>
      <c r="AA98" s="36">
        <v>-24.3462</v>
      </c>
      <c r="AB98" s="36">
        <v>2.1080000000000001</v>
      </c>
      <c r="AC98" s="92">
        <f t="shared" si="14"/>
        <v>-0.11313237392019553</v>
      </c>
    </row>
    <row r="99" spans="1:29" x14ac:dyDescent="0.2">
      <c r="A99" s="1" t="s">
        <v>221</v>
      </c>
      <c r="B99" s="1" t="s">
        <v>221</v>
      </c>
      <c r="C99" s="1" t="s">
        <v>222</v>
      </c>
      <c r="D99" s="36" t="s">
        <v>506</v>
      </c>
      <c r="E99" s="36">
        <v>2114.5731999999998</v>
      </c>
      <c r="F99" s="36">
        <v>1943.9061999999999</v>
      </c>
      <c r="G99" s="36" t="e">
        <f ca="1">_xll.BDP($B99,G$2,"EQY_FUND_YEAR=2016")</f>
        <v>#NAME?</v>
      </c>
      <c r="H99" s="36">
        <v>807.30500000000006</v>
      </c>
      <c r="I99" s="36">
        <v>961.45699999999999</v>
      </c>
      <c r="J99" s="36">
        <f t="shared" si="15"/>
        <v>2.4078956528201854</v>
      </c>
      <c r="K99" s="36">
        <f t="shared" si="16"/>
        <v>2.0218337377542626</v>
      </c>
      <c r="L99" s="44">
        <v>0.19094642049782906</v>
      </c>
      <c r="M99" s="36">
        <v>275.29600018310543</v>
      </c>
      <c r="N99" s="36">
        <v>35.366999999999997</v>
      </c>
      <c r="O99" s="94">
        <f t="shared" si="9"/>
        <v>0.34100618747945993</v>
      </c>
      <c r="P99" s="36">
        <v>0</v>
      </c>
      <c r="Q99" s="36">
        <f t="shared" si="10"/>
        <v>0</v>
      </c>
      <c r="R99" s="36">
        <v>53.383000000000003</v>
      </c>
      <c r="S99" s="36">
        <f t="shared" si="11"/>
        <v>6.6124946581527427E-2</v>
      </c>
      <c r="T99" s="36">
        <v>102.56699999999999</v>
      </c>
      <c r="U99" s="36">
        <f t="shared" si="12"/>
        <v>0.1270486371321867</v>
      </c>
      <c r="V99" s="36">
        <v>101.57077215189899</v>
      </c>
      <c r="W99" s="36">
        <v>166.20000000000002</v>
      </c>
      <c r="X99" s="36">
        <f t="shared" si="13"/>
        <v>0.12581462043700831</v>
      </c>
      <c r="Y99" s="36" t="e">
        <f ca="1">_xll.BDP($B99,Y$2,)</f>
        <v>#NAME?</v>
      </c>
      <c r="Z99" s="36" t="e">
        <f ca="1">_xll.BDP($B99,Z$2)</f>
        <v>#NAME?</v>
      </c>
      <c r="AA99" s="36">
        <v>66.466239999999999</v>
      </c>
      <c r="AB99" s="36">
        <v>102.023</v>
      </c>
      <c r="AC99" s="92">
        <f t="shared" si="14"/>
        <v>8.233101492001163E-2</v>
      </c>
    </row>
    <row r="100" spans="1:29" x14ac:dyDescent="0.2">
      <c r="A100" s="1" t="s">
        <v>223</v>
      </c>
      <c r="B100" s="1" t="s">
        <v>223</v>
      </c>
      <c r="C100" s="1" t="s">
        <v>224</v>
      </c>
      <c r="D100" s="36" t="s">
        <v>495</v>
      </c>
      <c r="E100" s="36">
        <v>2051.6304</v>
      </c>
      <c r="F100" s="36">
        <v>1905.4384</v>
      </c>
      <c r="G100" s="36" t="e">
        <f ca="1">_xll.BDP($B100,G$2,"EQY_FUND_YEAR=2016")</f>
        <v>#NAME?</v>
      </c>
      <c r="H100" s="36">
        <v>282.14300000000003</v>
      </c>
      <c r="I100" s="36">
        <v>349.18299999999999</v>
      </c>
      <c r="J100" s="36">
        <f t="shared" si="15"/>
        <v>6.7534491374941066</v>
      </c>
      <c r="K100" s="36">
        <f t="shared" si="16"/>
        <v>5.4568475555797393</v>
      </c>
      <c r="L100" s="44">
        <v>0.23761000627341433</v>
      </c>
      <c r="M100" s="36">
        <v>206.71999600219726</v>
      </c>
      <c r="N100" s="36">
        <v>73.540000000000006</v>
      </c>
      <c r="O100" s="94">
        <f t="shared" si="9"/>
        <v>0.73267809586697963</v>
      </c>
      <c r="P100" s="36">
        <v>38.372999999999998</v>
      </c>
      <c r="Q100" s="36">
        <f t="shared" si="10"/>
        <v>0.13600550075670845</v>
      </c>
      <c r="R100" s="36">
        <v>121.246</v>
      </c>
      <c r="S100" s="36">
        <f t="shared" si="11"/>
        <v>0.42973244064180216</v>
      </c>
      <c r="T100" s="36">
        <v>36.988999999999997</v>
      </c>
      <c r="U100" s="36">
        <f t="shared" si="12"/>
        <v>0.13110018678471552</v>
      </c>
      <c r="V100" s="36">
        <v>17.619</v>
      </c>
      <c r="W100" s="36">
        <v>53.279000000000003</v>
      </c>
      <c r="X100" s="36">
        <f t="shared" si="13"/>
        <v>6.2447056988831899E-2</v>
      </c>
      <c r="Y100" s="36" t="e">
        <f ca="1">_xll.BDP($B100,Y$2,)</f>
        <v>#NAME?</v>
      </c>
      <c r="Z100" s="36" t="e">
        <f ca="1">_xll.BDP($B100,Z$2)</f>
        <v>#NAME?</v>
      </c>
      <c r="AA100" s="36">
        <v>-11.200076829023001</v>
      </c>
      <c r="AB100" s="36">
        <v>15.266999999999999</v>
      </c>
      <c r="AC100" s="92">
        <f t="shared" ref="AC100:AC131" si="17">AA100/H100</f>
        <v>-3.9696454737572787E-2</v>
      </c>
    </row>
    <row r="101" spans="1:29" x14ac:dyDescent="0.2">
      <c r="A101" s="1" t="s">
        <v>225</v>
      </c>
      <c r="B101" s="1" t="s">
        <v>225</v>
      </c>
      <c r="C101" s="1" t="s">
        <v>226</v>
      </c>
      <c r="D101" s="36" t="s">
        <v>495</v>
      </c>
      <c r="E101" s="36">
        <v>2067.0387000000001</v>
      </c>
      <c r="F101" s="36">
        <v>2014.3187</v>
      </c>
      <c r="G101" s="36" t="e">
        <f ca="1">_xll.BDP($B101,G$2,"EQY_FUND_YEAR=2016")</f>
        <v>#NAME?</v>
      </c>
      <c r="H101" s="36">
        <v>165.38</v>
      </c>
      <c r="I101" s="36">
        <v>205.85</v>
      </c>
      <c r="J101" s="36">
        <f t="shared" si="15"/>
        <v>12.179941347200387</v>
      </c>
      <c r="K101" s="36">
        <f t="shared" si="16"/>
        <v>9.7853713869322334</v>
      </c>
      <c r="L101" s="44">
        <v>0.24470915467408383</v>
      </c>
      <c r="M101" s="36">
        <v>102.44899972534179</v>
      </c>
      <c r="N101" s="36">
        <v>64.5</v>
      </c>
      <c r="O101" s="94">
        <f t="shared" si="9"/>
        <v>0.6194763558189732</v>
      </c>
      <c r="P101" s="36">
        <v>16.577999999999999</v>
      </c>
      <c r="Q101" s="36">
        <f t="shared" si="10"/>
        <v>0.10024186721489901</v>
      </c>
      <c r="R101" s="36">
        <v>28.709</v>
      </c>
      <c r="S101" s="36">
        <f t="shared" si="11"/>
        <v>0.17359414681339944</v>
      </c>
      <c r="T101" s="36">
        <v>21.199000000000002</v>
      </c>
      <c r="U101" s="36">
        <f t="shared" si="12"/>
        <v>0.12818357721610837</v>
      </c>
      <c r="V101" s="36">
        <v>31.149000000000001</v>
      </c>
      <c r="W101" s="36">
        <v>44.4</v>
      </c>
      <c r="X101" s="36">
        <f t="shared" si="13"/>
        <v>0.18834804692223969</v>
      </c>
      <c r="Y101" s="36" t="e">
        <f ca="1">_xll.BDP($B101,Y$2,)</f>
        <v>#NAME?</v>
      </c>
      <c r="Z101" s="36" t="e">
        <f ca="1">_xll.BDP($B101,Z$2)</f>
        <v>#NAME?</v>
      </c>
      <c r="AA101" s="36">
        <v>18.071339999999999</v>
      </c>
      <c r="AB101" s="36">
        <v>39.49</v>
      </c>
      <c r="AC101" s="92">
        <f t="shared" si="17"/>
        <v>0.1092716168823316</v>
      </c>
    </row>
    <row r="102" spans="1:29" x14ac:dyDescent="0.2">
      <c r="A102" s="1" t="s">
        <v>227</v>
      </c>
      <c r="B102" s="1" t="s">
        <v>227</v>
      </c>
      <c r="C102" s="1" t="s">
        <v>228</v>
      </c>
      <c r="D102" s="36" t="s">
        <v>505</v>
      </c>
      <c r="E102" s="36">
        <v>1987.4133999999999</v>
      </c>
      <c r="F102" s="36">
        <v>2202.7654000000002</v>
      </c>
      <c r="G102" s="36" t="e">
        <f ca="1">_xll.BDP($B102,G$2,"EQY_FUND_YEAR=2016")</f>
        <v>#NAME?</v>
      </c>
      <c r="H102" s="36">
        <v>167.92599999999999</v>
      </c>
      <c r="I102" s="36">
        <v>255.9</v>
      </c>
      <c r="J102" s="36">
        <f t="shared" si="15"/>
        <v>13.117476745709421</v>
      </c>
      <c r="K102" s="36">
        <f t="shared" si="16"/>
        <v>8.6079148104728418</v>
      </c>
      <c r="L102" s="44">
        <v>0.52388552100329933</v>
      </c>
      <c r="M102" s="36">
        <v>88.019999999999982</v>
      </c>
      <c r="N102" s="36">
        <v>55.325000000000003</v>
      </c>
      <c r="O102" s="94">
        <f t="shared" si="9"/>
        <v>0.52415945118683227</v>
      </c>
      <c r="P102" s="36">
        <v>38.638999999999996</v>
      </c>
      <c r="Q102" s="36">
        <f t="shared" si="10"/>
        <v>0.23009539916391744</v>
      </c>
      <c r="R102" s="36">
        <v>73.087000000000003</v>
      </c>
      <c r="S102" s="36">
        <f t="shared" si="11"/>
        <v>0.43523337660636235</v>
      </c>
      <c r="T102" s="36">
        <v>22.571999999999999</v>
      </c>
      <c r="U102" s="36">
        <f t="shared" si="12"/>
        <v>0.13441635005895455</v>
      </c>
      <c r="V102" s="36">
        <v>-39.728000000000002</v>
      </c>
      <c r="W102" s="36">
        <v>-51.800000000000004</v>
      </c>
      <c r="X102" s="36">
        <f t="shared" si="13"/>
        <v>-0.23658039850886703</v>
      </c>
      <c r="Y102" s="36" t="e">
        <f ca="1">_xll.BDP($B102,Y$2,)</f>
        <v>#NAME?</v>
      </c>
      <c r="Z102" s="36" t="e">
        <f ca="1">_xll.BDP($B102,Z$2)</f>
        <v>#NAME?</v>
      </c>
      <c r="AA102" s="36">
        <v>-47.155000000000001</v>
      </c>
      <c r="AB102" s="36">
        <v>-54.15</v>
      </c>
      <c r="AC102" s="92">
        <f t="shared" si="17"/>
        <v>-0.28080821314150284</v>
      </c>
    </row>
    <row r="103" spans="1:29" x14ac:dyDescent="0.2">
      <c r="A103" s="1" t="s">
        <v>229</v>
      </c>
      <c r="B103" s="1" t="s">
        <v>229</v>
      </c>
      <c r="C103" s="1" t="s">
        <v>230</v>
      </c>
      <c r="D103" s="36" t="s">
        <v>505</v>
      </c>
      <c r="E103" s="36">
        <v>1941.7501</v>
      </c>
      <c r="F103" s="36">
        <v>1544.9141</v>
      </c>
      <c r="G103" s="36" t="e">
        <f ca="1">_xll.BDP($B103,G$2,"EQY_FUND_YEAR=2016")</f>
        <v>#NAME?</v>
      </c>
      <c r="H103" s="36">
        <v>344.017</v>
      </c>
      <c r="I103" s="36">
        <v>369.76900000000001</v>
      </c>
      <c r="J103" s="36">
        <f t="shared" si="15"/>
        <v>4.4908074310281174</v>
      </c>
      <c r="K103" s="36">
        <f t="shared" si="16"/>
        <v>4.1780519729885413</v>
      </c>
      <c r="L103" s="44">
        <v>7.4856765799364622E-2</v>
      </c>
      <c r="M103" s="36">
        <v>274.43599694824218</v>
      </c>
      <c r="N103" s="36">
        <v>80.14</v>
      </c>
      <c r="O103" s="94">
        <f t="shared" si="9"/>
        <v>0.79773963771628198</v>
      </c>
      <c r="P103" s="36">
        <v>63.451999999999998</v>
      </c>
      <c r="Q103" s="36">
        <f t="shared" si="10"/>
        <v>0.1844443733885244</v>
      </c>
      <c r="R103" s="36">
        <v>152.178</v>
      </c>
      <c r="S103" s="36">
        <f t="shared" si="11"/>
        <v>0.44235604635817416</v>
      </c>
      <c r="T103" s="36">
        <v>54.435000000000002</v>
      </c>
      <c r="U103" s="36">
        <f t="shared" si="12"/>
        <v>0.15823345939299513</v>
      </c>
      <c r="V103" s="36">
        <v>7.0558987341769992</v>
      </c>
      <c r="W103" s="36">
        <v>42.024999999999999</v>
      </c>
      <c r="X103" s="36">
        <f t="shared" si="13"/>
        <v>2.0510319938192006E-2</v>
      </c>
      <c r="Y103" s="36" t="e">
        <f ca="1">_xll.BDP($B103,Y$2,)</f>
        <v>#NAME?</v>
      </c>
      <c r="Z103" s="36" t="e">
        <f ca="1">_xll.BDP($B103,Z$2)</f>
        <v>#NAME?</v>
      </c>
      <c r="AA103" s="36">
        <v>-22.831899999999997</v>
      </c>
      <c r="AB103" s="36">
        <v>24.121000000000002</v>
      </c>
      <c r="AC103" s="92">
        <f t="shared" si="17"/>
        <v>-6.636852248580738E-2</v>
      </c>
    </row>
    <row r="104" spans="1:29" x14ac:dyDescent="0.2">
      <c r="A104" s="1" t="s">
        <v>237</v>
      </c>
      <c r="B104" s="1" t="s">
        <v>237</v>
      </c>
      <c r="C104" s="1" t="s">
        <v>238</v>
      </c>
      <c r="D104" s="36" t="s">
        <v>506</v>
      </c>
      <c r="E104" s="36">
        <v>1875.4392</v>
      </c>
      <c r="F104" s="36">
        <v>3979.5682000000002</v>
      </c>
      <c r="G104" s="36" t="e">
        <f ca="1">_xll.BDP($B104,G$2,"EQY_FUND_YEAR=2016")</f>
        <v>#NAME?</v>
      </c>
      <c r="H104" s="36">
        <v>2524.2550000000001</v>
      </c>
      <c r="I104" s="36">
        <v>2627.6289999999999</v>
      </c>
      <c r="J104" s="36">
        <f t="shared" si="15"/>
        <v>1.5765317687793032</v>
      </c>
      <c r="K104" s="36">
        <f t="shared" si="16"/>
        <v>1.5145091639649282</v>
      </c>
      <c r="L104" s="44">
        <v>4.0952280970028676E-2</v>
      </c>
      <c r="M104" s="36">
        <v>920.60099450683606</v>
      </c>
      <c r="N104" s="36">
        <v>50.033000000000001</v>
      </c>
      <c r="O104" s="94">
        <f t="shared" si="9"/>
        <v>0.36470205843182879</v>
      </c>
      <c r="P104" s="36">
        <v>0</v>
      </c>
      <c r="Q104" s="36">
        <f t="shared" si="10"/>
        <v>0</v>
      </c>
      <c r="R104" s="36" t="s">
        <v>480</v>
      </c>
      <c r="S104" s="36" t="e">
        <f t="shared" si="11"/>
        <v>#VALUE!</v>
      </c>
      <c r="T104" s="36" t="s">
        <v>480</v>
      </c>
      <c r="U104" s="36" t="e">
        <f t="shared" si="12"/>
        <v>#VALUE!</v>
      </c>
      <c r="V104" s="36">
        <v>545.98500000000001</v>
      </c>
      <c r="W104" s="36">
        <v>616.20000000000005</v>
      </c>
      <c r="X104" s="36">
        <f t="shared" si="13"/>
        <v>0.21629550104882431</v>
      </c>
      <c r="Y104" s="36" t="e">
        <f ca="1">_xll.BDP($B104,Y$2,)</f>
        <v>#NAME?</v>
      </c>
      <c r="Z104" s="36" t="e">
        <f ca="1">_xll.BDP($B104,Z$2)</f>
        <v>#NAME?</v>
      </c>
      <c r="AA104" s="36">
        <v>163.409500215957</v>
      </c>
      <c r="AB104" s="36">
        <v>183.667</v>
      </c>
      <c r="AC104" s="92">
        <f t="shared" si="17"/>
        <v>6.4735733995161734E-2</v>
      </c>
    </row>
    <row r="105" spans="1:29" x14ac:dyDescent="0.2">
      <c r="A105" s="1" t="s">
        <v>239</v>
      </c>
      <c r="B105" s="1" t="s">
        <v>239</v>
      </c>
      <c r="C105" s="1" t="s">
        <v>240</v>
      </c>
      <c r="D105" s="36" t="s">
        <v>506</v>
      </c>
      <c r="E105" s="36">
        <v>1831.0175999999999</v>
      </c>
      <c r="F105" s="36">
        <v>2334.0005999999998</v>
      </c>
      <c r="G105" s="36" t="e">
        <f ca="1">_xll.BDP($B105,G$2,"EQY_FUND_YEAR=2016")</f>
        <v>#NAME?</v>
      </c>
      <c r="H105" s="36">
        <v>425.97399999999993</v>
      </c>
      <c r="I105" s="36">
        <v>456</v>
      </c>
      <c r="J105" s="36">
        <f t="shared" si="15"/>
        <v>5.4792090597078698</v>
      </c>
      <c r="K105" s="36">
        <f t="shared" si="16"/>
        <v>5.1184223684210526</v>
      </c>
      <c r="L105" s="44">
        <v>7.048787015169955E-2</v>
      </c>
      <c r="M105" s="36">
        <v>215.97600213623048</v>
      </c>
      <c r="N105" s="36">
        <v>49.4</v>
      </c>
      <c r="O105" s="94">
        <f t="shared" si="9"/>
        <v>0.50701686519888656</v>
      </c>
      <c r="P105" s="36">
        <v>0</v>
      </c>
      <c r="Q105" s="36">
        <f t="shared" si="10"/>
        <v>0</v>
      </c>
      <c r="R105" s="36" t="s">
        <v>480</v>
      </c>
      <c r="S105" s="36" t="e">
        <f t="shared" si="11"/>
        <v>#VALUE!</v>
      </c>
      <c r="T105" s="36" t="s">
        <v>480</v>
      </c>
      <c r="U105" s="36" t="e">
        <f t="shared" si="12"/>
        <v>#VALUE!</v>
      </c>
      <c r="V105" s="36">
        <v>171.22300000000001</v>
      </c>
      <c r="W105" s="36">
        <v>204.85</v>
      </c>
      <c r="X105" s="36">
        <f t="shared" si="13"/>
        <v>0.40195645743636943</v>
      </c>
      <c r="Y105" s="36" t="e">
        <f ca="1">_xll.BDP($B105,Y$2,)</f>
        <v>#NAME?</v>
      </c>
      <c r="Z105" s="36" t="e">
        <f ca="1">_xll.BDP($B105,Z$2)</f>
        <v>#NAME?</v>
      </c>
      <c r="AA105" s="36">
        <v>66.721209999999999</v>
      </c>
      <c r="AB105" s="36">
        <v>119.575</v>
      </c>
      <c r="AC105" s="92">
        <f t="shared" si="17"/>
        <v>0.15663211839220237</v>
      </c>
    </row>
    <row r="106" spans="1:29" x14ac:dyDescent="0.2">
      <c r="A106" s="1" t="s">
        <v>241</v>
      </c>
      <c r="B106" s="1" t="s">
        <v>241</v>
      </c>
      <c r="C106" s="1" t="s">
        <v>242</v>
      </c>
      <c r="D106" s="36" t="s">
        <v>505</v>
      </c>
      <c r="E106" s="36">
        <v>1795.8797999999999</v>
      </c>
      <c r="F106" s="36">
        <v>1637.1987999999999</v>
      </c>
      <c r="G106" s="36" t="e">
        <f ca="1">_xll.BDP($B106,G$2,"EQY_FUND_YEAR=2016")</f>
        <v>#NAME?</v>
      </c>
      <c r="H106" s="36">
        <v>242.52799999999999</v>
      </c>
      <c r="I106" s="36">
        <v>285.279</v>
      </c>
      <c r="J106" s="36">
        <f t="shared" si="15"/>
        <v>6.7505558121124158</v>
      </c>
      <c r="K106" s="36">
        <f t="shared" si="16"/>
        <v>5.7389390736787496</v>
      </c>
      <c r="L106" s="44">
        <v>0.1762724303997889</v>
      </c>
      <c r="M106" s="36">
        <v>218.322998046875</v>
      </c>
      <c r="N106" s="36">
        <v>90.492000000000004</v>
      </c>
      <c r="O106" s="94">
        <f t="shared" si="9"/>
        <v>0.90019708259201003</v>
      </c>
      <c r="P106" s="36">
        <v>47.369</v>
      </c>
      <c r="Q106" s="36">
        <f t="shared" si="10"/>
        <v>0.19531353080881383</v>
      </c>
      <c r="R106" s="36">
        <v>135.89599999999999</v>
      </c>
      <c r="S106" s="36">
        <f t="shared" si="11"/>
        <v>0.56033117825570655</v>
      </c>
      <c r="T106" s="36">
        <v>26.823</v>
      </c>
      <c r="U106" s="36">
        <f t="shared" si="12"/>
        <v>0.11059753925319964</v>
      </c>
      <c r="V106" s="36">
        <v>-20.379999999999995</v>
      </c>
      <c r="W106" s="36">
        <v>11.15</v>
      </c>
      <c r="X106" s="36">
        <f t="shared" si="13"/>
        <v>-8.4031534503232599E-2</v>
      </c>
      <c r="Y106" s="36" t="e">
        <f ca="1">_xll.BDP($B106,Y$2,)</f>
        <v>#NAME?</v>
      </c>
      <c r="Z106" s="36" t="e">
        <f ca="1">_xll.BDP($B106,Z$2)</f>
        <v>#NAME?</v>
      </c>
      <c r="AA106" s="36">
        <v>-25.522279999999999</v>
      </c>
      <c r="AB106" s="36">
        <v>2.6310000000000002</v>
      </c>
      <c r="AC106" s="92">
        <f t="shared" si="17"/>
        <v>-0.10523436469191186</v>
      </c>
    </row>
    <row r="107" spans="1:29" x14ac:dyDescent="0.2">
      <c r="A107" s="1" t="s">
        <v>243</v>
      </c>
      <c r="B107" s="1" t="s">
        <v>243</v>
      </c>
      <c r="C107" s="1" t="s">
        <v>244</v>
      </c>
      <c r="D107" s="36" t="s">
        <v>495</v>
      </c>
      <c r="E107" s="36">
        <v>1921.4287999999999</v>
      </c>
      <c r="F107" s="36">
        <v>1797.1029000000001</v>
      </c>
      <c r="G107" s="36" t="e">
        <f ca="1">_xll.BDP($B107,G$2,"EQY_FUND_YEAR=2016")</f>
        <v>#NAME?</v>
      </c>
      <c r="H107" s="36">
        <v>198.54300000000001</v>
      </c>
      <c r="I107" s="36">
        <v>249.18700000000001</v>
      </c>
      <c r="J107" s="36">
        <f t="shared" si="15"/>
        <v>9.0514543449026164</v>
      </c>
      <c r="K107" s="36">
        <f t="shared" si="16"/>
        <v>7.2118645836259514</v>
      </c>
      <c r="L107" s="44">
        <v>0.25507824501493381</v>
      </c>
      <c r="M107" s="36">
        <v>147.79099822998046</v>
      </c>
      <c r="N107" s="36">
        <v>75.325000000000003</v>
      </c>
      <c r="O107" s="94">
        <f t="shared" si="9"/>
        <v>0.74437778330125193</v>
      </c>
      <c r="P107" s="36">
        <v>25.686999999999998</v>
      </c>
      <c r="Q107" s="36">
        <f t="shared" si="10"/>
        <v>0.12937751519821902</v>
      </c>
      <c r="R107" s="36">
        <v>126.98</v>
      </c>
      <c r="S107" s="36">
        <f t="shared" si="11"/>
        <v>0.63955918868960371</v>
      </c>
      <c r="T107" s="36">
        <v>40.079000000000001</v>
      </c>
      <c r="U107" s="36">
        <f t="shared" si="12"/>
        <v>0.20186559082919064</v>
      </c>
      <c r="V107" s="36">
        <v>-68.009</v>
      </c>
      <c r="W107" s="36">
        <v>-31.501999999999999</v>
      </c>
      <c r="X107" s="36">
        <f t="shared" si="13"/>
        <v>-0.34254040686400428</v>
      </c>
      <c r="Y107" s="36" t="e">
        <f ca="1">_xll.BDP($B107,Y$2,)</f>
        <v>#NAME?</v>
      </c>
      <c r="Z107" s="36" t="e">
        <f ca="1">_xll.BDP($B107,Z$2)</f>
        <v>#NAME?</v>
      </c>
      <c r="AA107" s="36">
        <v>-73.292000000000002</v>
      </c>
      <c r="AB107" s="36">
        <v>-41.255000000000003</v>
      </c>
      <c r="AC107" s="92">
        <f t="shared" si="17"/>
        <v>-0.36914925230302753</v>
      </c>
    </row>
    <row r="108" spans="1:29" x14ac:dyDescent="0.2">
      <c r="A108" s="1" t="s">
        <v>245</v>
      </c>
      <c r="B108" s="1" t="s">
        <v>245</v>
      </c>
      <c r="C108" s="1" t="s">
        <v>719</v>
      </c>
      <c r="D108" s="36" t="s">
        <v>505</v>
      </c>
      <c r="E108" s="36">
        <v>1800.3489</v>
      </c>
      <c r="F108" s="36">
        <v>1708.3059000000001</v>
      </c>
      <c r="G108" s="36" t="e">
        <f ca="1">_xll.BDP($B108,G$2,"EQY_FUND_YEAR=2016")</f>
        <v>#NAME?</v>
      </c>
      <c r="H108" s="36">
        <v>176.48500000000001</v>
      </c>
      <c r="I108" s="36">
        <v>232.17500000000001</v>
      </c>
      <c r="J108" s="36">
        <f t="shared" si="15"/>
        <v>9.679609598549451</v>
      </c>
      <c r="K108" s="36">
        <f t="shared" si="16"/>
        <v>7.357837407128244</v>
      </c>
      <c r="L108" s="44">
        <v>0.31555089667677128</v>
      </c>
      <c r="M108" s="36">
        <v>135.33699801635743</v>
      </c>
      <c r="N108" s="36">
        <v>78.02</v>
      </c>
      <c r="O108" s="94">
        <f t="shared" si="9"/>
        <v>0.76684702958527584</v>
      </c>
      <c r="P108" s="36">
        <v>26.834999999999997</v>
      </c>
      <c r="Q108" s="36">
        <f t="shared" si="10"/>
        <v>0.15205258237243957</v>
      </c>
      <c r="R108" s="36">
        <v>86.891999999999996</v>
      </c>
      <c r="S108" s="36">
        <f t="shared" si="11"/>
        <v>0.49234779159701952</v>
      </c>
      <c r="T108" s="36">
        <v>29.446000000000002</v>
      </c>
      <c r="U108" s="36">
        <f t="shared" si="12"/>
        <v>0.16684704082499929</v>
      </c>
      <c r="V108" s="36">
        <v>-30.723999999999997</v>
      </c>
      <c r="W108" s="36">
        <v>-31</v>
      </c>
      <c r="X108" s="36">
        <f t="shared" si="13"/>
        <v>-0.17408844944329543</v>
      </c>
      <c r="Y108" s="36" t="e">
        <f ca="1">_xll.BDP($B108,Y$2,)</f>
        <v>#NAME?</v>
      </c>
      <c r="Z108" s="36" t="e">
        <f ca="1">_xll.BDP($B108,Z$2)</f>
        <v>#NAME?</v>
      </c>
      <c r="AA108" s="36">
        <v>-34.695</v>
      </c>
      <c r="AB108" s="36">
        <v>-11.468</v>
      </c>
      <c r="AC108" s="92">
        <f t="shared" si="17"/>
        <v>-0.19658894523613904</v>
      </c>
    </row>
    <row r="109" spans="1:29" x14ac:dyDescent="0.2">
      <c r="A109" s="1" t="s">
        <v>247</v>
      </c>
      <c r="B109" s="1" t="s">
        <v>247</v>
      </c>
      <c r="C109" s="1" t="s">
        <v>248</v>
      </c>
      <c r="D109" s="36" t="s">
        <v>495</v>
      </c>
      <c r="E109" s="36">
        <v>1757.4110000000001</v>
      </c>
      <c r="F109" s="36">
        <v>2277.1129999999998</v>
      </c>
      <c r="G109" s="36" t="e">
        <f ca="1">_xll.BDP($B109,G$2,"EQY_FUND_YEAR=2016")</f>
        <v>#NAME?</v>
      </c>
      <c r="H109" s="36">
        <v>430.33699999999999</v>
      </c>
      <c r="I109" s="36">
        <v>547.33299999999997</v>
      </c>
      <c r="J109" s="36">
        <f t="shared" si="15"/>
        <v>5.291464596351231</v>
      </c>
      <c r="K109" s="36">
        <f t="shared" si="16"/>
        <v>4.16037951302041</v>
      </c>
      <c r="L109" s="44">
        <v>0.27187065021134593</v>
      </c>
      <c r="M109" s="36">
        <v>273.81199511718751</v>
      </c>
      <c r="N109" s="36">
        <v>64.75</v>
      </c>
      <c r="O109" s="94">
        <f t="shared" si="9"/>
        <v>0.63627342087059102</v>
      </c>
      <c r="P109" s="36">
        <v>33.853999999999999</v>
      </c>
      <c r="Q109" s="36">
        <f t="shared" si="10"/>
        <v>7.8668578346737558E-2</v>
      </c>
      <c r="R109" s="36">
        <v>16.303000000000001</v>
      </c>
      <c r="S109" s="36">
        <f t="shared" si="11"/>
        <v>3.7884262798690331E-2</v>
      </c>
      <c r="T109" s="36">
        <v>59.975999999999999</v>
      </c>
      <c r="U109" s="36">
        <f t="shared" si="12"/>
        <v>0.13936984270467098</v>
      </c>
      <c r="V109" s="36">
        <v>145.13300000000001</v>
      </c>
      <c r="W109" s="36">
        <v>186.70000000000002</v>
      </c>
      <c r="X109" s="36">
        <f t="shared" si="13"/>
        <v>0.33725429140417862</v>
      </c>
      <c r="Y109" s="36" t="e">
        <f ca="1">_xll.BDP($B109,Y$2,)</f>
        <v>#NAME?</v>
      </c>
      <c r="Z109" s="36" t="e">
        <f ca="1">_xll.BDP($B109,Z$2)</f>
        <v>#NAME?</v>
      </c>
      <c r="AA109" s="36">
        <v>106.145</v>
      </c>
      <c r="AB109" s="36">
        <v>128.31700000000001</v>
      </c>
      <c r="AC109" s="92">
        <f t="shared" si="17"/>
        <v>0.24665552810936545</v>
      </c>
    </row>
    <row r="110" spans="1:29" x14ac:dyDescent="0.2">
      <c r="A110" s="1" t="s">
        <v>249</v>
      </c>
      <c r="B110" s="1" t="s">
        <v>249</v>
      </c>
      <c r="C110" s="1" t="s">
        <v>250</v>
      </c>
      <c r="D110" s="36" t="s">
        <v>495</v>
      </c>
      <c r="E110" s="36">
        <v>1735.2260000000001</v>
      </c>
      <c r="F110" s="36">
        <v>1683.934</v>
      </c>
      <c r="G110" s="36" t="e">
        <f ca="1">_xll.BDP($B110,G$2,"EQY_FUND_YEAR=2016")</f>
        <v>#NAME?</v>
      </c>
      <c r="H110" s="36">
        <v>472.71199999999999</v>
      </c>
      <c r="I110" s="36">
        <v>564.25700000000006</v>
      </c>
      <c r="J110" s="36">
        <f t="shared" si="15"/>
        <v>3.5622831660715191</v>
      </c>
      <c r="K110" s="36">
        <f t="shared" si="16"/>
        <v>2.9843386967286181</v>
      </c>
      <c r="L110" s="44">
        <v>0.19365914129533435</v>
      </c>
      <c r="M110" s="36">
        <v>176.87399850463868</v>
      </c>
      <c r="N110" s="36">
        <v>39.25</v>
      </c>
      <c r="O110" s="94">
        <f t="shared" si="9"/>
        <v>0.37416862382304378</v>
      </c>
      <c r="P110" s="36">
        <v>0</v>
      </c>
      <c r="Q110" s="36">
        <f t="shared" si="10"/>
        <v>0</v>
      </c>
      <c r="R110" s="36" t="s">
        <v>480</v>
      </c>
      <c r="S110" s="36" t="e">
        <f t="shared" si="11"/>
        <v>#VALUE!</v>
      </c>
      <c r="T110" s="36" t="s">
        <v>480</v>
      </c>
      <c r="U110" s="36" t="e">
        <f t="shared" si="12"/>
        <v>#VALUE!</v>
      </c>
      <c r="V110" s="36">
        <v>71.519571428570998</v>
      </c>
      <c r="W110" s="36">
        <v>96.55</v>
      </c>
      <c r="X110" s="36">
        <f t="shared" si="13"/>
        <v>0.15129628913285678</v>
      </c>
      <c r="Y110" s="36" t="e">
        <f ca="1">_xll.BDP($B110,Y$2,)</f>
        <v>#NAME?</v>
      </c>
      <c r="Z110" s="36" t="e">
        <f ca="1">_xll.BDP($B110,Z$2)</f>
        <v>#NAME?</v>
      </c>
      <c r="AA110" s="36">
        <v>48.062889999999996</v>
      </c>
      <c r="AB110" s="36">
        <v>69.875</v>
      </c>
      <c r="AC110" s="92">
        <f t="shared" si="17"/>
        <v>0.10167478295452621</v>
      </c>
    </row>
    <row r="111" spans="1:29" x14ac:dyDescent="0.2">
      <c r="A111" s="1" t="s">
        <v>251</v>
      </c>
      <c r="B111" s="1" t="s">
        <v>251</v>
      </c>
      <c r="C111" s="1" t="s">
        <v>252</v>
      </c>
      <c r="D111" s="36" t="s">
        <v>495</v>
      </c>
      <c r="E111" s="36">
        <v>1726.7701999999999</v>
      </c>
      <c r="F111" s="36">
        <v>1563.4879000000001</v>
      </c>
      <c r="G111" s="36" t="e">
        <f ca="1">_xll.BDP($B111,G$2,"EQY_FUND_YEAR=2016")</f>
        <v>#NAME?</v>
      </c>
      <c r="H111" s="36">
        <v>143.75199999999998</v>
      </c>
      <c r="I111" s="36">
        <v>169.75800000000001</v>
      </c>
      <c r="J111" s="36">
        <f t="shared" si="15"/>
        <v>10.876286242974013</v>
      </c>
      <c r="K111" s="36">
        <f t="shared" si="16"/>
        <v>9.2100984931490704</v>
      </c>
      <c r="L111" s="44">
        <v>0.18090878735600224</v>
      </c>
      <c r="M111" s="36">
        <v>101.70600183105469</v>
      </c>
      <c r="N111" s="36">
        <v>69.040000000000006</v>
      </c>
      <c r="O111" s="94">
        <f t="shared" si="9"/>
        <v>0.70751016911802767</v>
      </c>
      <c r="P111" s="36">
        <v>23.690999999999999</v>
      </c>
      <c r="Q111" s="36">
        <f t="shared" si="10"/>
        <v>0.16480466358728924</v>
      </c>
      <c r="R111" s="36">
        <v>29.28</v>
      </c>
      <c r="S111" s="36">
        <f t="shared" si="11"/>
        <v>0.20368412265568483</v>
      </c>
      <c r="T111" s="36">
        <v>13.855</v>
      </c>
      <c r="U111" s="36">
        <f t="shared" si="12"/>
        <v>9.6381267738883655E-2</v>
      </c>
      <c r="V111" s="36">
        <v>35.331999999999994</v>
      </c>
      <c r="W111" s="36">
        <v>46.706000000000003</v>
      </c>
      <c r="X111" s="36">
        <f t="shared" si="13"/>
        <v>0.2457844064778229</v>
      </c>
      <c r="Y111" s="36" t="e">
        <f ca="1">_xll.BDP($B111,Y$2,)</f>
        <v>#NAME?</v>
      </c>
      <c r="Z111" s="36" t="e">
        <f ca="1">_xll.BDP($B111,Z$2)</f>
        <v>#NAME?</v>
      </c>
      <c r="AA111" s="36">
        <v>20.335000000000001</v>
      </c>
      <c r="AB111" s="36">
        <v>25.542000000000002</v>
      </c>
      <c r="AC111" s="92">
        <f t="shared" si="17"/>
        <v>0.14145890144137127</v>
      </c>
    </row>
    <row r="112" spans="1:29" x14ac:dyDescent="0.2">
      <c r="A112" s="1" t="s">
        <v>253</v>
      </c>
      <c r="B112" s="1" t="s">
        <v>253</v>
      </c>
      <c r="C112" s="1" t="s">
        <v>254</v>
      </c>
      <c r="D112" s="36" t="s">
        <v>495</v>
      </c>
      <c r="E112" s="36">
        <v>1631.2665999999999</v>
      </c>
      <c r="F112" s="36">
        <v>1478.7066</v>
      </c>
      <c r="G112" s="36" t="e">
        <f ca="1">_xll.BDP($B112,G$2,"EQY_FUND_YEAR=2016")</f>
        <v>#NAME?</v>
      </c>
      <c r="H112" s="36">
        <v>310.62700000000001</v>
      </c>
      <c r="I112" s="36">
        <v>366.35300000000001</v>
      </c>
      <c r="J112" s="36">
        <f t="shared" si="15"/>
        <v>4.7603930115540498</v>
      </c>
      <c r="K112" s="36">
        <f t="shared" si="16"/>
        <v>4.0362890436273213</v>
      </c>
      <c r="L112" s="44">
        <v>0.17939844250499792</v>
      </c>
      <c r="M112" s="36">
        <v>234.64100097656251</v>
      </c>
      <c r="N112" s="36">
        <v>77.533000000000001</v>
      </c>
      <c r="O112" s="94">
        <f t="shared" si="9"/>
        <v>0.75537864054497039</v>
      </c>
      <c r="P112" s="36">
        <v>34.796999999999997</v>
      </c>
      <c r="Q112" s="36">
        <f t="shared" si="10"/>
        <v>0.11202181394405508</v>
      </c>
      <c r="R112" s="36">
        <v>184.04400000000001</v>
      </c>
      <c r="S112" s="36">
        <f t="shared" si="11"/>
        <v>0.5924919598103191</v>
      </c>
      <c r="T112" s="36">
        <v>38.914999999999999</v>
      </c>
      <c r="U112" s="36">
        <f t="shared" si="12"/>
        <v>0.12527887144388608</v>
      </c>
      <c r="V112" s="36">
        <v>-13.42</v>
      </c>
      <c r="W112" s="36">
        <v>0.23300000000000001</v>
      </c>
      <c r="X112" s="36">
        <f t="shared" si="13"/>
        <v>-4.3202941148065041E-2</v>
      </c>
      <c r="Y112" s="36" t="e">
        <f ca="1">_xll.BDP($B112,Y$2,)</f>
        <v>#NAME?</v>
      </c>
      <c r="Z112" s="36" t="e">
        <f ca="1">_xll.BDP($B112,Z$2)</f>
        <v>#NAME?</v>
      </c>
      <c r="AA112" s="36">
        <v>42.356312490929</v>
      </c>
      <c r="AB112" s="36">
        <v>-14.969000000000001</v>
      </c>
      <c r="AC112" s="92">
        <f t="shared" si="17"/>
        <v>0.13635747211584634</v>
      </c>
    </row>
    <row r="113" spans="1:29" x14ac:dyDescent="0.2">
      <c r="A113" s="1" t="s">
        <v>257</v>
      </c>
      <c r="B113" s="1" t="s">
        <v>257</v>
      </c>
      <c r="C113" s="1" t="s">
        <v>258</v>
      </c>
      <c r="D113" s="36" t="s">
        <v>495</v>
      </c>
      <c r="E113" s="36">
        <v>1534.6110000000001</v>
      </c>
      <c r="F113" s="36">
        <v>1454.999</v>
      </c>
      <c r="G113" s="36" t="e">
        <f ca="1">_xll.BDP($B113,G$2,"EQY_FUND_YEAR=2016")</f>
        <v>#NAME?</v>
      </c>
      <c r="H113" s="36">
        <v>211.739</v>
      </c>
      <c r="I113" s="36">
        <v>279.25700000000001</v>
      </c>
      <c r="J113" s="36">
        <f t="shared" si="15"/>
        <v>6.8716627546177129</v>
      </c>
      <c r="K113" s="36">
        <f t="shared" si="16"/>
        <v>5.2102507725858258</v>
      </c>
      <c r="L113" s="44">
        <v>0.31887370772507673</v>
      </c>
      <c r="M113" s="36">
        <v>149.78799795532225</v>
      </c>
      <c r="N113" s="36">
        <v>70.757000000000005</v>
      </c>
      <c r="O113" s="94">
        <f t="shared" si="9"/>
        <v>0.70741808526214944</v>
      </c>
      <c r="P113" s="36">
        <v>35.809999999999995</v>
      </c>
      <c r="Q113" s="36">
        <f t="shared" si="10"/>
        <v>0.16912330746815651</v>
      </c>
      <c r="R113" s="36">
        <v>71.825000000000003</v>
      </c>
      <c r="S113" s="36">
        <f t="shared" si="11"/>
        <v>0.33921478801732324</v>
      </c>
      <c r="T113" s="36">
        <v>37.470999999999997</v>
      </c>
      <c r="U113" s="36">
        <f t="shared" si="12"/>
        <v>0.176967870822097</v>
      </c>
      <c r="V113" s="36">
        <v>-11.435911392404998</v>
      </c>
      <c r="W113" s="36">
        <v>2.3530000000000002</v>
      </c>
      <c r="X113" s="36">
        <f t="shared" si="13"/>
        <v>-5.4009471058260393E-2</v>
      </c>
      <c r="Y113" s="36" t="e">
        <f ca="1">_xll.BDP($B113,Y$2,)</f>
        <v>#NAME?</v>
      </c>
      <c r="Z113" s="36" t="e">
        <f ca="1">_xll.BDP($B113,Z$2)</f>
        <v>#NAME?</v>
      </c>
      <c r="AA113" s="36">
        <v>-22.763379999999998</v>
      </c>
      <c r="AB113" s="36">
        <v>-7.5310000000000006</v>
      </c>
      <c r="AC113" s="92">
        <f t="shared" si="17"/>
        <v>-0.10750678901855586</v>
      </c>
    </row>
    <row r="114" spans="1:29" x14ac:dyDescent="0.2">
      <c r="A114" s="1" t="s">
        <v>259</v>
      </c>
      <c r="B114" s="1" t="s">
        <v>259</v>
      </c>
      <c r="C114" s="1" t="s">
        <v>260</v>
      </c>
      <c r="D114" s="36" t="s">
        <v>495</v>
      </c>
      <c r="E114" s="36">
        <v>1513.4337</v>
      </c>
      <c r="F114" s="36">
        <v>1346.6967</v>
      </c>
      <c r="G114" s="36" t="e">
        <f ca="1">_xll.BDP($B114,G$2,"EQY_FUND_YEAR=2016")</f>
        <v>#NAME?</v>
      </c>
      <c r="H114" s="36">
        <v>128.28899999999999</v>
      </c>
      <c r="I114" s="36">
        <v>156.166</v>
      </c>
      <c r="J114" s="36">
        <f t="shared" si="15"/>
        <v>10.497366882585414</v>
      </c>
      <c r="K114" s="36">
        <f t="shared" si="16"/>
        <v>8.6234948708425652</v>
      </c>
      <c r="L114" s="44">
        <v>0.21729844335835513</v>
      </c>
      <c r="M114" s="36">
        <v>95.234000320434575</v>
      </c>
      <c r="N114" s="36">
        <v>76.150000000000006</v>
      </c>
      <c r="O114" s="94">
        <f t="shared" si="9"/>
        <v>0.74233956395664935</v>
      </c>
      <c r="P114" s="36">
        <v>29.642999999999997</v>
      </c>
      <c r="Q114" s="36">
        <f t="shared" si="10"/>
        <v>0.23106423777564716</v>
      </c>
      <c r="R114" s="36">
        <v>28.184999999999999</v>
      </c>
      <c r="S114" s="36">
        <f t="shared" si="11"/>
        <v>0.21969927273577627</v>
      </c>
      <c r="T114" s="36">
        <v>30.100999999999999</v>
      </c>
      <c r="U114" s="36">
        <f t="shared" si="12"/>
        <v>0.23463430223947496</v>
      </c>
      <c r="V114" s="36">
        <v>4.5019999999999998</v>
      </c>
      <c r="W114" s="36">
        <v>18.233000000000001</v>
      </c>
      <c r="X114" s="36">
        <f t="shared" si="13"/>
        <v>3.5092642393346273E-2</v>
      </c>
      <c r="Y114" s="36" t="e">
        <f ca="1">_xll.BDP($B114,Y$2,)</f>
        <v>#NAME?</v>
      </c>
      <c r="Z114" s="36" t="e">
        <f ca="1">_xll.BDP($B114,Z$2)</f>
        <v>#NAME?</v>
      </c>
      <c r="AA114" s="36">
        <v>-4.702</v>
      </c>
      <c r="AB114" s="36">
        <v>8.918000000000001</v>
      </c>
      <c r="AC114" s="92">
        <f t="shared" si="17"/>
        <v>-3.6651622508554908E-2</v>
      </c>
    </row>
    <row r="115" spans="1:29" x14ac:dyDescent="0.2">
      <c r="A115" s="1" t="s">
        <v>261</v>
      </c>
      <c r="B115" s="1" t="s">
        <v>261</v>
      </c>
      <c r="C115" s="1" t="s">
        <v>262</v>
      </c>
      <c r="D115" s="36" t="s">
        <v>495</v>
      </c>
      <c r="E115" s="36">
        <v>1542.9568999999999</v>
      </c>
      <c r="F115" s="36">
        <v>1407.1201000000001</v>
      </c>
      <c r="G115" s="36" t="e">
        <f ca="1">_xll.BDP($B115,G$2,"EQY_FUND_YEAR=2016")</f>
        <v>#NAME?</v>
      </c>
      <c r="H115" s="36">
        <v>268.00934779214469</v>
      </c>
      <c r="I115" s="36">
        <v>275.88499999999999</v>
      </c>
      <c r="J115" s="36">
        <f t="shared" si="15"/>
        <v>5.2502650060224596</v>
      </c>
      <c r="K115" s="36">
        <f t="shared" si="16"/>
        <v>5.1003863928810924</v>
      </c>
      <c r="L115" s="44">
        <v>2.9385737000350076E-2</v>
      </c>
      <c r="M115" s="36">
        <v>186.44702180226108</v>
      </c>
      <c r="N115" s="36">
        <v>69.266999999999996</v>
      </c>
      <c r="O115" s="94">
        <f t="shared" si="9"/>
        <v>0.69567357757558712</v>
      </c>
      <c r="P115" s="36">
        <v>34.081785163002429</v>
      </c>
      <c r="Q115" s="36">
        <f t="shared" si="10"/>
        <v>0.12716640461897114</v>
      </c>
      <c r="R115" s="36" t="s">
        <v>480</v>
      </c>
      <c r="S115" s="36" t="e">
        <f t="shared" si="11"/>
        <v>#VALUE!</v>
      </c>
      <c r="T115" s="36" t="s">
        <v>480</v>
      </c>
      <c r="U115" s="36" t="e">
        <f t="shared" si="12"/>
        <v>#VALUE!</v>
      </c>
      <c r="V115" s="36">
        <v>92.270070899827459</v>
      </c>
      <c r="W115" s="36">
        <v>82.138000000000005</v>
      </c>
      <c r="X115" s="36">
        <f t="shared" si="13"/>
        <v>0.34427930092717413</v>
      </c>
      <c r="Y115" s="36" t="e">
        <f ca="1">_xll.BDP($B115,Y$2,)</f>
        <v>#NAME?</v>
      </c>
      <c r="Z115" s="36" t="e">
        <f ca="1">_xll.BDP($B115,Z$2)</f>
        <v>#NAME?</v>
      </c>
      <c r="AA115" s="36">
        <v>45.2449786771883</v>
      </c>
      <c r="AB115" s="36">
        <v>49.151000000000003</v>
      </c>
      <c r="AC115" s="92">
        <f t="shared" si="17"/>
        <v>0.16881865893826267</v>
      </c>
    </row>
    <row r="116" spans="1:29" x14ac:dyDescent="0.2">
      <c r="A116" s="1" t="s">
        <v>263</v>
      </c>
      <c r="B116" s="1" t="s">
        <v>263</v>
      </c>
      <c r="C116" s="1" t="s">
        <v>264</v>
      </c>
      <c r="D116" s="36" t="s">
        <v>505</v>
      </c>
      <c r="E116" s="36">
        <v>1556.6736000000001</v>
      </c>
      <c r="F116" s="36">
        <v>1443.3649</v>
      </c>
      <c r="G116" s="36" t="e">
        <f ca="1">_xll.BDP($B116,G$2,"EQY_FUND_YEAR=2016")</f>
        <v>#NAME?</v>
      </c>
      <c r="H116" s="36">
        <v>221.20800000000003</v>
      </c>
      <c r="I116" s="36">
        <v>260.59699999999998</v>
      </c>
      <c r="J116" s="36">
        <f t="shared" si="15"/>
        <v>6.524921793063541</v>
      </c>
      <c r="K116" s="36">
        <f t="shared" si="16"/>
        <v>5.5386857868663117</v>
      </c>
      <c r="L116" s="44">
        <v>0.17806318035514068</v>
      </c>
      <c r="M116" s="36">
        <v>155.65399899291992</v>
      </c>
      <c r="N116" s="36">
        <v>72.808999999999997</v>
      </c>
      <c r="O116" s="94">
        <f t="shared" si="9"/>
        <v>0.70365447448971064</v>
      </c>
      <c r="P116" s="36">
        <v>50.937999999999995</v>
      </c>
      <c r="Q116" s="36">
        <f t="shared" si="10"/>
        <v>0.2302719612310585</v>
      </c>
      <c r="R116" s="36">
        <v>111.593</v>
      </c>
      <c r="S116" s="36">
        <f t="shared" si="11"/>
        <v>0.50447090521138471</v>
      </c>
      <c r="T116" s="36">
        <v>30.292999999999999</v>
      </c>
      <c r="U116" s="36">
        <f t="shared" si="12"/>
        <v>0.13694351018046361</v>
      </c>
      <c r="V116" s="36">
        <v>-47.295392405064</v>
      </c>
      <c r="W116" s="36">
        <v>-2.335</v>
      </c>
      <c r="X116" s="36">
        <f t="shared" si="13"/>
        <v>-0.21380507217218181</v>
      </c>
      <c r="Y116" s="36" t="e">
        <f ca="1">_xll.BDP($B116,Y$2,)</f>
        <v>#NAME?</v>
      </c>
      <c r="Z116" s="36" t="e">
        <f ca="1">_xll.BDP($B116,Z$2)</f>
        <v>#NAME?</v>
      </c>
      <c r="AA116" s="36">
        <v>-53.869</v>
      </c>
      <c r="AB116" s="36">
        <v>-11.454000000000001</v>
      </c>
      <c r="AC116" s="92">
        <f t="shared" si="17"/>
        <v>-0.24352193410726553</v>
      </c>
    </row>
    <row r="117" spans="1:29" x14ac:dyDescent="0.2">
      <c r="A117" s="1" t="s">
        <v>265</v>
      </c>
      <c r="B117" s="1" t="s">
        <v>265</v>
      </c>
      <c r="C117" s="1" t="s">
        <v>266</v>
      </c>
      <c r="D117" s="36" t="s">
        <v>505</v>
      </c>
      <c r="E117" s="36">
        <v>1459.6728000000001</v>
      </c>
      <c r="F117" s="36">
        <v>1409.3098</v>
      </c>
      <c r="G117" s="36" t="e">
        <f ca="1">_xll.BDP($B117,G$2,"EQY_FUND_YEAR=2016")</f>
        <v>#NAME?</v>
      </c>
      <c r="H117" s="36">
        <v>206.78900000000002</v>
      </c>
      <c r="I117" s="36">
        <v>220.108</v>
      </c>
      <c r="J117" s="36">
        <f t="shared" si="15"/>
        <v>6.8152068050041343</v>
      </c>
      <c r="K117" s="36">
        <f t="shared" si="16"/>
        <v>6.4028104385120033</v>
      </c>
      <c r="L117" s="44">
        <v>6.44086484290749E-2</v>
      </c>
      <c r="M117" s="36">
        <v>128.89599989318847</v>
      </c>
      <c r="N117" s="36">
        <v>64.533000000000001</v>
      </c>
      <c r="O117" s="94">
        <f t="shared" si="9"/>
        <v>0.62332135603532324</v>
      </c>
      <c r="P117" s="36">
        <v>34.835000000000001</v>
      </c>
      <c r="Q117" s="36">
        <f t="shared" si="10"/>
        <v>0.16845673609331249</v>
      </c>
      <c r="R117" s="36">
        <v>81.965999999999994</v>
      </c>
      <c r="S117" s="36">
        <f t="shared" si="11"/>
        <v>0.3963750489629525</v>
      </c>
      <c r="T117" s="36">
        <v>27.15</v>
      </c>
      <c r="U117" s="36">
        <f t="shared" si="12"/>
        <v>0.13129325060810776</v>
      </c>
      <c r="V117" s="36">
        <v>-30.616</v>
      </c>
      <c r="W117" s="36">
        <v>-42.71</v>
      </c>
      <c r="X117" s="36">
        <f t="shared" si="13"/>
        <v>-0.148054296892001</v>
      </c>
      <c r="Y117" s="36" t="e">
        <f ca="1">_xll.BDP($B117,Y$2,)</f>
        <v>#NAME?</v>
      </c>
      <c r="Z117" s="36" t="e">
        <f ca="1">_xll.BDP($B117,Z$2)</f>
        <v>#NAME?</v>
      </c>
      <c r="AA117" s="36">
        <v>-33.673000000000002</v>
      </c>
      <c r="AB117" s="36">
        <v>-37.93</v>
      </c>
      <c r="AC117" s="92">
        <f t="shared" si="17"/>
        <v>-0.16283748168422885</v>
      </c>
    </row>
    <row r="118" spans="1:29" x14ac:dyDescent="0.2">
      <c r="A118" s="1" t="s">
        <v>267</v>
      </c>
      <c r="B118" s="1" t="s">
        <v>267</v>
      </c>
      <c r="C118" s="1" t="s">
        <v>268</v>
      </c>
      <c r="D118" s="36" t="s">
        <v>495</v>
      </c>
      <c r="E118" s="36">
        <v>1457.1904999999999</v>
      </c>
      <c r="F118" s="36">
        <v>1375.7365</v>
      </c>
      <c r="G118" s="36" t="e">
        <f ca="1">_xll.BDP($B118,G$2,"EQY_FUND_YEAR=2016")</f>
        <v>#NAME?</v>
      </c>
      <c r="H118" s="36">
        <v>309.411</v>
      </c>
      <c r="I118" s="36">
        <v>376.04599999999999</v>
      </c>
      <c r="J118" s="36">
        <f t="shared" si="15"/>
        <v>4.4463076619771114</v>
      </c>
      <c r="K118" s="36">
        <f t="shared" si="16"/>
        <v>3.6584260968073057</v>
      </c>
      <c r="L118" s="44">
        <v>0.21536079842022415</v>
      </c>
      <c r="M118" s="36">
        <v>220.4609998474121</v>
      </c>
      <c r="N118" s="36">
        <v>74.707999999999998</v>
      </c>
      <c r="O118" s="94">
        <f t="shared" si="9"/>
        <v>0.71251830040758768</v>
      </c>
      <c r="P118" s="36">
        <v>101.09399999999999</v>
      </c>
      <c r="Q118" s="36">
        <f t="shared" si="10"/>
        <v>0.32673046530343136</v>
      </c>
      <c r="R118" s="36">
        <v>200.18799999999999</v>
      </c>
      <c r="S118" s="36">
        <f t="shared" si="11"/>
        <v>0.64699703630446226</v>
      </c>
      <c r="T118" s="36">
        <v>78.281999999999996</v>
      </c>
      <c r="U118" s="36">
        <f t="shared" si="12"/>
        <v>0.25300328689025275</v>
      </c>
      <c r="V118" s="36">
        <v>-163.124</v>
      </c>
      <c r="W118" s="36">
        <v>-38.413000000000004</v>
      </c>
      <c r="X118" s="36">
        <f t="shared" si="13"/>
        <v>-0.52720814709237873</v>
      </c>
      <c r="Y118" s="36" t="e">
        <f ca="1">_xll.BDP($B118,Y$2,)</f>
        <v>#NAME?</v>
      </c>
      <c r="Z118" s="36" t="e">
        <f ca="1">_xll.BDP($B118,Z$2)</f>
        <v>#NAME?</v>
      </c>
      <c r="AA118" s="36">
        <v>-176.84800000000001</v>
      </c>
      <c r="AB118" s="36">
        <v>-41.511000000000003</v>
      </c>
      <c r="AC118" s="92">
        <f t="shared" si="17"/>
        <v>-0.57156338979545007</v>
      </c>
    </row>
    <row r="119" spans="1:29" x14ac:dyDescent="0.2">
      <c r="A119" s="1" t="s">
        <v>269</v>
      </c>
      <c r="B119" s="1" t="s">
        <v>269</v>
      </c>
      <c r="C119" s="1" t="s">
        <v>270</v>
      </c>
      <c r="D119" s="36" t="s">
        <v>495</v>
      </c>
      <c r="E119" s="36">
        <v>1469.1429000000001</v>
      </c>
      <c r="F119" s="36">
        <v>1455.3159000000001</v>
      </c>
      <c r="G119" s="36" t="e">
        <f ca="1">_xll.BDP($B119,G$2,"EQY_FUND_YEAR=2016")</f>
        <v>#NAME?</v>
      </c>
      <c r="H119" s="36">
        <v>122.828</v>
      </c>
      <c r="I119" s="36">
        <v>163.084</v>
      </c>
      <c r="J119" s="36">
        <f t="shared" si="15"/>
        <v>11.848405086788029</v>
      </c>
      <c r="K119" s="36">
        <f t="shared" si="16"/>
        <v>8.9237196782026444</v>
      </c>
      <c r="L119" s="44">
        <v>0.32774285993421692</v>
      </c>
      <c r="M119" s="36">
        <v>85.026000061035163</v>
      </c>
      <c r="N119" s="36">
        <v>71.689000000000007</v>
      </c>
      <c r="O119" s="94">
        <f t="shared" si="9"/>
        <v>0.69223629840944378</v>
      </c>
      <c r="P119" s="36">
        <v>22.241</v>
      </c>
      <c r="Q119" s="36">
        <f t="shared" si="10"/>
        <v>0.18107434786856416</v>
      </c>
      <c r="R119" s="36">
        <v>46.997999999999998</v>
      </c>
      <c r="S119" s="36">
        <f t="shared" si="11"/>
        <v>0.38263262448301688</v>
      </c>
      <c r="T119" s="36">
        <v>22.895</v>
      </c>
      <c r="U119" s="36">
        <f t="shared" si="12"/>
        <v>0.18639886670791675</v>
      </c>
      <c r="V119" s="36">
        <v>-24.664999999999999</v>
      </c>
      <c r="W119" s="36">
        <v>-0.70599999999999996</v>
      </c>
      <c r="X119" s="36">
        <f t="shared" si="13"/>
        <v>-0.20080926173185265</v>
      </c>
      <c r="Y119" s="36" t="e">
        <f ca="1">_xll.BDP($B119,Y$2,)</f>
        <v>#NAME?</v>
      </c>
      <c r="Z119" s="36" t="e">
        <f ca="1">_xll.BDP($B119,Z$2)</f>
        <v>#NAME?</v>
      </c>
      <c r="AA119" s="36">
        <v>-39.188639999999999</v>
      </c>
      <c r="AB119" s="36">
        <v>-13.982000000000001</v>
      </c>
      <c r="AC119" s="92">
        <f t="shared" si="17"/>
        <v>-0.3190529846614778</v>
      </c>
    </row>
    <row r="120" spans="1:29" x14ac:dyDescent="0.2">
      <c r="A120" s="1" t="s">
        <v>271</v>
      </c>
      <c r="B120" s="1" t="s">
        <v>271</v>
      </c>
      <c r="C120" s="1" t="s">
        <v>272</v>
      </c>
      <c r="D120" s="36" t="s">
        <v>495</v>
      </c>
      <c r="E120" s="36">
        <v>1512.7247</v>
      </c>
      <c r="F120" s="36">
        <v>1335.0657000000001</v>
      </c>
      <c r="G120" s="36" t="e">
        <f ca="1">_xll.BDP($B120,G$2,"EQY_FUND_YEAR=2016")</f>
        <v>#NAME?</v>
      </c>
      <c r="H120" s="36">
        <v>234.53299999999999</v>
      </c>
      <c r="I120" s="36">
        <v>255.227</v>
      </c>
      <c r="J120" s="36">
        <f t="shared" si="15"/>
        <v>5.6924428545236712</v>
      </c>
      <c r="K120" s="36">
        <f t="shared" si="16"/>
        <v>5.2308952422745243</v>
      </c>
      <c r="L120" s="44">
        <v>8.8234917900679388E-2</v>
      </c>
      <c r="M120" s="36">
        <v>156.26900183105468</v>
      </c>
      <c r="N120" s="36">
        <v>66.875</v>
      </c>
      <c r="O120" s="94">
        <f t="shared" si="9"/>
        <v>0.666298567071818</v>
      </c>
      <c r="P120" s="36">
        <v>23.183</v>
      </c>
      <c r="Q120" s="36">
        <f t="shared" si="10"/>
        <v>9.8847496940729029E-2</v>
      </c>
      <c r="R120" s="36">
        <v>73.295000000000002</v>
      </c>
      <c r="S120" s="36">
        <f t="shared" si="11"/>
        <v>0.31251465678603868</v>
      </c>
      <c r="T120" s="36">
        <v>37.460999999999999</v>
      </c>
      <c r="U120" s="36">
        <f t="shared" si="12"/>
        <v>0.15972592343081785</v>
      </c>
      <c r="V120" s="36">
        <v>24.942</v>
      </c>
      <c r="W120" s="36">
        <v>52.480000000000004</v>
      </c>
      <c r="X120" s="36">
        <f t="shared" si="13"/>
        <v>0.10634750760020978</v>
      </c>
      <c r="Y120" s="36" t="e">
        <f ca="1">_xll.BDP($B120,Y$2,)</f>
        <v>#NAME?</v>
      </c>
      <c r="Z120" s="36" t="e">
        <f ca="1">_xll.BDP($B120,Z$2)</f>
        <v>#NAME?</v>
      </c>
      <c r="AA120" s="36">
        <v>10.046000000000001</v>
      </c>
      <c r="AB120" s="36">
        <v>29.999000000000002</v>
      </c>
      <c r="AC120" s="92">
        <f t="shared" si="17"/>
        <v>4.2834057467392654E-2</v>
      </c>
    </row>
    <row r="121" spans="1:29" x14ac:dyDescent="0.2">
      <c r="A121" s="1" t="s">
        <v>273</v>
      </c>
      <c r="B121" s="1" t="s">
        <v>273</v>
      </c>
      <c r="C121" s="1" t="s">
        <v>274</v>
      </c>
      <c r="D121" s="36" t="s">
        <v>505</v>
      </c>
      <c r="E121" s="36">
        <v>1399.9066</v>
      </c>
      <c r="F121" s="36">
        <v>2032.1335999999999</v>
      </c>
      <c r="G121" s="36" t="e">
        <f ca="1">_xll.BDP($B121,G$2,"EQY_FUND_YEAR=2016")</f>
        <v>#NAME?</v>
      </c>
      <c r="H121" s="36">
        <v>774.83100000000002</v>
      </c>
      <c r="I121" s="36">
        <v>685.5</v>
      </c>
      <c r="J121" s="36">
        <f t="shared" si="15"/>
        <v>2.6226797843658809</v>
      </c>
      <c r="K121" s="36">
        <f t="shared" si="16"/>
        <v>2.9644545587162652</v>
      </c>
      <c r="L121" s="44">
        <v>-0.11529094731625344</v>
      </c>
      <c r="M121" s="36">
        <v>572.46900695800787</v>
      </c>
      <c r="N121" s="36">
        <v>73.2</v>
      </c>
      <c r="O121" s="94">
        <f t="shared" si="9"/>
        <v>0.73883079917815353</v>
      </c>
      <c r="P121" s="36">
        <v>194.38200000000001</v>
      </c>
      <c r="Q121" s="36">
        <f t="shared" si="10"/>
        <v>0.25087018975750841</v>
      </c>
      <c r="R121" s="36" t="s">
        <v>480</v>
      </c>
      <c r="S121" s="36" t="e">
        <f t="shared" si="11"/>
        <v>#VALUE!</v>
      </c>
      <c r="T121" s="36" t="s">
        <v>480</v>
      </c>
      <c r="U121" s="36" t="e">
        <f t="shared" si="12"/>
        <v>#VALUE!</v>
      </c>
      <c r="V121" s="36">
        <v>202.02800000000002</v>
      </c>
      <c r="W121" s="36">
        <v>206.42500000000001</v>
      </c>
      <c r="X121" s="36">
        <f t="shared" si="13"/>
        <v>0.26073814806067391</v>
      </c>
      <c r="Y121" s="36" t="e">
        <f ca="1">_xll.BDP($B121,Y$2,)</f>
        <v>#NAME?</v>
      </c>
      <c r="Z121" s="36" t="e">
        <f ca="1">_xll.BDP($B121,Z$2)</f>
        <v>#NAME?</v>
      </c>
      <c r="AA121" s="36">
        <v>-55.119129999999998</v>
      </c>
      <c r="AB121" s="36">
        <v>129.5</v>
      </c>
      <c r="AC121" s="92">
        <f t="shared" si="17"/>
        <v>-7.1136970513570055E-2</v>
      </c>
    </row>
    <row r="122" spans="1:29" x14ac:dyDescent="0.2">
      <c r="A122" s="1" t="s">
        <v>275</v>
      </c>
      <c r="B122" s="1" t="s">
        <v>275</v>
      </c>
      <c r="C122" s="1" t="s">
        <v>276</v>
      </c>
      <c r="D122" s="36" t="s">
        <v>495</v>
      </c>
      <c r="E122" s="36">
        <v>1420.0074</v>
      </c>
      <c r="F122" s="36">
        <v>719.44939999999997</v>
      </c>
      <c r="G122" s="36" t="e">
        <f ca="1">_xll.BDP($B122,G$2,"EQY_FUND_YEAR=2016")</f>
        <v>#NAME?</v>
      </c>
      <c r="H122" s="36">
        <v>506.92600000000004</v>
      </c>
      <c r="I122" s="36">
        <v>514</v>
      </c>
      <c r="J122" s="36">
        <f t="shared" si="15"/>
        <v>1.4192394945218827</v>
      </c>
      <c r="K122" s="36">
        <f t="shared" si="16"/>
        <v>1.3997070038910506</v>
      </c>
      <c r="L122" s="44">
        <v>1.3954699502491508E-2</v>
      </c>
      <c r="M122" s="36">
        <v>407.5589940185547</v>
      </c>
      <c r="N122" s="36" t="s">
        <v>480</v>
      </c>
      <c r="O122" s="94">
        <f t="shared" si="9"/>
        <v>0.803981239901987</v>
      </c>
      <c r="P122" s="36">
        <v>78.765999999999991</v>
      </c>
      <c r="Q122" s="36">
        <f t="shared" si="10"/>
        <v>0.15537968066344987</v>
      </c>
      <c r="R122" s="36">
        <v>174.61199999999999</v>
      </c>
      <c r="S122" s="36">
        <f t="shared" si="11"/>
        <v>0.34445264200297476</v>
      </c>
      <c r="T122" s="36">
        <v>80.161000000000001</v>
      </c>
      <c r="U122" s="36">
        <f t="shared" si="12"/>
        <v>0.1581315616085977</v>
      </c>
      <c r="V122" s="36">
        <v>47.558000000000007</v>
      </c>
      <c r="W122" s="36" t="s">
        <v>480</v>
      </c>
      <c r="X122" s="36">
        <f t="shared" si="13"/>
        <v>9.3816454472644931E-2</v>
      </c>
      <c r="Y122" s="36" t="e">
        <f ca="1">_xll.BDP($B122,Y$2,)</f>
        <v>#NAME?</v>
      </c>
      <c r="Z122" s="36" t="e">
        <f ca="1">_xll.BDP($B122,Z$2)</f>
        <v>#NAME?</v>
      </c>
      <c r="AA122" s="36">
        <v>42.201000000000001</v>
      </c>
      <c r="AB122" s="36" t="s">
        <v>480</v>
      </c>
      <c r="AC122" s="92">
        <f t="shared" si="17"/>
        <v>8.3248837108374787E-2</v>
      </c>
    </row>
    <row r="123" spans="1:29" x14ac:dyDescent="0.2">
      <c r="A123" s="1" t="s">
        <v>277</v>
      </c>
      <c r="B123" s="1" t="s">
        <v>277</v>
      </c>
      <c r="C123" s="1" t="s">
        <v>278</v>
      </c>
      <c r="D123" s="36" t="s">
        <v>505</v>
      </c>
      <c r="E123" s="36">
        <v>1423.8616</v>
      </c>
      <c r="F123" s="36">
        <v>1403.5246</v>
      </c>
      <c r="G123" s="36" t="e">
        <f ca="1">_xll.BDP($B123,G$2,"EQY_FUND_YEAR=2016")</f>
        <v>#NAME?</v>
      </c>
      <c r="H123" s="36">
        <v>401.911</v>
      </c>
      <c r="I123" s="36">
        <v>396.25</v>
      </c>
      <c r="J123" s="36">
        <f t="shared" si="15"/>
        <v>3.4921278591528968</v>
      </c>
      <c r="K123" s="36">
        <f t="shared" si="16"/>
        <v>3.5420179179810725</v>
      </c>
      <c r="L123" s="44">
        <v>-1.4085207919166232E-2</v>
      </c>
      <c r="M123" s="36">
        <v>333.70999957275393</v>
      </c>
      <c r="N123" s="36">
        <v>89</v>
      </c>
      <c r="O123" s="94">
        <f t="shared" si="9"/>
        <v>0.83030820149922224</v>
      </c>
      <c r="P123" s="36">
        <v>76.988</v>
      </c>
      <c r="Q123" s="36">
        <f t="shared" si="10"/>
        <v>0.19155484671979617</v>
      </c>
      <c r="R123" s="36">
        <v>96.344999999999999</v>
      </c>
      <c r="S123" s="36">
        <f t="shared" si="11"/>
        <v>0.23971725083413989</v>
      </c>
      <c r="T123" s="36">
        <v>45.738999999999997</v>
      </c>
      <c r="U123" s="36">
        <f t="shared" si="12"/>
        <v>0.11380380233434764</v>
      </c>
      <c r="V123" s="36">
        <v>142.37699999999998</v>
      </c>
      <c r="W123" s="36">
        <v>184</v>
      </c>
      <c r="X123" s="36">
        <f t="shared" si="13"/>
        <v>0.35425007028919331</v>
      </c>
      <c r="Y123" s="36" t="e">
        <f ca="1">_xll.BDP($B123,Y$2,)</f>
        <v>#NAME?</v>
      </c>
      <c r="Z123" s="36" t="e">
        <f ca="1">_xll.BDP($B123,Z$2)</f>
        <v>#NAME?</v>
      </c>
      <c r="AA123" s="36">
        <v>65.876939999999991</v>
      </c>
      <c r="AB123" s="36">
        <v>108.733</v>
      </c>
      <c r="AC123" s="92">
        <f t="shared" si="17"/>
        <v>0.16390927344611117</v>
      </c>
    </row>
    <row r="124" spans="1:29" x14ac:dyDescent="0.2">
      <c r="A124" s="1" t="s">
        <v>279</v>
      </c>
      <c r="B124" s="1" t="s">
        <v>279</v>
      </c>
      <c r="C124" s="1" t="s">
        <v>280</v>
      </c>
      <c r="D124" s="36" t="s">
        <v>495</v>
      </c>
      <c r="E124" s="36">
        <v>1422.0752</v>
      </c>
      <c r="F124" s="36">
        <v>1360.3652</v>
      </c>
      <c r="G124" s="36" t="e">
        <f ca="1">_xll.BDP($B124,G$2,"EQY_FUND_YEAR=2016")</f>
        <v>#NAME?</v>
      </c>
      <c r="H124" s="36">
        <v>225.61</v>
      </c>
      <c r="I124" s="36">
        <v>255.92000000000002</v>
      </c>
      <c r="J124" s="36">
        <f t="shared" si="15"/>
        <v>6.0297203138158766</v>
      </c>
      <c r="K124" s="36">
        <f t="shared" si="16"/>
        <v>5.3155876836511409</v>
      </c>
      <c r="L124" s="44">
        <v>0.13434688178715493</v>
      </c>
      <c r="M124" s="36">
        <v>161.06200064086914</v>
      </c>
      <c r="N124" s="36">
        <v>72.180000000000007</v>
      </c>
      <c r="O124" s="94">
        <f t="shared" si="9"/>
        <v>0.71389566349394595</v>
      </c>
      <c r="P124" s="36">
        <v>68.171999999999997</v>
      </c>
      <c r="Q124" s="36">
        <f t="shared" si="10"/>
        <v>0.30216745711626253</v>
      </c>
      <c r="R124" s="36">
        <v>84.161000000000001</v>
      </c>
      <c r="S124" s="36">
        <f t="shared" si="11"/>
        <v>0.37303754266211603</v>
      </c>
      <c r="T124" s="36">
        <v>39.594000000000001</v>
      </c>
      <c r="U124" s="36">
        <f t="shared" si="12"/>
        <v>0.17549754000265946</v>
      </c>
      <c r="V124" s="36">
        <v>-48.74664556962</v>
      </c>
      <c r="W124" s="36">
        <v>-16.401</v>
      </c>
      <c r="X124" s="36">
        <f t="shared" si="13"/>
        <v>-0.21606597921023002</v>
      </c>
      <c r="Y124" s="36" t="e">
        <f ca="1">_xll.BDP($B124,Y$2,)</f>
        <v>#NAME?</v>
      </c>
      <c r="Z124" s="36" t="e">
        <f ca="1">_xll.BDP($B124,Z$2)</f>
        <v>#NAME?</v>
      </c>
      <c r="AA124" s="36">
        <v>-53.88</v>
      </c>
      <c r="AB124" s="36">
        <v>-22.204000000000001</v>
      </c>
      <c r="AC124" s="92">
        <f t="shared" si="17"/>
        <v>-0.23881920127653916</v>
      </c>
    </row>
    <row r="125" spans="1:29" x14ac:dyDescent="0.2">
      <c r="A125" s="1" t="s">
        <v>283</v>
      </c>
      <c r="B125" s="1" t="s">
        <v>283</v>
      </c>
      <c r="C125" s="1" t="s">
        <v>284</v>
      </c>
      <c r="D125" s="36" t="s">
        <v>506</v>
      </c>
      <c r="E125" s="36">
        <v>1272.5319</v>
      </c>
      <c r="F125" s="36">
        <v>2037.6169</v>
      </c>
      <c r="G125" s="36" t="e">
        <f ca="1">_xll.BDP($B125,G$2,"EQY_FUND_YEAR=2016")</f>
        <v>#NAME?</v>
      </c>
      <c r="H125" s="36">
        <v>1442.086</v>
      </c>
      <c r="I125" s="36">
        <v>1299.5</v>
      </c>
      <c r="J125" s="36">
        <f t="shared" si="15"/>
        <v>1.4129648994581461</v>
      </c>
      <c r="K125" s="36">
        <f t="shared" si="16"/>
        <v>1.568000692574067</v>
      </c>
      <c r="L125" s="44">
        <v>-9.8874824386340321E-2</v>
      </c>
      <c r="M125" s="36">
        <v>493.43699993896485</v>
      </c>
      <c r="N125" s="36">
        <v>31.833000000000002</v>
      </c>
      <c r="O125" s="94">
        <f t="shared" si="9"/>
        <v>0.34216891360082885</v>
      </c>
      <c r="P125" s="36">
        <v>0</v>
      </c>
      <c r="Q125" s="36">
        <f t="shared" si="10"/>
        <v>0</v>
      </c>
      <c r="R125" s="36" t="s">
        <v>480</v>
      </c>
      <c r="S125" s="36" t="e">
        <f t="shared" si="11"/>
        <v>#VALUE!</v>
      </c>
      <c r="T125" s="36" t="s">
        <v>480</v>
      </c>
      <c r="U125" s="36" t="e">
        <f t="shared" si="12"/>
        <v>#VALUE!</v>
      </c>
      <c r="V125" s="36">
        <v>321.95100000000002</v>
      </c>
      <c r="W125" s="36">
        <v>274.86700000000002</v>
      </c>
      <c r="X125" s="36">
        <f t="shared" si="13"/>
        <v>0.22325367557829423</v>
      </c>
      <c r="Y125" s="36" t="e">
        <f ca="1">_xll.BDP($B125,Y$2,)</f>
        <v>#NAME?</v>
      </c>
      <c r="Z125" s="36" t="e">
        <f ca="1">_xll.BDP($B125,Z$2)</f>
        <v>#NAME?</v>
      </c>
      <c r="AA125" s="36">
        <v>65.558989999999994</v>
      </c>
      <c r="AB125" s="36">
        <v>81.405000000000001</v>
      </c>
      <c r="AC125" s="92">
        <f t="shared" si="17"/>
        <v>4.546122075937218E-2</v>
      </c>
    </row>
    <row r="126" spans="1:29" x14ac:dyDescent="0.2">
      <c r="A126" s="1" t="s">
        <v>285</v>
      </c>
      <c r="B126" s="1" t="s">
        <v>285</v>
      </c>
      <c r="C126" s="1" t="s">
        <v>286</v>
      </c>
      <c r="D126" s="36" t="s">
        <v>506</v>
      </c>
      <c r="E126" s="36">
        <v>1308.6161999999999</v>
      </c>
      <c r="F126" s="36">
        <v>1236.1941999999999</v>
      </c>
      <c r="G126" s="36" t="e">
        <f ca="1">_xll.BDP($B126,G$2,"EQY_FUND_YEAR=2016")</f>
        <v>#NAME?</v>
      </c>
      <c r="H126" s="36">
        <v>1637.712</v>
      </c>
      <c r="I126" s="36">
        <v>1656.5</v>
      </c>
      <c r="J126" s="36">
        <f t="shared" si="15"/>
        <v>0.75483003116543079</v>
      </c>
      <c r="K126" s="36">
        <f t="shared" si="16"/>
        <v>0.74626875943253845</v>
      </c>
      <c r="L126" s="44">
        <v>1.147210254305997E-2</v>
      </c>
      <c r="M126" s="36">
        <v>553.73400109863292</v>
      </c>
      <c r="N126" s="36">
        <v>34.1</v>
      </c>
      <c r="O126" s="94">
        <f t="shared" si="9"/>
        <v>0.33811439441039259</v>
      </c>
      <c r="P126" s="36">
        <v>0</v>
      </c>
      <c r="Q126" s="36">
        <f t="shared" si="10"/>
        <v>0</v>
      </c>
      <c r="R126" s="36" t="s">
        <v>480</v>
      </c>
      <c r="S126" s="36" t="e">
        <f t="shared" si="11"/>
        <v>#VALUE!</v>
      </c>
      <c r="T126" s="36">
        <v>376.863</v>
      </c>
      <c r="U126" s="36">
        <f t="shared" si="12"/>
        <v>0.23011555145227</v>
      </c>
      <c r="V126" s="36">
        <v>168.06400000000002</v>
      </c>
      <c r="W126" s="36">
        <v>180.32500000000002</v>
      </c>
      <c r="X126" s="36">
        <f t="shared" si="13"/>
        <v>0.10262121789423294</v>
      </c>
      <c r="Y126" s="36" t="e">
        <f ca="1">_xll.BDP($B126,Y$2,)</f>
        <v>#NAME?</v>
      </c>
      <c r="Z126" s="36" t="e">
        <f ca="1">_xll.BDP($B126,Z$2)</f>
        <v>#NAME?</v>
      </c>
      <c r="AA126" s="36">
        <v>71.187725335842003</v>
      </c>
      <c r="AB126" s="36">
        <v>91.15</v>
      </c>
      <c r="AC126" s="92">
        <f t="shared" si="17"/>
        <v>4.3467792466466634E-2</v>
      </c>
    </row>
    <row r="127" spans="1:29" x14ac:dyDescent="0.2">
      <c r="A127" s="1" t="s">
        <v>287</v>
      </c>
      <c r="B127" s="1" t="s">
        <v>287</v>
      </c>
      <c r="C127" s="1" t="s">
        <v>288</v>
      </c>
      <c r="D127" s="36" t="s">
        <v>495</v>
      </c>
      <c r="E127" s="36">
        <v>1284.3643999999999</v>
      </c>
      <c r="F127" s="36">
        <v>1214.4014</v>
      </c>
      <c r="G127" s="36" t="e">
        <f ca="1">_xll.BDP($B127,G$2,"EQY_FUND_YEAR=2016")</f>
        <v>#NAME?</v>
      </c>
      <c r="H127" s="36">
        <v>233.78399999999999</v>
      </c>
      <c r="I127" s="36">
        <v>258.85399999999998</v>
      </c>
      <c r="J127" s="36">
        <f t="shared" si="15"/>
        <v>5.194544536837423</v>
      </c>
      <c r="K127" s="36">
        <f t="shared" si="16"/>
        <v>4.6914530971126585</v>
      </c>
      <c r="L127" s="44">
        <v>0.10723573897272698</v>
      </c>
      <c r="M127" s="36">
        <v>174.50399725341796</v>
      </c>
      <c r="N127" s="36">
        <v>75.575000000000003</v>
      </c>
      <c r="O127" s="94">
        <f t="shared" si="9"/>
        <v>0.74643259270702</v>
      </c>
      <c r="P127" s="36">
        <v>40.033999999999999</v>
      </c>
      <c r="Q127" s="36">
        <f t="shared" si="10"/>
        <v>0.17124354104643602</v>
      </c>
      <c r="R127" s="36">
        <v>90.905000000000001</v>
      </c>
      <c r="S127" s="36">
        <f t="shared" si="11"/>
        <v>0.38884183690928381</v>
      </c>
      <c r="T127" s="36">
        <v>43.124000000000002</v>
      </c>
      <c r="U127" s="36">
        <f t="shared" si="12"/>
        <v>0.18446086986277935</v>
      </c>
      <c r="V127" s="36">
        <v>9.7840000000000007</v>
      </c>
      <c r="W127" s="36">
        <v>26.565000000000001</v>
      </c>
      <c r="X127" s="36">
        <f t="shared" si="13"/>
        <v>4.1850597132395723E-2</v>
      </c>
      <c r="Y127" s="36" t="e">
        <f ca="1">_xll.BDP($B127,Y$2,)</f>
        <v>#NAME?</v>
      </c>
      <c r="Z127" s="36" t="e">
        <f ca="1">_xll.BDP($B127,Z$2)</f>
        <v>#NAME?</v>
      </c>
      <c r="AA127" s="36">
        <v>-8.9980586626340013</v>
      </c>
      <c r="AB127" s="36">
        <v>9.8350000000000009</v>
      </c>
      <c r="AC127" s="92">
        <f t="shared" si="17"/>
        <v>-3.8488770243618048E-2</v>
      </c>
    </row>
    <row r="128" spans="1:29" x14ac:dyDescent="0.2">
      <c r="A128" s="1" t="s">
        <v>289</v>
      </c>
      <c r="B128" s="1" t="s">
        <v>289</v>
      </c>
      <c r="C128" s="1" t="s">
        <v>290</v>
      </c>
      <c r="D128" s="36" t="s">
        <v>505</v>
      </c>
      <c r="E128" s="36">
        <v>1208.1090999999999</v>
      </c>
      <c r="F128" s="36">
        <v>1444.5420999999999</v>
      </c>
      <c r="G128" s="36" t="e">
        <f ca="1">_xll.BDP($B128,G$2,"EQY_FUND_YEAR=2016")</f>
        <v>#NAME?</v>
      </c>
      <c r="H128" s="36">
        <v>162.01400000000001</v>
      </c>
      <c r="I128" s="36">
        <v>226.63</v>
      </c>
      <c r="J128" s="36">
        <f t="shared" si="15"/>
        <v>8.9161560112089067</v>
      </c>
      <c r="K128" s="36">
        <f t="shared" si="16"/>
        <v>6.3740109429466525</v>
      </c>
      <c r="L128" s="44">
        <v>0.39882973076400785</v>
      </c>
      <c r="M128" s="36">
        <v>126.376</v>
      </c>
      <c r="N128" s="36">
        <v>78.225000000000009</v>
      </c>
      <c r="O128" s="94">
        <f t="shared" si="9"/>
        <v>0.78003135531497281</v>
      </c>
      <c r="P128" s="36">
        <v>52.046999999999997</v>
      </c>
      <c r="Q128" s="36">
        <f t="shared" si="10"/>
        <v>0.3212500154307652</v>
      </c>
      <c r="R128" s="36">
        <v>107.19</v>
      </c>
      <c r="S128" s="36">
        <f t="shared" si="11"/>
        <v>0.66160949053785467</v>
      </c>
      <c r="T128" s="36">
        <v>22.337</v>
      </c>
      <c r="U128" s="36">
        <f t="shared" si="12"/>
        <v>0.13787080128877749</v>
      </c>
      <c r="V128" s="36">
        <v>-48.109000000000002</v>
      </c>
      <c r="W128" s="36">
        <v>-55.024999999999999</v>
      </c>
      <c r="X128" s="36">
        <f t="shared" si="13"/>
        <v>-0.29694347402076365</v>
      </c>
      <c r="Y128" s="36" t="e">
        <f ca="1">_xll.BDP($B128,Y$2,)</f>
        <v>#NAME?</v>
      </c>
      <c r="Z128" s="36" t="e">
        <f ca="1">_xll.BDP($B128,Z$2)</f>
        <v>#NAME?</v>
      </c>
      <c r="AA128" s="36">
        <v>-55.826999999999998</v>
      </c>
      <c r="AB128" s="36">
        <v>-63.1</v>
      </c>
      <c r="AC128" s="92">
        <f t="shared" si="17"/>
        <v>-0.34458133247744022</v>
      </c>
    </row>
    <row r="129" spans="1:29" x14ac:dyDescent="0.2">
      <c r="A129" s="1" t="s">
        <v>291</v>
      </c>
      <c r="B129" s="1" t="s">
        <v>291</v>
      </c>
      <c r="C129" s="1" t="s">
        <v>292</v>
      </c>
      <c r="D129" s="36" t="s">
        <v>495</v>
      </c>
      <c r="E129" s="36">
        <v>1266.3698999999999</v>
      </c>
      <c r="F129" s="36">
        <v>1016.1319</v>
      </c>
      <c r="G129" s="36" t="e">
        <f ca="1">_xll.BDP($B129,G$2,"EQY_FUND_YEAR=2016")</f>
        <v>#NAME?</v>
      </c>
      <c r="H129" s="36">
        <v>212.47800000000001</v>
      </c>
      <c r="I129" s="36">
        <v>249.06300000000002</v>
      </c>
      <c r="J129" s="36">
        <f t="shared" si="15"/>
        <v>4.7822922843776761</v>
      </c>
      <c r="K129" s="36">
        <f t="shared" si="16"/>
        <v>4.0798187607151597</v>
      </c>
      <c r="L129" s="44">
        <v>0.17218253183859034</v>
      </c>
      <c r="M129" s="36">
        <v>147.23399932861327</v>
      </c>
      <c r="N129" s="36">
        <v>72.100000000000009</v>
      </c>
      <c r="O129" s="94">
        <f t="shared" si="9"/>
        <v>0.69293761861751924</v>
      </c>
      <c r="P129" s="36">
        <v>40.549999999999997</v>
      </c>
      <c r="Q129" s="36">
        <f t="shared" si="10"/>
        <v>0.19084328730503861</v>
      </c>
      <c r="R129" s="36">
        <v>87.948999999999998</v>
      </c>
      <c r="S129" s="36">
        <f t="shared" si="11"/>
        <v>0.41392050000470637</v>
      </c>
      <c r="T129" s="36">
        <v>27.706</v>
      </c>
      <c r="U129" s="36">
        <f t="shared" si="12"/>
        <v>0.13039467615470776</v>
      </c>
      <c r="V129" s="36">
        <v>-14.339075949367</v>
      </c>
      <c r="W129" s="36">
        <v>11.973000000000001</v>
      </c>
      <c r="X129" s="36">
        <f t="shared" si="13"/>
        <v>-6.748499114904602E-2</v>
      </c>
      <c r="Y129" s="36" t="e">
        <f ca="1">_xll.BDP($B129,Y$2,)</f>
        <v>#NAME?</v>
      </c>
      <c r="Z129" s="36" t="e">
        <f ca="1">_xll.BDP($B129,Z$2)</f>
        <v>#NAME?</v>
      </c>
      <c r="AA129" s="36">
        <v>-23.346969999999999</v>
      </c>
      <c r="AB129" s="36">
        <v>5.1749999999999998</v>
      </c>
      <c r="AC129" s="92">
        <f t="shared" si="17"/>
        <v>-0.10987946987452818</v>
      </c>
    </row>
    <row r="130" spans="1:29" x14ac:dyDescent="0.2">
      <c r="A130" s="1" t="s">
        <v>293</v>
      </c>
      <c r="B130" s="1" t="s">
        <v>293</v>
      </c>
      <c r="C130" s="1" t="s">
        <v>294</v>
      </c>
      <c r="D130" s="36" t="s">
        <v>505</v>
      </c>
      <c r="E130" s="36">
        <v>1222.0399</v>
      </c>
      <c r="F130" s="36">
        <v>1118.7239</v>
      </c>
      <c r="G130" s="36" t="e">
        <f ca="1">_xll.BDP($B130,G$2,"EQY_FUND_YEAR=2016")</f>
        <v>#NAME?</v>
      </c>
      <c r="H130" s="36">
        <v>493.41899999999998</v>
      </c>
      <c r="I130" s="36">
        <v>540.76700000000005</v>
      </c>
      <c r="J130" s="36">
        <f t="shared" si="15"/>
        <v>2.2672898692591894</v>
      </c>
      <c r="K130" s="36">
        <f t="shared" si="16"/>
        <v>2.0687725027599684</v>
      </c>
      <c r="L130" s="44">
        <v>9.5959012522825571E-2</v>
      </c>
      <c r="M130" s="36">
        <v>254.20199630737304</v>
      </c>
      <c r="N130" s="36">
        <v>53.95</v>
      </c>
      <c r="O130" s="94">
        <f t="shared" si="9"/>
        <v>0.51518485568527572</v>
      </c>
      <c r="P130" s="36">
        <v>80.164000000000001</v>
      </c>
      <c r="Q130" s="36">
        <f t="shared" si="10"/>
        <v>0.162466382526818</v>
      </c>
      <c r="R130" s="36">
        <v>151.34100000000001</v>
      </c>
      <c r="S130" s="36">
        <f t="shared" si="11"/>
        <v>0.3067190359511896</v>
      </c>
      <c r="T130" s="36">
        <v>92.725999999999999</v>
      </c>
      <c r="U130" s="36">
        <f t="shared" si="12"/>
        <v>0.18792547510330976</v>
      </c>
      <c r="V130" s="36">
        <v>-32.902000000000001</v>
      </c>
      <c r="W130" s="36">
        <v>-0.65700000000000003</v>
      </c>
      <c r="X130" s="36">
        <f t="shared" si="13"/>
        <v>-6.6681664062389165E-2</v>
      </c>
      <c r="Y130" s="36" t="e">
        <f ca="1">_xll.BDP($B130,Y$2,)</f>
        <v>#NAME?</v>
      </c>
      <c r="Z130" s="36" t="e">
        <f ca="1">_xll.BDP($B130,Z$2)</f>
        <v>#NAME?</v>
      </c>
      <c r="AA130" s="36">
        <v>-51.781127336844001</v>
      </c>
      <c r="AB130" s="36">
        <v>-11.215</v>
      </c>
      <c r="AC130" s="92">
        <f t="shared" si="17"/>
        <v>-0.10494352130105246</v>
      </c>
    </row>
    <row r="131" spans="1:29" x14ac:dyDescent="0.2">
      <c r="A131" s="1" t="s">
        <v>295</v>
      </c>
      <c r="B131" s="1" t="s">
        <v>295</v>
      </c>
      <c r="C131" s="1" t="s">
        <v>296</v>
      </c>
      <c r="D131" s="36" t="s">
        <v>506</v>
      </c>
      <c r="E131" s="36">
        <v>1182.72</v>
      </c>
      <c r="F131" s="36">
        <v>1357.76</v>
      </c>
      <c r="G131" s="36" t="e">
        <f ca="1">_xll.BDP($B131,G$2,"EQY_FUND_YEAR=2016")</f>
        <v>#NAME?</v>
      </c>
      <c r="H131" s="36">
        <v>819.13599999999997</v>
      </c>
      <c r="I131" s="36">
        <v>876.5</v>
      </c>
      <c r="J131" s="36">
        <f t="shared" si="15"/>
        <v>1.6575513712008751</v>
      </c>
      <c r="K131" s="36">
        <f t="shared" si="16"/>
        <v>1.5490701654306902</v>
      </c>
      <c r="L131" s="44">
        <v>7.0029885147277149E-2</v>
      </c>
      <c r="M131" s="36">
        <v>409.10499536132812</v>
      </c>
      <c r="N131" s="36">
        <v>49.300000000000004</v>
      </c>
      <c r="O131" s="94">
        <f t="shared" si="9"/>
        <v>0.49943476463167064</v>
      </c>
      <c r="P131" s="36">
        <v>113.19999999999999</v>
      </c>
      <c r="Q131" s="36">
        <f t="shared" si="10"/>
        <v>0.13819439018673332</v>
      </c>
      <c r="R131" s="36" t="s">
        <v>480</v>
      </c>
      <c r="S131" s="36" t="e">
        <f t="shared" si="11"/>
        <v>#VALUE!</v>
      </c>
      <c r="T131" s="36" t="s">
        <v>480</v>
      </c>
      <c r="U131" s="36" t="e">
        <f t="shared" si="12"/>
        <v>#VALUE!</v>
      </c>
      <c r="V131" s="36">
        <v>168.92100000000002</v>
      </c>
      <c r="W131" s="36">
        <v>182.75</v>
      </c>
      <c r="X131" s="36">
        <f t="shared" si="13"/>
        <v>0.20621850339870307</v>
      </c>
      <c r="Y131" s="36" t="e">
        <f ca="1">_xll.BDP($B131,Y$2,)</f>
        <v>#NAME?</v>
      </c>
      <c r="Z131" s="36" t="e">
        <f ca="1">_xll.BDP($B131,Z$2)</f>
        <v>#NAME?</v>
      </c>
      <c r="AA131" s="36">
        <v>64.680810627462009</v>
      </c>
      <c r="AB131" s="36">
        <v>97.2</v>
      </c>
      <c r="AC131" s="92">
        <f t="shared" si="17"/>
        <v>7.8962236585209303E-2</v>
      </c>
    </row>
    <row r="132" spans="1:29" x14ac:dyDescent="0.2">
      <c r="A132" s="1" t="s">
        <v>297</v>
      </c>
      <c r="B132" s="1" t="s">
        <v>297</v>
      </c>
      <c r="C132" s="1" t="s">
        <v>298</v>
      </c>
      <c r="D132" s="36" t="s">
        <v>506</v>
      </c>
      <c r="E132" s="36">
        <v>1161.232</v>
      </c>
      <c r="F132" s="36">
        <v>1386.7829999999999</v>
      </c>
      <c r="G132" s="36" t="e">
        <f ca="1">_xll.BDP($B132,G$2,"EQY_FUND_YEAR=2016")</f>
        <v>#NAME?</v>
      </c>
      <c r="H132" s="36">
        <v>1510.7610000000002</v>
      </c>
      <c r="I132" s="36">
        <v>1523.8330000000001</v>
      </c>
      <c r="J132" s="36">
        <f t="shared" si="15"/>
        <v>0.91793672195668252</v>
      </c>
      <c r="K132" s="36">
        <f t="shared" si="16"/>
        <v>0.91006232310233459</v>
      </c>
      <c r="L132" s="44">
        <v>8.6525929647376376E-3</v>
      </c>
      <c r="M132" s="36">
        <v>364.96499401855471</v>
      </c>
      <c r="N132" s="36">
        <v>24.033000000000001</v>
      </c>
      <c r="O132" s="94">
        <f t="shared" ref="O132:O179" si="18">M132/H132</f>
        <v>0.24157692316557991</v>
      </c>
      <c r="P132" s="36">
        <v>0</v>
      </c>
      <c r="Q132" s="36">
        <f t="shared" ref="Q132:Q179" si="19">P132/H132</f>
        <v>0</v>
      </c>
      <c r="R132" s="36" t="s">
        <v>480</v>
      </c>
      <c r="S132" s="36" t="e">
        <f t="shared" ref="S132:S179" si="20">R132/H132</f>
        <v>#VALUE!</v>
      </c>
      <c r="T132" s="36" t="s">
        <v>480</v>
      </c>
      <c r="U132" s="36" t="e">
        <f t="shared" ref="U132:U170" si="21">T132/H132</f>
        <v>#VALUE!</v>
      </c>
      <c r="V132" s="36">
        <v>185.99944985394302</v>
      </c>
      <c r="W132" s="36">
        <v>199.28300000000002</v>
      </c>
      <c r="X132" s="36">
        <f t="shared" ref="X132:X179" si="22">V132/H132</f>
        <v>0.12311639620955465</v>
      </c>
      <c r="Y132" s="36" t="e">
        <f ca="1">_xll.BDP($B132,Y$2,)</f>
        <v>#NAME?</v>
      </c>
      <c r="Z132" s="36" t="e">
        <f ca="1">_xll.BDP($B132,Z$2)</f>
        <v>#NAME?</v>
      </c>
      <c r="AA132" s="36">
        <v>69.219760000000008</v>
      </c>
      <c r="AB132" s="36">
        <v>81.94</v>
      </c>
      <c r="AC132" s="92">
        <f t="shared" ref="AC132:AC163" si="23">AA132/H132</f>
        <v>4.5817809699879732E-2</v>
      </c>
    </row>
    <row r="133" spans="1:29" x14ac:dyDescent="0.2">
      <c r="A133" s="1" t="s">
        <v>299</v>
      </c>
      <c r="B133" s="1" t="s">
        <v>299</v>
      </c>
      <c r="C133" s="1" t="s">
        <v>300</v>
      </c>
      <c r="D133" s="36" t="s">
        <v>505</v>
      </c>
      <c r="E133" s="36">
        <v>1151.3871999999999</v>
      </c>
      <c r="F133" s="36">
        <v>949.03020000000004</v>
      </c>
      <c r="G133" s="36" t="e">
        <f ca="1">_xll.BDP($B133,G$2,"EQY_FUND_YEAR=2016")</f>
        <v>#NAME?</v>
      </c>
      <c r="H133" s="36">
        <v>257.60300000000001</v>
      </c>
      <c r="I133" s="36">
        <v>302.613</v>
      </c>
      <c r="J133" s="36">
        <f t="shared" ref="J133:J196" si="24">F133/H133</f>
        <v>3.6840805425402654</v>
      </c>
      <c r="K133" s="36">
        <f t="shared" ref="K133:K179" si="25">F133/I133</f>
        <v>3.1361184086605665</v>
      </c>
      <c r="L133" s="44">
        <v>0.17472622601444865</v>
      </c>
      <c r="M133" s="36">
        <v>194.42499871826172</v>
      </c>
      <c r="N133" s="36">
        <v>77.725000000000009</v>
      </c>
      <c r="O133" s="94">
        <f t="shared" si="18"/>
        <v>0.75474664005567371</v>
      </c>
      <c r="P133" s="36">
        <v>47.434999999999995</v>
      </c>
      <c r="Q133" s="36">
        <f t="shared" si="19"/>
        <v>0.18413993625850628</v>
      </c>
      <c r="R133" s="36">
        <v>151.09299999999999</v>
      </c>
      <c r="S133" s="36">
        <f t="shared" si="20"/>
        <v>0.58653431831151026</v>
      </c>
      <c r="T133" s="36">
        <v>51.206000000000003</v>
      </c>
      <c r="U133" s="36">
        <f t="shared" si="21"/>
        <v>0.19877874093081216</v>
      </c>
      <c r="V133" s="36">
        <v>-82.965000000000003</v>
      </c>
      <c r="W133" s="36">
        <v>-29.065999999999999</v>
      </c>
      <c r="X133" s="36">
        <f t="shared" si="22"/>
        <v>-0.32206534861783442</v>
      </c>
      <c r="Y133" s="36" t="e">
        <f ca="1">_xll.BDP($B133,Y$2,)</f>
        <v>#NAME?</v>
      </c>
      <c r="Z133" s="36" t="e">
        <f ca="1">_xll.BDP($B133,Z$2)</f>
        <v>#NAME?</v>
      </c>
      <c r="AA133" s="36">
        <v>-92.112000000000009</v>
      </c>
      <c r="AB133" s="36">
        <v>-39.933</v>
      </c>
      <c r="AC133" s="92">
        <f t="shared" si="23"/>
        <v>-0.35757347546418328</v>
      </c>
    </row>
    <row r="134" spans="1:29" x14ac:dyDescent="0.2">
      <c r="A134" s="1" t="s">
        <v>303</v>
      </c>
      <c r="B134" s="1" t="s">
        <v>303</v>
      </c>
      <c r="C134" s="1" t="s">
        <v>304</v>
      </c>
      <c r="D134" s="36" t="s">
        <v>495</v>
      </c>
      <c r="E134" s="36">
        <v>1131.8515</v>
      </c>
      <c r="F134" s="36">
        <v>1209.0925</v>
      </c>
      <c r="G134" s="36" t="e">
        <f ca="1">_xll.BDP($B134,G$2,"EQY_FUND_YEAR=2016")</f>
        <v>#NAME?</v>
      </c>
      <c r="H134" s="36">
        <v>183.61700000000002</v>
      </c>
      <c r="I134" s="36">
        <v>205.86799999999999</v>
      </c>
      <c r="J134" s="36">
        <f t="shared" si="24"/>
        <v>6.5848614235065375</v>
      </c>
      <c r="K134" s="36">
        <f t="shared" si="25"/>
        <v>5.8731444420696759</v>
      </c>
      <c r="L134" s="44">
        <v>0.12118158993992911</v>
      </c>
      <c r="M134" s="36">
        <v>109.50099978637695</v>
      </c>
      <c r="N134" s="36">
        <v>63.478000000000002</v>
      </c>
      <c r="O134" s="94">
        <f t="shared" si="18"/>
        <v>0.59635545611995044</v>
      </c>
      <c r="P134" s="36">
        <v>56.021000000000001</v>
      </c>
      <c r="Q134" s="36">
        <f t="shared" si="19"/>
        <v>0.30509702260683919</v>
      </c>
      <c r="R134" s="36">
        <v>68.116</v>
      </c>
      <c r="S134" s="36">
        <f t="shared" si="20"/>
        <v>0.37096782977611004</v>
      </c>
      <c r="T134" s="36">
        <v>40.335999999999999</v>
      </c>
      <c r="U134" s="36">
        <f t="shared" si="21"/>
        <v>0.21967464886148882</v>
      </c>
      <c r="V134" s="36">
        <v>-44.247999999999998</v>
      </c>
      <c r="W134" s="36">
        <v>-21.440999999999999</v>
      </c>
      <c r="X134" s="36">
        <f t="shared" si="22"/>
        <v>-0.24097986569870977</v>
      </c>
      <c r="Y134" s="36" t="e">
        <f ca="1">_xll.BDP($B134,Y$2,)</f>
        <v>#NAME?</v>
      </c>
      <c r="Z134" s="36" t="e">
        <f ca="1">_xll.BDP($B134,Z$2)</f>
        <v>#NAME?</v>
      </c>
      <c r="AA134" s="36">
        <v>-63.304550127549</v>
      </c>
      <c r="AB134" s="36">
        <v>-22.835000000000001</v>
      </c>
      <c r="AC134" s="92">
        <f t="shared" si="23"/>
        <v>-0.3447641020578105</v>
      </c>
    </row>
    <row r="135" spans="1:29" x14ac:dyDescent="0.2">
      <c r="A135" s="1" t="s">
        <v>305</v>
      </c>
      <c r="B135" s="1" t="s">
        <v>305</v>
      </c>
      <c r="C135" s="1" t="s">
        <v>306</v>
      </c>
      <c r="D135" s="36" t="s">
        <v>495</v>
      </c>
      <c r="E135" s="36">
        <v>1127.7728999999999</v>
      </c>
      <c r="F135" s="36">
        <v>1011.2338999999999</v>
      </c>
      <c r="G135" s="36" t="e">
        <f ca="1">_xll.BDP($B135,G$2,"EQY_FUND_YEAR=2016")</f>
        <v>#NAME?</v>
      </c>
      <c r="H135" s="36">
        <v>184.83700000000002</v>
      </c>
      <c r="I135" s="36">
        <v>231.28900000000002</v>
      </c>
      <c r="J135" s="36">
        <f t="shared" si="24"/>
        <v>5.4709495393238363</v>
      </c>
      <c r="K135" s="36">
        <f t="shared" si="25"/>
        <v>4.3721659914652227</v>
      </c>
      <c r="L135" s="44">
        <v>0.25131331930295331</v>
      </c>
      <c r="M135" s="36">
        <v>130.4860018157959</v>
      </c>
      <c r="N135" s="36">
        <v>71.875</v>
      </c>
      <c r="O135" s="94">
        <f t="shared" si="18"/>
        <v>0.70595174026734853</v>
      </c>
      <c r="P135" s="36">
        <v>48.292999999999999</v>
      </c>
      <c r="Q135" s="36">
        <f t="shared" si="19"/>
        <v>0.26127344633379679</v>
      </c>
      <c r="R135" s="36">
        <v>83.715999999999994</v>
      </c>
      <c r="S135" s="36">
        <f t="shared" si="20"/>
        <v>0.45291797637918807</v>
      </c>
      <c r="T135" s="36">
        <v>31.196000000000002</v>
      </c>
      <c r="U135" s="36">
        <f t="shared" si="21"/>
        <v>0.16877573213155375</v>
      </c>
      <c r="V135" s="36">
        <v>-40.238</v>
      </c>
      <c r="W135" s="36">
        <v>-17.818999999999999</v>
      </c>
      <c r="X135" s="36">
        <f t="shared" si="22"/>
        <v>-0.21769450921622832</v>
      </c>
      <c r="Y135" s="36" t="e">
        <f ca="1">_xll.BDP($B135,Y$2,)</f>
        <v>#NAME?</v>
      </c>
      <c r="Z135" s="36" t="e">
        <f ca="1">_xll.BDP($B135,Z$2)</f>
        <v>#NAME?</v>
      </c>
      <c r="AA135" s="36">
        <v>-49.079000000000001</v>
      </c>
      <c r="AB135" s="36">
        <v>-28.419</v>
      </c>
      <c r="AC135" s="92">
        <f t="shared" si="23"/>
        <v>-0.2655258416875409</v>
      </c>
    </row>
    <row r="136" spans="1:29" x14ac:dyDescent="0.2">
      <c r="A136" s="1" t="s">
        <v>307</v>
      </c>
      <c r="B136" s="1" t="s">
        <v>307</v>
      </c>
      <c r="C136" s="1" t="s">
        <v>308</v>
      </c>
      <c r="D136" s="36" t="s">
        <v>495</v>
      </c>
      <c r="E136" s="36">
        <v>1030.893</v>
      </c>
      <c r="F136" s="36">
        <v>1106.0070000000001</v>
      </c>
      <c r="G136" s="36" t="e">
        <f ca="1">_xll.BDP($B136,G$2,"EQY_FUND_YEAR=2016")</f>
        <v>#NAME?</v>
      </c>
      <c r="H136" s="36">
        <v>252.16</v>
      </c>
      <c r="I136" s="36">
        <v>269.78399999999999</v>
      </c>
      <c r="J136" s="36">
        <f t="shared" si="24"/>
        <v>4.3861318210659901</v>
      </c>
      <c r="K136" s="36">
        <f t="shared" si="25"/>
        <v>4.0996019037452189</v>
      </c>
      <c r="L136" s="44">
        <v>6.989213197969546E-2</v>
      </c>
      <c r="M136" s="36">
        <v>126.30899749755859</v>
      </c>
      <c r="N136" s="36">
        <v>49.975000000000001</v>
      </c>
      <c r="O136" s="94">
        <f t="shared" si="18"/>
        <v>0.50090814362927738</v>
      </c>
      <c r="P136" s="36">
        <v>49.548999999999999</v>
      </c>
      <c r="Q136" s="36">
        <f t="shared" si="19"/>
        <v>0.19649825507614213</v>
      </c>
      <c r="R136" s="36">
        <v>69.28</v>
      </c>
      <c r="S136" s="36">
        <f t="shared" si="20"/>
        <v>0.27474619289340102</v>
      </c>
      <c r="T136" s="36">
        <v>27.268000000000001</v>
      </c>
      <c r="U136" s="36">
        <f t="shared" si="21"/>
        <v>0.10813769035532995</v>
      </c>
      <c r="V136" s="36">
        <v>-11.269886075949</v>
      </c>
      <c r="W136" s="36">
        <v>17.629000000000001</v>
      </c>
      <c r="X136" s="36">
        <f t="shared" si="22"/>
        <v>-4.4693393384950028E-2</v>
      </c>
      <c r="Y136" s="36" t="e">
        <f ca="1">_xll.BDP($B136,Y$2,)</f>
        <v>#NAME?</v>
      </c>
      <c r="Z136" s="36" t="e">
        <f ca="1">_xll.BDP($B136,Z$2)</f>
        <v>#NAME?</v>
      </c>
      <c r="AA136" s="36">
        <v>-40.211799999999997</v>
      </c>
      <c r="AB136" s="36">
        <v>-13.441000000000001</v>
      </c>
      <c r="AC136" s="92">
        <f t="shared" si="23"/>
        <v>-0.15946938451776649</v>
      </c>
    </row>
    <row r="137" spans="1:29" x14ac:dyDescent="0.2">
      <c r="A137" s="1" t="s">
        <v>309</v>
      </c>
      <c r="B137" s="1" t="s">
        <v>309</v>
      </c>
      <c r="C137" s="1" t="s">
        <v>310</v>
      </c>
      <c r="D137" s="36" t="s">
        <v>506</v>
      </c>
      <c r="E137" s="36">
        <v>941.15639999999996</v>
      </c>
      <c r="F137" s="36">
        <v>768.43140000000005</v>
      </c>
      <c r="G137" s="36" t="e">
        <f ca="1">_xll.BDP($B137,G$2,"EQY_FUND_YEAR=2016")</f>
        <v>#NAME?</v>
      </c>
      <c r="H137" s="36">
        <v>347.22800000000001</v>
      </c>
      <c r="I137" s="36">
        <v>324.12</v>
      </c>
      <c r="J137" s="36">
        <f t="shared" si="24"/>
        <v>2.2130456069211011</v>
      </c>
      <c r="K137" s="36">
        <f t="shared" si="25"/>
        <v>2.370823768974454</v>
      </c>
      <c r="L137" s="44">
        <v>-6.6549932609121343E-2</v>
      </c>
      <c r="M137" s="36">
        <v>141.53299899291994</v>
      </c>
      <c r="N137" s="36">
        <v>38.58</v>
      </c>
      <c r="O137" s="94">
        <f t="shared" si="18"/>
        <v>0.40760825449825455</v>
      </c>
      <c r="P137" s="36">
        <v>0</v>
      </c>
      <c r="Q137" s="36">
        <f t="shared" si="19"/>
        <v>0</v>
      </c>
      <c r="R137" s="36" t="s">
        <v>480</v>
      </c>
      <c r="S137" s="36" t="e">
        <f t="shared" si="20"/>
        <v>#VALUE!</v>
      </c>
      <c r="T137" s="36" t="s">
        <v>480</v>
      </c>
      <c r="U137" s="36" t="e">
        <f t="shared" si="21"/>
        <v>#VALUE!</v>
      </c>
      <c r="V137" s="36">
        <v>88.400999999999996</v>
      </c>
      <c r="W137" s="36">
        <v>68.400000000000006</v>
      </c>
      <c r="X137" s="36">
        <f t="shared" si="22"/>
        <v>0.25459064361169026</v>
      </c>
      <c r="Y137" s="36" t="e">
        <f ca="1">_xll.BDP($B137,Y$2,)</f>
        <v>#NAME?</v>
      </c>
      <c r="Z137" s="36" t="e">
        <f ca="1">_xll.BDP($B137,Z$2)</f>
        <v>#NAME?</v>
      </c>
      <c r="AA137" s="36">
        <v>57.685500000000005</v>
      </c>
      <c r="AB137" s="36">
        <v>45.496000000000002</v>
      </c>
      <c r="AC137" s="92">
        <f t="shared" si="23"/>
        <v>0.1661314755722465</v>
      </c>
    </row>
    <row r="138" spans="1:29" x14ac:dyDescent="0.2">
      <c r="A138" s="2" t="s">
        <v>313</v>
      </c>
      <c r="B138" s="2" t="s">
        <v>313</v>
      </c>
      <c r="C138" s="1" t="s">
        <v>314</v>
      </c>
      <c r="D138" s="87" t="s">
        <v>495</v>
      </c>
      <c r="E138" s="87">
        <v>810.56510000000003</v>
      </c>
      <c r="F138" s="87">
        <v>684.58810000000005</v>
      </c>
      <c r="G138" s="36" t="e">
        <f ca="1">_xll.BDP($B138,G$2,"EQY_FUND_YEAR=2016")</f>
        <v>#NAME?</v>
      </c>
      <c r="H138" s="87">
        <v>328.411</v>
      </c>
      <c r="I138" s="87">
        <v>339.733</v>
      </c>
      <c r="J138" s="36">
        <f t="shared" si="24"/>
        <v>2.0845468026345038</v>
      </c>
      <c r="K138" s="36">
        <f t="shared" si="25"/>
        <v>2.0150768397535712</v>
      </c>
      <c r="L138" s="87">
        <v>3.4475093708797866E-2</v>
      </c>
      <c r="M138" s="87">
        <v>169.04300082397461</v>
      </c>
      <c r="N138" s="87">
        <v>51.533000000000001</v>
      </c>
      <c r="O138" s="94">
        <f t="shared" si="18"/>
        <v>0.51473002068741491</v>
      </c>
      <c r="P138" s="87">
        <v>47.661000000000001</v>
      </c>
      <c r="Q138" s="36">
        <f t="shared" si="19"/>
        <v>0.14512607677574746</v>
      </c>
      <c r="R138" s="87">
        <v>75.367999999999995</v>
      </c>
      <c r="S138" s="36">
        <f t="shared" si="20"/>
        <v>0.22949292197886184</v>
      </c>
      <c r="T138" s="87">
        <v>35.222000000000001</v>
      </c>
      <c r="U138" s="36">
        <f t="shared" si="21"/>
        <v>0.10724975716404141</v>
      </c>
      <c r="V138" s="87">
        <v>6.7769999999999992</v>
      </c>
      <c r="W138" s="87">
        <v>18.382999999999999</v>
      </c>
      <c r="X138" s="36">
        <f t="shared" si="22"/>
        <v>2.0635727792309023E-2</v>
      </c>
      <c r="Y138" s="36" t="e">
        <f ca="1">_xll.BDP($B138,Y$2,)</f>
        <v>#NAME?</v>
      </c>
      <c r="Z138" s="36" t="e">
        <f ca="1">_xll.BDP($B138,Z$2)</f>
        <v>#NAME?</v>
      </c>
      <c r="AA138" s="87">
        <v>-1.2028757999999999</v>
      </c>
      <c r="AB138" s="87">
        <v>10.827</v>
      </c>
      <c r="AC138" s="92">
        <f t="shared" si="23"/>
        <v>-3.6627147080944304E-3</v>
      </c>
    </row>
    <row r="139" spans="1:29" x14ac:dyDescent="0.2">
      <c r="A139" s="2" t="s">
        <v>315</v>
      </c>
      <c r="B139" s="2" t="s">
        <v>315</v>
      </c>
      <c r="C139" s="1" t="s">
        <v>316</v>
      </c>
      <c r="D139" s="87" t="s">
        <v>506</v>
      </c>
      <c r="E139" s="87">
        <v>783.20150000000001</v>
      </c>
      <c r="F139" s="87">
        <v>386.01310000000001</v>
      </c>
      <c r="G139" s="36" t="e">
        <f ca="1">_xll.BDP($B139,G$2,"EQY_FUND_YEAR=2016")</f>
        <v>#NAME?</v>
      </c>
      <c r="H139" s="87">
        <v>421.69007902324608</v>
      </c>
      <c r="I139" s="87">
        <v>255.601</v>
      </c>
      <c r="J139" s="36">
        <f t="shared" si="24"/>
        <v>0.91539526112190239</v>
      </c>
      <c r="K139" s="36">
        <f t="shared" si="25"/>
        <v>1.5102174874120211</v>
      </c>
      <c r="L139" s="87">
        <v>-0.39386527519915937</v>
      </c>
      <c r="M139" s="87">
        <v>218.75141071311592</v>
      </c>
      <c r="N139" s="87" t="s">
        <v>480</v>
      </c>
      <c r="O139" s="94">
        <f t="shared" si="18"/>
        <v>0.51874924641292552</v>
      </c>
      <c r="P139" s="87">
        <v>0</v>
      </c>
      <c r="Q139" s="36">
        <f t="shared" si="19"/>
        <v>0</v>
      </c>
      <c r="R139" s="87" t="s">
        <v>480</v>
      </c>
      <c r="S139" s="36" t="e">
        <f t="shared" si="20"/>
        <v>#VALUE!</v>
      </c>
      <c r="T139" s="87" t="s">
        <v>480</v>
      </c>
      <c r="U139" s="36" t="e">
        <f t="shared" si="21"/>
        <v>#VALUE!</v>
      </c>
      <c r="V139" s="87">
        <v>81.622901835776418</v>
      </c>
      <c r="W139" s="87">
        <v>78.579000000000008</v>
      </c>
      <c r="X139" s="36">
        <f t="shared" si="22"/>
        <v>0.19356135203568989</v>
      </c>
      <c r="Y139" s="36" t="e">
        <f ca="1">_xll.BDP($B139,Y$2,)</f>
        <v>#NAME?</v>
      </c>
      <c r="Z139" s="36" t="e">
        <f ca="1">_xll.BDP($B139,Z$2)</f>
        <v>#NAME?</v>
      </c>
      <c r="AA139" s="87">
        <v>54.138304797875108</v>
      </c>
      <c r="AB139" s="87">
        <v>50.417999999999999</v>
      </c>
      <c r="AC139" s="92">
        <f t="shared" si="23"/>
        <v>0.12838410835577349</v>
      </c>
    </row>
    <row r="140" spans="1:29" x14ac:dyDescent="0.2">
      <c r="A140" s="2" t="s">
        <v>317</v>
      </c>
      <c r="B140" s="2" t="s">
        <v>317</v>
      </c>
      <c r="C140" s="1" t="s">
        <v>318</v>
      </c>
      <c r="D140" s="87" t="s">
        <v>495</v>
      </c>
      <c r="E140" s="87">
        <v>759.13250000000005</v>
      </c>
      <c r="F140" s="87">
        <v>759.31349999999998</v>
      </c>
      <c r="G140" s="36" t="e">
        <f ca="1">_xll.BDP($B140,G$2,"EQY_FUND_YEAR=2016")</f>
        <v>#NAME?</v>
      </c>
      <c r="H140" s="87">
        <v>242.89300000000003</v>
      </c>
      <c r="I140" s="87">
        <v>247.21700000000001</v>
      </c>
      <c r="J140" s="36">
        <f t="shared" si="24"/>
        <v>3.1261234370689972</v>
      </c>
      <c r="K140" s="36">
        <f t="shared" si="25"/>
        <v>3.0714453294069579</v>
      </c>
      <c r="L140" s="87">
        <v>1.7802077457975241E-2</v>
      </c>
      <c r="M140" s="87">
        <v>197.1649987182617</v>
      </c>
      <c r="N140" s="87" t="s">
        <v>480</v>
      </c>
      <c r="O140" s="94">
        <f t="shared" si="18"/>
        <v>0.8117360266383209</v>
      </c>
      <c r="P140" s="87">
        <v>37.662999999999997</v>
      </c>
      <c r="Q140" s="36">
        <f t="shared" si="19"/>
        <v>0.15506004701658752</v>
      </c>
      <c r="R140" s="87">
        <v>91.507999999999996</v>
      </c>
      <c r="S140" s="36">
        <f t="shared" si="20"/>
        <v>0.37674202220730935</v>
      </c>
      <c r="T140" s="87">
        <v>46.557000000000002</v>
      </c>
      <c r="U140" s="36">
        <f t="shared" si="21"/>
        <v>0.19167699357330181</v>
      </c>
      <c r="V140" s="87">
        <v>40.060203810127</v>
      </c>
      <c r="W140" s="87">
        <v>71.650000000000006</v>
      </c>
      <c r="X140" s="36">
        <f t="shared" si="22"/>
        <v>0.16492942904952795</v>
      </c>
      <c r="Y140" s="36" t="e">
        <f ca="1">_xll.BDP($B140,Y$2,)</f>
        <v>#NAME?</v>
      </c>
      <c r="Z140" s="36" t="e">
        <f ca="1">_xll.BDP($B140,Z$2)</f>
        <v>#NAME?</v>
      </c>
      <c r="AA140" s="87">
        <v>15.346821010000001</v>
      </c>
      <c r="AB140" s="87">
        <v>29.908000000000001</v>
      </c>
      <c r="AC140" s="92">
        <f t="shared" si="23"/>
        <v>6.3183463541559445E-2</v>
      </c>
    </row>
    <row r="141" spans="1:29" x14ac:dyDescent="0.2">
      <c r="A141" s="2" t="s">
        <v>325</v>
      </c>
      <c r="B141" s="2" t="s">
        <v>325</v>
      </c>
      <c r="C141" s="1" t="s">
        <v>326</v>
      </c>
      <c r="D141" s="2" t="s">
        <v>505</v>
      </c>
      <c r="E141" s="2">
        <v>700.73019999999997</v>
      </c>
      <c r="F141" s="2">
        <v>599.29819999999995</v>
      </c>
      <c r="G141" s="36" t="e">
        <f ca="1">_xll.BDP($B141,G$2,"EQY_FUND_YEAR=2016")</f>
        <v>#NAME?</v>
      </c>
      <c r="H141" s="2">
        <v>200.61800000000002</v>
      </c>
      <c r="I141" s="2">
        <v>222.86700000000002</v>
      </c>
      <c r="J141" s="36">
        <f t="shared" si="24"/>
        <v>2.9872603654706951</v>
      </c>
      <c r="K141" s="36">
        <f t="shared" si="25"/>
        <v>2.6890396514513135</v>
      </c>
      <c r="L141" s="2">
        <v>0.1109023118563639</v>
      </c>
      <c r="M141" s="2">
        <v>143.23199945068359</v>
      </c>
      <c r="N141" s="2">
        <v>71.100000000000009</v>
      </c>
      <c r="O141" s="94">
        <f t="shared" si="18"/>
        <v>0.71395387976494418</v>
      </c>
      <c r="P141" s="2">
        <v>23.119</v>
      </c>
      <c r="Q141" s="36">
        <f t="shared" si="19"/>
        <v>0.11523891176265338</v>
      </c>
      <c r="R141" s="2">
        <v>58.994</v>
      </c>
      <c r="S141" s="36">
        <f t="shared" si="20"/>
        <v>0.29406135042717996</v>
      </c>
      <c r="T141" s="2">
        <v>37.4</v>
      </c>
      <c r="U141" s="36">
        <f t="shared" si="21"/>
        <v>0.18642394999451692</v>
      </c>
      <c r="V141" s="2">
        <v>18.504999999999999</v>
      </c>
      <c r="W141" s="2">
        <v>16.056999999999999</v>
      </c>
      <c r="X141" s="36">
        <f t="shared" si="22"/>
        <v>9.2239978466538378E-2</v>
      </c>
      <c r="Y141" s="36" t="e">
        <f ca="1">_xll.BDP($B141,Y$2,)</f>
        <v>#NAME?</v>
      </c>
      <c r="Z141" s="36" t="e">
        <f ca="1">_xll.BDP($B141,Z$2)</f>
        <v>#NAME?</v>
      </c>
      <c r="AA141" s="2">
        <v>7.2605520712620004</v>
      </c>
      <c r="AB141" s="2">
        <v>12.183</v>
      </c>
      <c r="AC141" s="92">
        <f t="shared" si="23"/>
        <v>3.6190930381431376E-2</v>
      </c>
    </row>
    <row r="142" spans="1:29" x14ac:dyDescent="0.2">
      <c r="A142" s="2" t="s">
        <v>327</v>
      </c>
      <c r="B142" s="2" t="s">
        <v>327</v>
      </c>
      <c r="C142" s="1" t="s">
        <v>328</v>
      </c>
      <c r="D142" s="2" t="s">
        <v>506</v>
      </c>
      <c r="E142" s="2">
        <v>717.82820000000004</v>
      </c>
      <c r="F142" s="2">
        <v>2001.8032000000001</v>
      </c>
      <c r="G142" s="36" t="e">
        <f ca="1">_xll.BDP($B142,G$2,"EQY_FUND_YEAR=2016")</f>
        <v>#NAME?</v>
      </c>
      <c r="H142" s="2">
        <v>1528.231</v>
      </c>
      <c r="I142" s="2">
        <v>1645</v>
      </c>
      <c r="J142" s="36">
        <f t="shared" si="24"/>
        <v>1.3098826028264052</v>
      </c>
      <c r="K142" s="36">
        <f t="shared" si="25"/>
        <v>1.2169016413373861</v>
      </c>
      <c r="L142" s="2">
        <v>7.6407951415721875E-2</v>
      </c>
      <c r="M142" s="2">
        <v>375.46800091552734</v>
      </c>
      <c r="N142" s="2" t="s">
        <v>480</v>
      </c>
      <c r="O142" s="94">
        <f t="shared" si="18"/>
        <v>0.24568798886786575</v>
      </c>
      <c r="P142" s="2">
        <v>0</v>
      </c>
      <c r="Q142" s="36">
        <f t="shared" si="19"/>
        <v>0</v>
      </c>
      <c r="R142" s="2" t="s">
        <v>480</v>
      </c>
      <c r="S142" s="36" t="e">
        <f t="shared" si="20"/>
        <v>#VALUE!</v>
      </c>
      <c r="T142" s="2">
        <v>220.95500000000001</v>
      </c>
      <c r="U142" s="36">
        <f t="shared" si="21"/>
        <v>0.14458219994228622</v>
      </c>
      <c r="V142" s="2">
        <v>275.851</v>
      </c>
      <c r="W142" s="2">
        <v>329.3</v>
      </c>
      <c r="X142" s="36">
        <f t="shared" si="22"/>
        <v>0.18050347100667372</v>
      </c>
      <c r="Y142" s="36" t="e">
        <f ca="1">_xll.BDP($B142,Y$2,)</f>
        <v>#NAME?</v>
      </c>
      <c r="Z142" s="36" t="e">
        <f ca="1">_xll.BDP($B142,Z$2)</f>
        <v>#NAME?</v>
      </c>
      <c r="AA142" s="2">
        <v>-52.607639999999996</v>
      </c>
      <c r="AB142" s="2">
        <v>31.400000000000002</v>
      </c>
      <c r="AC142" s="92">
        <f t="shared" si="23"/>
        <v>-3.4423879635997433E-2</v>
      </c>
    </row>
    <row r="143" spans="1:29" x14ac:dyDescent="0.2">
      <c r="A143" s="2" t="s">
        <v>329</v>
      </c>
      <c r="B143" s="2" t="s">
        <v>329</v>
      </c>
      <c r="C143" s="1" t="s">
        <v>330</v>
      </c>
      <c r="D143" s="87" t="s">
        <v>495</v>
      </c>
      <c r="E143" s="87">
        <v>716.1395</v>
      </c>
      <c r="F143" s="87">
        <v>748.60599999999999</v>
      </c>
      <c r="G143" s="36" t="e">
        <f ca="1">_xll.BDP($B143,G$2,"EQY_FUND_YEAR=2016")</f>
        <v>#NAME?</v>
      </c>
      <c r="H143" s="87">
        <v>42.178586942867071</v>
      </c>
      <c r="I143" s="87">
        <v>103.099</v>
      </c>
      <c r="J143" s="36">
        <f t="shared" si="24"/>
        <v>17.748484580908862</v>
      </c>
      <c r="K143" s="36">
        <f t="shared" si="25"/>
        <v>7.2610403592663362</v>
      </c>
      <c r="L143" s="87">
        <v>1.4443445708518534</v>
      </c>
      <c r="M143" s="87">
        <v>10.568609400887199</v>
      </c>
      <c r="N143" s="87">
        <v>27.8</v>
      </c>
      <c r="O143" s="94">
        <f t="shared" si="18"/>
        <v>0.25056812394409728</v>
      </c>
      <c r="P143" s="87">
        <v>10.614831048696628</v>
      </c>
      <c r="Q143" s="36">
        <f t="shared" si="19"/>
        <v>0.25166397971261883</v>
      </c>
      <c r="R143" s="87">
        <v>8.8403345824744104</v>
      </c>
      <c r="S143" s="36">
        <f t="shared" si="20"/>
        <v>0.20959295280444246</v>
      </c>
      <c r="T143" s="87">
        <v>4.8045328849601585</v>
      </c>
      <c r="U143" s="36">
        <f t="shared" si="21"/>
        <v>0.11390928983628897</v>
      </c>
      <c r="V143" s="87">
        <v>-12.381475760643527</v>
      </c>
      <c r="W143" s="87">
        <v>-7.5019999999999998</v>
      </c>
      <c r="X143" s="36">
        <f t="shared" si="22"/>
        <v>-0.29354885163447586</v>
      </c>
      <c r="Y143" s="36" t="e">
        <f ca="1">_xll.BDP($B143,Y$2,)</f>
        <v>#NAME?</v>
      </c>
      <c r="Z143" s="36" t="e">
        <f ca="1">_xll.BDP($B143,Z$2)</f>
        <v>#NAME?</v>
      </c>
      <c r="AA143" s="87">
        <v>-13.376278212695807</v>
      </c>
      <c r="AB143" s="87">
        <v>-8.7740000000000009</v>
      </c>
      <c r="AC143" s="92">
        <f t="shared" si="23"/>
        <v>-0.31713433716531614</v>
      </c>
    </row>
    <row r="144" spans="1:29" x14ac:dyDescent="0.2">
      <c r="A144" s="2" t="s">
        <v>331</v>
      </c>
      <c r="B144" s="2" t="s">
        <v>331</v>
      </c>
      <c r="C144" s="1" t="s">
        <v>332</v>
      </c>
      <c r="D144" s="87" t="s">
        <v>495</v>
      </c>
      <c r="E144" s="87">
        <v>649.96939999999995</v>
      </c>
      <c r="F144" s="87">
        <v>789.97940000000006</v>
      </c>
      <c r="G144" s="36" t="e">
        <f ca="1">_xll.BDP($B144,G$2,"EQY_FUND_YEAR=2016")</f>
        <v>#NAME?</v>
      </c>
      <c r="H144" s="87">
        <v>121.47999999999999</v>
      </c>
      <c r="I144" s="87">
        <v>163.429</v>
      </c>
      <c r="J144" s="36">
        <f t="shared" si="24"/>
        <v>6.5029585116891679</v>
      </c>
      <c r="K144" s="36">
        <f t="shared" si="25"/>
        <v>4.8337773589754578</v>
      </c>
      <c r="L144" s="87">
        <v>0.34531610141587099</v>
      </c>
      <c r="M144" s="87">
        <v>81.369998809814447</v>
      </c>
      <c r="N144" s="87">
        <v>68.47</v>
      </c>
      <c r="O144" s="94">
        <f t="shared" si="18"/>
        <v>0.66982218315619402</v>
      </c>
      <c r="P144" s="87">
        <v>15.253</v>
      </c>
      <c r="Q144" s="36">
        <f t="shared" si="19"/>
        <v>0.12555976292393811</v>
      </c>
      <c r="R144" s="87">
        <v>15.307</v>
      </c>
      <c r="S144" s="36">
        <f t="shared" si="20"/>
        <v>0.12600428054000659</v>
      </c>
      <c r="T144" s="87">
        <v>23.291</v>
      </c>
      <c r="U144" s="36">
        <f t="shared" si="21"/>
        <v>0.19172703325650314</v>
      </c>
      <c r="V144" s="87">
        <v>25.582999999999998</v>
      </c>
      <c r="W144" s="87">
        <v>59.148000000000003</v>
      </c>
      <c r="X144" s="36">
        <f t="shared" si="22"/>
        <v>0.210594336516299</v>
      </c>
      <c r="Y144" s="36" t="e">
        <f ca="1">_xll.BDP($B144,Y$2,)</f>
        <v>#NAME?</v>
      </c>
      <c r="Z144" s="36" t="e">
        <f ca="1">_xll.BDP($B144,Z$2)</f>
        <v>#NAME?</v>
      </c>
      <c r="AA144" s="87">
        <v>-2.0403708767979998</v>
      </c>
      <c r="AB144" s="87">
        <v>33.28</v>
      </c>
      <c r="AC144" s="92">
        <f t="shared" si="23"/>
        <v>-1.6795940704626276E-2</v>
      </c>
    </row>
    <row r="145" spans="1:29" x14ac:dyDescent="0.2">
      <c r="A145" s="2" t="s">
        <v>339</v>
      </c>
      <c r="B145" s="2" t="s">
        <v>339</v>
      </c>
      <c r="C145" s="1" t="s">
        <v>340</v>
      </c>
      <c r="D145" s="87" t="s">
        <v>495</v>
      </c>
      <c r="E145" s="87">
        <v>470.3193</v>
      </c>
      <c r="F145" s="87">
        <v>471.51530000000002</v>
      </c>
      <c r="G145" s="36" t="e">
        <f ca="1">_xll.BDP($B145,G$2,"EQY_FUND_YEAR=2016")</f>
        <v>#NAME?</v>
      </c>
      <c r="H145" s="87">
        <v>155.49099999999999</v>
      </c>
      <c r="I145" s="87">
        <v>150.45000000000002</v>
      </c>
      <c r="J145" s="36">
        <f t="shared" si="24"/>
        <v>3.0324282434353118</v>
      </c>
      <c r="K145" s="36">
        <f t="shared" si="25"/>
        <v>3.1340332336324357</v>
      </c>
      <c r="L145" s="87">
        <v>-3.2419882822799839E-2</v>
      </c>
      <c r="M145" s="87">
        <v>91.647999832153317</v>
      </c>
      <c r="N145" s="87">
        <v>61.133000000000003</v>
      </c>
      <c r="O145" s="94">
        <f t="shared" si="18"/>
        <v>0.58941031848887282</v>
      </c>
      <c r="P145" s="87">
        <v>31.064</v>
      </c>
      <c r="Q145" s="36">
        <f t="shared" si="19"/>
        <v>0.19978005157854797</v>
      </c>
      <c r="R145" s="87">
        <v>41.338999999999999</v>
      </c>
      <c r="S145" s="36">
        <f t="shared" si="20"/>
        <v>0.2658610466200616</v>
      </c>
      <c r="T145" s="87">
        <v>36.280999999999999</v>
      </c>
      <c r="U145" s="36">
        <f t="shared" si="21"/>
        <v>0.23333183271057489</v>
      </c>
      <c r="V145" s="87">
        <v>-12.936999999999999</v>
      </c>
      <c r="W145" s="87">
        <v>11.333</v>
      </c>
      <c r="X145" s="36">
        <f t="shared" si="22"/>
        <v>-8.3200956968570536E-2</v>
      </c>
      <c r="Y145" s="36" t="e">
        <f ca="1">_xll.BDP($B145,Y$2,)</f>
        <v>#NAME?</v>
      </c>
      <c r="Z145" s="36" t="e">
        <f ca="1">_xll.BDP($B145,Z$2)</f>
        <v>#NAME?</v>
      </c>
      <c r="AA145" s="87">
        <v>-30.891449999999999</v>
      </c>
      <c r="AB145" s="87">
        <v>3.8380000000000001</v>
      </c>
      <c r="AC145" s="92">
        <f t="shared" si="23"/>
        <v>-0.19867034104867806</v>
      </c>
    </row>
    <row r="146" spans="1:29" x14ac:dyDescent="0.2">
      <c r="A146" s="2" t="s">
        <v>343</v>
      </c>
      <c r="B146" s="2" t="s">
        <v>343</v>
      </c>
      <c r="C146" s="1" t="s">
        <v>344</v>
      </c>
      <c r="D146" s="87" t="s">
        <v>495</v>
      </c>
      <c r="E146" s="87">
        <v>441.25279999999998</v>
      </c>
      <c r="F146" s="87">
        <v>343.18979999999999</v>
      </c>
      <c r="G146" s="36" t="e">
        <f ca="1">_xll.BDP($B146,G$2,"EQY_FUND_YEAR=2016")</f>
        <v>#NAME?</v>
      </c>
      <c r="H146" s="87">
        <v>181.369</v>
      </c>
      <c r="I146" s="87">
        <v>204.3</v>
      </c>
      <c r="J146" s="36">
        <f t="shared" si="24"/>
        <v>1.8922186261158191</v>
      </c>
      <c r="K146" s="36">
        <f t="shared" si="25"/>
        <v>1.6798325991189427</v>
      </c>
      <c r="L146" s="87">
        <v>0.12643285236175972</v>
      </c>
      <c r="M146" s="87">
        <v>150.5580012512207</v>
      </c>
      <c r="N146" s="87">
        <v>85.167000000000002</v>
      </c>
      <c r="O146" s="94">
        <f t="shared" si="18"/>
        <v>0.83011981789181555</v>
      </c>
      <c r="P146" s="87">
        <v>75.349999999999994</v>
      </c>
      <c r="Q146" s="36">
        <f t="shared" si="19"/>
        <v>0.41545137261604792</v>
      </c>
      <c r="R146" s="87">
        <v>96.477000000000004</v>
      </c>
      <c r="S146" s="36">
        <f t="shared" si="20"/>
        <v>0.53193765196918985</v>
      </c>
      <c r="T146" s="87">
        <v>28.091000000000001</v>
      </c>
      <c r="U146" s="36">
        <f t="shared" si="21"/>
        <v>0.15488313879439156</v>
      </c>
      <c r="V146" s="87">
        <v>-47.040999999999997</v>
      </c>
      <c r="W146" s="87">
        <v>-1.17</v>
      </c>
      <c r="X146" s="36">
        <f t="shared" si="22"/>
        <v>-0.25936626435609172</v>
      </c>
      <c r="Y146" s="36" t="e">
        <f ca="1">_xll.BDP($B146,Y$2,)</f>
        <v>#NAME?</v>
      </c>
      <c r="Z146" s="36" t="e">
        <f ca="1">_xll.BDP($B146,Z$2)</f>
        <v>#NAME?</v>
      </c>
      <c r="AA146" s="87">
        <v>-51.76737</v>
      </c>
      <c r="AB146" s="87">
        <v>-1.5449999999999999</v>
      </c>
      <c r="AC146" s="92">
        <f t="shared" si="23"/>
        <v>-0.28542567914031614</v>
      </c>
    </row>
    <row r="147" spans="1:29" x14ac:dyDescent="0.2">
      <c r="A147" s="2" t="s">
        <v>345</v>
      </c>
      <c r="B147" s="2" t="s">
        <v>345</v>
      </c>
      <c r="C147" s="1" t="s">
        <v>346</v>
      </c>
      <c r="D147" s="87" t="s">
        <v>495</v>
      </c>
      <c r="E147" s="87">
        <v>457.74169999999998</v>
      </c>
      <c r="F147" s="87">
        <v>1157.5277000000001</v>
      </c>
      <c r="G147" s="36" t="e">
        <f ca="1">_xll.BDP($B147,G$2,"EQY_FUND_YEAR=2016")</f>
        <v>#NAME?</v>
      </c>
      <c r="H147" s="87">
        <v>108.524</v>
      </c>
      <c r="I147" s="87">
        <v>148.155</v>
      </c>
      <c r="J147" s="36">
        <f t="shared" si="24"/>
        <v>10.66609874313516</v>
      </c>
      <c r="K147" s="36">
        <f t="shared" si="25"/>
        <v>7.8129506260335466</v>
      </c>
      <c r="L147" s="87">
        <v>0.36518189524897715</v>
      </c>
      <c r="M147" s="87">
        <v>63.605000000000004</v>
      </c>
      <c r="N147" s="87">
        <v>63.567</v>
      </c>
      <c r="O147" s="94">
        <f t="shared" si="18"/>
        <v>0.58609155578489558</v>
      </c>
      <c r="P147" s="87">
        <v>78.260999999999996</v>
      </c>
      <c r="Q147" s="36">
        <f t="shared" si="19"/>
        <v>0.72114002432641622</v>
      </c>
      <c r="R147" s="87">
        <v>131.80199999999999</v>
      </c>
      <c r="S147" s="36">
        <f t="shared" si="20"/>
        <v>1.2144963326084552</v>
      </c>
      <c r="T147" s="87">
        <v>29.323</v>
      </c>
      <c r="U147" s="36">
        <f t="shared" si="21"/>
        <v>0.27019829715086063</v>
      </c>
      <c r="V147" s="87">
        <v>-158.636</v>
      </c>
      <c r="W147" s="87">
        <v>-121.8</v>
      </c>
      <c r="X147" s="36">
        <f t="shared" si="22"/>
        <v>-1.4617596107773396</v>
      </c>
      <c r="Y147" s="36" t="e">
        <f ca="1">_xll.BDP($B147,Y$2,)</f>
        <v>#NAME?</v>
      </c>
      <c r="Z147" s="36" t="e">
        <f ca="1">_xll.BDP($B147,Z$2)</f>
        <v>#NAME?</v>
      </c>
      <c r="AA147" s="87">
        <v>-176.56200000000001</v>
      </c>
      <c r="AB147" s="87">
        <v>-144.13300000000001</v>
      </c>
      <c r="AC147" s="92">
        <f t="shared" si="23"/>
        <v>-1.6269396631159929</v>
      </c>
    </row>
    <row r="148" spans="1:29" x14ac:dyDescent="0.2">
      <c r="A148" s="2" t="s">
        <v>351</v>
      </c>
      <c r="B148" s="2" t="s">
        <v>351</v>
      </c>
      <c r="C148" s="1" t="s">
        <v>352</v>
      </c>
      <c r="D148" s="2" t="s">
        <v>505</v>
      </c>
      <c r="E148" s="2">
        <v>418.06700000000001</v>
      </c>
      <c r="F148" s="2">
        <v>290.68</v>
      </c>
      <c r="G148" s="36" t="e">
        <f ca="1">_xll.BDP($B148,G$2,"EQY_FUND_YEAR=2016")</f>
        <v>#NAME?</v>
      </c>
      <c r="H148" s="2">
        <v>231.34999999999997</v>
      </c>
      <c r="I148" s="2">
        <v>233.3</v>
      </c>
      <c r="J148" s="36">
        <f t="shared" si="24"/>
        <v>1.2564512643181329</v>
      </c>
      <c r="K148" s="36">
        <f t="shared" si="25"/>
        <v>1.2459494213459066</v>
      </c>
      <c r="L148" s="2">
        <v>8.4287875513293642E-3</v>
      </c>
      <c r="M148" s="2">
        <v>179.79799935913087</v>
      </c>
      <c r="N148" s="2">
        <v>76.850000000000009</v>
      </c>
      <c r="O148" s="94">
        <f t="shared" si="18"/>
        <v>0.77716878910365639</v>
      </c>
      <c r="P148" s="2">
        <v>62.991</v>
      </c>
      <c r="Q148" s="36">
        <f t="shared" si="19"/>
        <v>0.27227577263885894</v>
      </c>
      <c r="R148" s="2">
        <v>101.36</v>
      </c>
      <c r="S148" s="36">
        <f t="shared" si="20"/>
        <v>0.43812405446293501</v>
      </c>
      <c r="T148" s="2">
        <v>28.132000000000001</v>
      </c>
      <c r="U148" s="36">
        <f t="shared" si="21"/>
        <v>0.1215993084071753</v>
      </c>
      <c r="V148" s="2">
        <v>-9.2555696202529987</v>
      </c>
      <c r="W148" s="2">
        <v>8.7000000000000011</v>
      </c>
      <c r="X148" s="36">
        <f t="shared" si="22"/>
        <v>-4.0006784613153233E-2</v>
      </c>
      <c r="Y148" s="36" t="e">
        <f ca="1">_xll.BDP($B148,Y$2,)</f>
        <v>#NAME?</v>
      </c>
      <c r="Z148" s="36" t="e">
        <f ca="1">_xll.BDP($B148,Z$2)</f>
        <v>#NAME?</v>
      </c>
      <c r="AA148" s="2">
        <v>-19.502000000000002</v>
      </c>
      <c r="AB148" s="2">
        <v>-0.72199999999999998</v>
      </c>
      <c r="AC148" s="92">
        <f t="shared" si="23"/>
        <v>-8.4296520423600627E-2</v>
      </c>
    </row>
    <row r="149" spans="1:29" x14ac:dyDescent="0.2">
      <c r="A149" s="2" t="s">
        <v>353</v>
      </c>
      <c r="B149" s="2" t="s">
        <v>353</v>
      </c>
      <c r="C149" s="1" t="s">
        <v>354</v>
      </c>
      <c r="D149" s="87" t="s">
        <v>495</v>
      </c>
      <c r="E149" s="87">
        <v>403.09989999999999</v>
      </c>
      <c r="F149" s="87">
        <v>388.22890000000001</v>
      </c>
      <c r="G149" s="36" t="e">
        <f ca="1">_xll.BDP($B149,G$2,"EQY_FUND_YEAR=2016")</f>
        <v>#NAME?</v>
      </c>
      <c r="H149" s="87">
        <v>29.199000000000002</v>
      </c>
      <c r="I149" s="87">
        <v>39.658999999999999</v>
      </c>
      <c r="J149" s="36">
        <f t="shared" si="24"/>
        <v>13.295965615260796</v>
      </c>
      <c r="K149" s="36">
        <f t="shared" si="25"/>
        <v>9.7891752187397572</v>
      </c>
      <c r="L149" s="87">
        <v>0.35823144628240677</v>
      </c>
      <c r="M149" s="87">
        <v>15.933999778747559</v>
      </c>
      <c r="N149" s="87">
        <v>56.929000000000002</v>
      </c>
      <c r="O149" s="94">
        <f t="shared" si="18"/>
        <v>0.54570361240958798</v>
      </c>
      <c r="P149" s="87">
        <v>4.1589999999999998</v>
      </c>
      <c r="Q149" s="36">
        <f t="shared" si="19"/>
        <v>0.14243638480769888</v>
      </c>
      <c r="R149" s="87">
        <v>6.1790000000000003</v>
      </c>
      <c r="S149" s="36">
        <f t="shared" si="20"/>
        <v>0.2116168361930203</v>
      </c>
      <c r="T149" s="87">
        <v>5.5949999999999998</v>
      </c>
      <c r="U149" s="36">
        <f t="shared" si="21"/>
        <v>0.19161615123805609</v>
      </c>
      <c r="V149" s="87">
        <v>0.91400000000000003</v>
      </c>
      <c r="W149" s="87">
        <v>6.827</v>
      </c>
      <c r="X149" s="36">
        <f t="shared" si="22"/>
        <v>3.130244186444741E-2</v>
      </c>
      <c r="Y149" s="36" t="e">
        <f ca="1">_xll.BDP($B149,Y$2,)</f>
        <v>#NAME?</v>
      </c>
      <c r="Z149" s="36" t="e">
        <f ca="1">_xll.BDP($B149,Z$2)</f>
        <v>#NAME?</v>
      </c>
      <c r="AA149" s="87">
        <v>-4.5880099999999997</v>
      </c>
      <c r="AB149" s="87">
        <v>0.89500000000000002</v>
      </c>
      <c r="AC149" s="92">
        <f t="shared" si="23"/>
        <v>-0.15712901126750914</v>
      </c>
    </row>
    <row r="150" spans="1:29" x14ac:dyDescent="0.2">
      <c r="A150" s="2" t="s">
        <v>355</v>
      </c>
      <c r="B150" s="2" t="s">
        <v>355</v>
      </c>
      <c r="C150" s="1" t="s">
        <v>356</v>
      </c>
      <c r="D150" s="87" t="s">
        <v>495</v>
      </c>
      <c r="E150" s="87">
        <v>401.76179999999999</v>
      </c>
      <c r="F150" s="87">
        <v>374.9058</v>
      </c>
      <c r="G150" s="36" t="e">
        <f ca="1">_xll.BDP($B150,G$2,"EQY_FUND_YEAR=2016")</f>
        <v>#NAME?</v>
      </c>
      <c r="H150" s="87">
        <v>271.697</v>
      </c>
      <c r="I150" s="87">
        <v>301</v>
      </c>
      <c r="J150" s="36">
        <f t="shared" si="24"/>
        <v>1.3798672786228776</v>
      </c>
      <c r="K150" s="36">
        <f t="shared" si="25"/>
        <v>1.245534219269103</v>
      </c>
      <c r="L150" s="87">
        <v>0.10785176133707775</v>
      </c>
      <c r="M150" s="87">
        <v>87.58700073242187</v>
      </c>
      <c r="N150" s="87">
        <v>33</v>
      </c>
      <c r="O150" s="94">
        <f t="shared" si="18"/>
        <v>0.32237014296227734</v>
      </c>
      <c r="P150" s="87">
        <v>6.9419999999999993</v>
      </c>
      <c r="Q150" s="36">
        <f t="shared" si="19"/>
        <v>2.5550521352830539E-2</v>
      </c>
      <c r="R150" s="87">
        <v>27.244</v>
      </c>
      <c r="S150" s="36">
        <f t="shared" si="20"/>
        <v>0.10027346639823038</v>
      </c>
      <c r="T150" s="87">
        <v>22.837</v>
      </c>
      <c r="U150" s="36">
        <f t="shared" si="21"/>
        <v>8.4053191606826727E-2</v>
      </c>
      <c r="V150" s="87">
        <v>41.933999999999997</v>
      </c>
      <c r="W150" s="87" t="s">
        <v>480</v>
      </c>
      <c r="X150" s="36">
        <f t="shared" si="22"/>
        <v>0.15434104903624257</v>
      </c>
      <c r="Y150" s="36" t="e">
        <f ca="1">_xll.BDP($B150,Y$2,)</f>
        <v>#NAME?</v>
      </c>
      <c r="Z150" s="36" t="e">
        <f ca="1">_xll.BDP($B150,Z$2)</f>
        <v>#NAME?</v>
      </c>
      <c r="AA150" s="87">
        <v>18.194142797403998</v>
      </c>
      <c r="AB150" s="87">
        <v>29.25</v>
      </c>
      <c r="AC150" s="92">
        <f t="shared" si="23"/>
        <v>6.6964827721336634E-2</v>
      </c>
    </row>
    <row r="151" spans="1:29" x14ac:dyDescent="0.2">
      <c r="A151" s="2" t="s">
        <v>361</v>
      </c>
      <c r="B151" s="2" t="s">
        <v>361</v>
      </c>
      <c r="C151" s="1" t="s">
        <v>362</v>
      </c>
      <c r="D151" s="87" t="s">
        <v>495</v>
      </c>
      <c r="E151" s="87">
        <v>362.9982</v>
      </c>
      <c r="F151" s="87">
        <v>328.06920000000002</v>
      </c>
      <c r="G151" s="36" t="e">
        <f ca="1">_xll.BDP($B151,G$2,"EQY_FUND_YEAR=2016")</f>
        <v>#NAME?</v>
      </c>
      <c r="H151" s="87">
        <v>127.502</v>
      </c>
      <c r="I151" s="87">
        <v>144.80000000000001</v>
      </c>
      <c r="J151" s="36">
        <f t="shared" si="24"/>
        <v>2.5730514031152456</v>
      </c>
      <c r="K151" s="36">
        <f t="shared" si="25"/>
        <v>2.265671270718232</v>
      </c>
      <c r="L151" s="87">
        <v>0.13566846010258682</v>
      </c>
      <c r="M151" s="87">
        <v>65.636000694274898</v>
      </c>
      <c r="N151" s="87">
        <v>51</v>
      </c>
      <c r="O151" s="94">
        <f t="shared" si="18"/>
        <v>0.51478408726353231</v>
      </c>
      <c r="P151" s="87">
        <v>27.936</v>
      </c>
      <c r="Q151" s="36">
        <f t="shared" si="19"/>
        <v>0.21910244545183605</v>
      </c>
      <c r="R151" s="87">
        <v>18.074999999999999</v>
      </c>
      <c r="S151" s="36">
        <f t="shared" si="20"/>
        <v>0.14176248215714263</v>
      </c>
      <c r="T151" s="87">
        <v>24.027999999999999</v>
      </c>
      <c r="U151" s="36">
        <f t="shared" si="21"/>
        <v>0.18845194585182978</v>
      </c>
      <c r="V151" s="87">
        <v>6.6750000000000007</v>
      </c>
      <c r="W151" s="87">
        <v>4.774</v>
      </c>
      <c r="X151" s="36">
        <f t="shared" si="22"/>
        <v>5.2352119966745631E-2</v>
      </c>
      <c r="Y151" s="36" t="e">
        <f ca="1">_xll.BDP($B151,Y$2,)</f>
        <v>#NAME?</v>
      </c>
      <c r="Z151" s="36" t="e">
        <f ca="1">_xll.BDP($B151,Z$2)</f>
        <v>#NAME?</v>
      </c>
      <c r="AA151" s="87">
        <v>-5.3883799999999997</v>
      </c>
      <c r="AB151" s="87">
        <v>-19.580000000000002</v>
      </c>
      <c r="AC151" s="92">
        <f t="shared" si="23"/>
        <v>-4.2261141001709773E-2</v>
      </c>
    </row>
    <row r="152" spans="1:29" x14ac:dyDescent="0.2">
      <c r="A152" s="2" t="s">
        <v>363</v>
      </c>
      <c r="B152" s="2" t="s">
        <v>363</v>
      </c>
      <c r="C152" s="1" t="s">
        <v>364</v>
      </c>
      <c r="D152" s="87" t="s">
        <v>495</v>
      </c>
      <c r="E152" s="87">
        <v>349.85969999999998</v>
      </c>
      <c r="F152" s="87">
        <v>265.0127</v>
      </c>
      <c r="G152" s="36" t="e">
        <f ca="1">_xll.BDP($B152,G$2,"EQY_FUND_YEAR=2016")</f>
        <v>#NAME?</v>
      </c>
      <c r="H152" s="87">
        <v>113.21600000000001</v>
      </c>
      <c r="I152" s="87">
        <v>120.10000000000001</v>
      </c>
      <c r="J152" s="36">
        <f t="shared" si="24"/>
        <v>2.3407707391181458</v>
      </c>
      <c r="K152" s="36">
        <f t="shared" si="25"/>
        <v>2.2066003330557868</v>
      </c>
      <c r="L152" s="87">
        <v>6.0804126625211952E-2</v>
      </c>
      <c r="M152" s="87">
        <v>61.229999687194827</v>
      </c>
      <c r="N152" s="87">
        <v>49.4</v>
      </c>
      <c r="O152" s="94">
        <f t="shared" si="18"/>
        <v>0.5408246156655846</v>
      </c>
      <c r="P152" s="87">
        <v>11.876999999999999</v>
      </c>
      <c r="Q152" s="36">
        <f t="shared" si="19"/>
        <v>0.1049056670435274</v>
      </c>
      <c r="R152" s="87">
        <v>20.658000000000001</v>
      </c>
      <c r="S152" s="36">
        <f t="shared" si="20"/>
        <v>0.18246537591859807</v>
      </c>
      <c r="T152" s="87">
        <v>16.056999999999999</v>
      </c>
      <c r="U152" s="36">
        <f t="shared" si="21"/>
        <v>0.14182624364047483</v>
      </c>
      <c r="V152" s="87">
        <v>16.959000000000003</v>
      </c>
      <c r="W152" s="87">
        <v>17.72</v>
      </c>
      <c r="X152" s="36">
        <f t="shared" si="22"/>
        <v>0.14979331543244773</v>
      </c>
      <c r="Y152" s="36" t="e">
        <f ca="1">_xll.BDP($B152,Y$2,)</f>
        <v>#NAME?</v>
      </c>
      <c r="Z152" s="36" t="e">
        <f ca="1">_xll.BDP($B152,Z$2)</f>
        <v>#NAME?</v>
      </c>
      <c r="AA152" s="87">
        <v>9.6010000000000009</v>
      </c>
      <c r="AB152" s="87">
        <v>9.89</v>
      </c>
      <c r="AC152" s="92">
        <f t="shared" si="23"/>
        <v>8.4802501413227815E-2</v>
      </c>
    </row>
    <row r="153" spans="1:29" x14ac:dyDescent="0.2">
      <c r="A153" s="2" t="s">
        <v>365</v>
      </c>
      <c r="B153" s="2" t="s">
        <v>365</v>
      </c>
      <c r="C153" s="1" t="s">
        <v>366</v>
      </c>
      <c r="D153" s="2" t="s">
        <v>505</v>
      </c>
      <c r="E153" s="2">
        <v>319.524</v>
      </c>
      <c r="F153" s="2">
        <v>304.52499999999998</v>
      </c>
      <c r="G153" s="36" t="e">
        <f ca="1">_xll.BDP($B153,G$2,"EQY_FUND_YEAR=2016")</f>
        <v>#NAME?</v>
      </c>
      <c r="H153" s="2">
        <v>72.800999999999988</v>
      </c>
      <c r="I153" s="2">
        <v>86.84</v>
      </c>
      <c r="J153" s="36">
        <f t="shared" si="24"/>
        <v>4.1829782557931896</v>
      </c>
      <c r="K153" s="36">
        <f t="shared" si="25"/>
        <v>3.5067365269461073</v>
      </c>
      <c r="L153" s="2">
        <v>0.19284075768190023</v>
      </c>
      <c r="M153" s="2">
        <v>62.064999832153319</v>
      </c>
      <c r="N153" s="2">
        <v>86.350000000000009</v>
      </c>
      <c r="O153" s="94">
        <f t="shared" si="18"/>
        <v>0.85252949591562377</v>
      </c>
      <c r="P153" s="2">
        <v>14.01</v>
      </c>
      <c r="Q153" s="36">
        <f t="shared" si="19"/>
        <v>0.1924424115053365</v>
      </c>
      <c r="R153" s="2">
        <v>35.893000000000001</v>
      </c>
      <c r="S153" s="36">
        <f t="shared" si="20"/>
        <v>0.49302894191013868</v>
      </c>
      <c r="T153" s="2">
        <v>5.1959999999999997</v>
      </c>
      <c r="U153" s="36">
        <f t="shared" si="21"/>
        <v>7.137264598013765E-2</v>
      </c>
      <c r="V153" s="2">
        <v>3.6139999999999999</v>
      </c>
      <c r="W153" s="2">
        <v>7.8500000000000005</v>
      </c>
      <c r="X153" s="36">
        <f t="shared" si="22"/>
        <v>4.9642175244845543E-2</v>
      </c>
      <c r="Y153" s="36" t="e">
        <f ca="1">_xll.BDP($B153,Y$2,)</f>
        <v>#NAME?</v>
      </c>
      <c r="Z153" s="36" t="e">
        <f ca="1">_xll.BDP($B153,Z$2)</f>
        <v>#NAME?</v>
      </c>
      <c r="AA153" s="2">
        <v>-1.5870000000000002</v>
      </c>
      <c r="AB153" s="2">
        <v>5.758</v>
      </c>
      <c r="AC153" s="92">
        <f t="shared" si="23"/>
        <v>-2.1799151110561674E-2</v>
      </c>
    </row>
    <row r="154" spans="1:29" x14ac:dyDescent="0.2">
      <c r="A154" s="2" t="s">
        <v>367</v>
      </c>
      <c r="B154" s="2" t="s">
        <v>367</v>
      </c>
      <c r="C154" s="1" t="s">
        <v>368</v>
      </c>
      <c r="D154" s="87" t="s">
        <v>495</v>
      </c>
      <c r="E154" s="87">
        <v>318.11509999999998</v>
      </c>
      <c r="F154" s="87">
        <v>268.75810000000001</v>
      </c>
      <c r="G154" s="36" t="e">
        <f ca="1">_xll.BDP($B154,G$2,"EQY_FUND_YEAR=2016")</f>
        <v>#NAME?</v>
      </c>
      <c r="H154" s="87">
        <v>128.30699999999999</v>
      </c>
      <c r="I154" s="87">
        <v>134.50399999999999</v>
      </c>
      <c r="J154" s="36">
        <f t="shared" si="24"/>
        <v>2.094648772085701</v>
      </c>
      <c r="K154" s="36">
        <f t="shared" si="25"/>
        <v>1.9981420626895856</v>
      </c>
      <c r="L154" s="87">
        <v>4.8298222232614041E-2</v>
      </c>
      <c r="M154" s="87">
        <v>101.39099937438965</v>
      </c>
      <c r="N154" s="87">
        <v>79.067000000000007</v>
      </c>
      <c r="O154" s="94">
        <f t="shared" si="18"/>
        <v>0.79022188481056888</v>
      </c>
      <c r="P154" s="87">
        <v>21.867999999999999</v>
      </c>
      <c r="Q154" s="36">
        <f t="shared" si="19"/>
        <v>0.17043497237095404</v>
      </c>
      <c r="R154" s="87">
        <v>63.494999999999997</v>
      </c>
      <c r="S154" s="36">
        <f t="shared" si="20"/>
        <v>0.49486777806355076</v>
      </c>
      <c r="T154" s="87">
        <v>27.8</v>
      </c>
      <c r="U154" s="36">
        <f t="shared" si="21"/>
        <v>0.21666783573772283</v>
      </c>
      <c r="V154" s="87">
        <v>-4.3410000000000002</v>
      </c>
      <c r="W154" s="87">
        <v>8.4990000000000006</v>
      </c>
      <c r="X154" s="36">
        <f t="shared" si="22"/>
        <v>-3.383291636465665E-2</v>
      </c>
      <c r="Y154" s="36" t="e">
        <f ca="1">_xll.BDP($B154,Y$2,)</f>
        <v>#NAME?</v>
      </c>
      <c r="Z154" s="36" t="e">
        <f ca="1">_xll.BDP($B154,Z$2)</f>
        <v>#NAME?</v>
      </c>
      <c r="AA154" s="87">
        <v>-10.436999999999999</v>
      </c>
      <c r="AB154" s="87">
        <v>1.6480000000000001</v>
      </c>
      <c r="AC154" s="92">
        <f t="shared" si="23"/>
        <v>-8.1343964086137158E-2</v>
      </c>
    </row>
    <row r="155" spans="1:29" x14ac:dyDescent="0.2">
      <c r="A155" s="2" t="s">
        <v>369</v>
      </c>
      <c r="B155" s="2" t="s">
        <v>369</v>
      </c>
      <c r="C155" s="1" t="s">
        <v>370</v>
      </c>
      <c r="D155" s="87" t="s">
        <v>495</v>
      </c>
      <c r="E155" s="87">
        <v>323.1626</v>
      </c>
      <c r="F155" s="87">
        <v>305.15159999999997</v>
      </c>
      <c r="G155" s="36" t="e">
        <f ca="1">_xll.BDP($B155,G$2,"EQY_FUND_YEAR=2016")</f>
        <v>#NAME?</v>
      </c>
      <c r="H155" s="87">
        <v>55.426000000000002</v>
      </c>
      <c r="I155" s="87">
        <v>77.417000000000002</v>
      </c>
      <c r="J155" s="36">
        <f t="shared" si="24"/>
        <v>5.505567784072456</v>
      </c>
      <c r="K155" s="36">
        <f t="shared" si="25"/>
        <v>3.9416613922006789</v>
      </c>
      <c r="L155" s="87">
        <v>0.39676325190343875</v>
      </c>
      <c r="M155" s="87">
        <v>48.276000267028806</v>
      </c>
      <c r="N155" s="87">
        <v>86.082999999999998</v>
      </c>
      <c r="O155" s="94">
        <f t="shared" si="18"/>
        <v>0.87099917488234413</v>
      </c>
      <c r="P155" s="87">
        <v>10.43</v>
      </c>
      <c r="Q155" s="36">
        <f t="shared" si="19"/>
        <v>0.1881788330386461</v>
      </c>
      <c r="R155" s="87">
        <v>14.484</v>
      </c>
      <c r="S155" s="36">
        <f t="shared" si="20"/>
        <v>0.2613214015083174</v>
      </c>
      <c r="T155" s="87">
        <v>11.31</v>
      </c>
      <c r="U155" s="36">
        <f t="shared" si="21"/>
        <v>0.20405585826146574</v>
      </c>
      <c r="V155" s="87">
        <v>6.4513846153849999</v>
      </c>
      <c r="W155" s="87">
        <v>11.295</v>
      </c>
      <c r="X155" s="36">
        <f t="shared" si="22"/>
        <v>0.11639635938702053</v>
      </c>
      <c r="Y155" s="36" t="e">
        <f ca="1">_xll.BDP($B155,Y$2,)</f>
        <v>#NAME?</v>
      </c>
      <c r="Z155" s="36" t="e">
        <f ca="1">_xll.BDP($B155,Z$2)</f>
        <v>#NAME?</v>
      </c>
      <c r="AA155" s="87">
        <v>2.9750000000000001</v>
      </c>
      <c r="AB155" s="87">
        <v>12.266</v>
      </c>
      <c r="AC155" s="92">
        <f t="shared" si="23"/>
        <v>5.3675170497600407E-2</v>
      </c>
    </row>
    <row r="156" spans="1:29" x14ac:dyDescent="0.2">
      <c r="A156" s="2" t="s">
        <v>371</v>
      </c>
      <c r="B156" s="2" t="s">
        <v>371</v>
      </c>
      <c r="C156" s="1" t="s">
        <v>372</v>
      </c>
      <c r="D156" s="87" t="s">
        <v>495</v>
      </c>
      <c r="E156" s="87">
        <v>311.74180000000001</v>
      </c>
      <c r="F156" s="87">
        <v>255.0078</v>
      </c>
      <c r="G156" s="36" t="e">
        <f ca="1">_xll.BDP($B156,G$2,"EQY_FUND_YEAR=2016")</f>
        <v>#NAME?</v>
      </c>
      <c r="H156" s="87">
        <v>24.585999999999999</v>
      </c>
      <c r="I156" s="87">
        <v>25.216999999999999</v>
      </c>
      <c r="J156" s="36">
        <f t="shared" si="24"/>
        <v>10.372073537785733</v>
      </c>
      <c r="K156" s="36">
        <f t="shared" si="25"/>
        <v>10.11253519451164</v>
      </c>
      <c r="L156" s="87">
        <v>2.5665012608801829E-2</v>
      </c>
      <c r="M156" s="87">
        <v>16.067000110626221</v>
      </c>
      <c r="N156" s="87">
        <v>58.783000000000001</v>
      </c>
      <c r="O156" s="94">
        <f t="shared" si="18"/>
        <v>0.6535019975037103</v>
      </c>
      <c r="P156" s="87">
        <v>15.434999999999999</v>
      </c>
      <c r="Q156" s="36">
        <f t="shared" si="19"/>
        <v>0.62779630684129173</v>
      </c>
      <c r="R156" s="87">
        <v>16.635999999999999</v>
      </c>
      <c r="S156" s="36">
        <f t="shared" si="20"/>
        <v>0.67664524526153091</v>
      </c>
      <c r="T156" s="87">
        <v>9.68</v>
      </c>
      <c r="U156" s="36">
        <f t="shared" si="21"/>
        <v>0.39372000325388434</v>
      </c>
      <c r="V156" s="87">
        <v>-27.398</v>
      </c>
      <c r="W156" s="87">
        <v>-25.55</v>
      </c>
      <c r="X156" s="36">
        <f t="shared" si="22"/>
        <v>-1.1143740340030912</v>
      </c>
      <c r="Y156" s="36" t="e">
        <f ca="1">_xll.BDP($B156,Y$2,)</f>
        <v>#NAME?</v>
      </c>
      <c r="Z156" s="36" t="e">
        <f ca="1">_xll.BDP($B156,Z$2)</f>
        <v>#NAME?</v>
      </c>
      <c r="AA156" s="87">
        <v>-28.759999999999998</v>
      </c>
      <c r="AB156" s="87">
        <v>-32.21</v>
      </c>
      <c r="AC156" s="92">
        <f t="shared" si="23"/>
        <v>-1.1697714146262099</v>
      </c>
    </row>
    <row r="157" spans="1:29" x14ac:dyDescent="0.2">
      <c r="A157" s="2" t="s">
        <v>383</v>
      </c>
      <c r="B157" s="2" t="s">
        <v>383</v>
      </c>
      <c r="C157" s="1" t="s">
        <v>384</v>
      </c>
      <c r="D157" s="87" t="s">
        <v>495</v>
      </c>
      <c r="E157" s="87">
        <v>245.4846</v>
      </c>
      <c r="F157" s="87">
        <v>259.96980000000002</v>
      </c>
      <c r="G157" s="36" t="e">
        <f ca="1">_xll.BDP($B157,G$2,"EQY_FUND_YEAR=2016")</f>
        <v>#NAME?</v>
      </c>
      <c r="H157" s="87">
        <v>81.967006999999995</v>
      </c>
      <c r="I157" s="87">
        <v>89.275000000000006</v>
      </c>
      <c r="J157" s="36">
        <f t="shared" si="24"/>
        <v>3.1716395354047759</v>
      </c>
      <c r="K157" s="36">
        <f t="shared" si="25"/>
        <v>2.9120112013441615</v>
      </c>
      <c r="L157" s="87">
        <v>8.9157738796050046E-2</v>
      </c>
      <c r="M157" s="87">
        <v>44.329346749023436</v>
      </c>
      <c r="N157" s="87">
        <v>55</v>
      </c>
      <c r="O157" s="94">
        <f t="shared" si="18"/>
        <v>0.54081939028252479</v>
      </c>
      <c r="P157" s="87">
        <v>14.941393999999999</v>
      </c>
      <c r="Q157" s="36">
        <f t="shared" si="19"/>
        <v>0.18228546517503072</v>
      </c>
      <c r="R157" s="87">
        <v>22.526534999999999</v>
      </c>
      <c r="S157" s="36">
        <f t="shared" si="20"/>
        <v>0.27482441807348168</v>
      </c>
      <c r="T157" s="87">
        <v>15.263297</v>
      </c>
      <c r="U157" s="36">
        <f t="shared" si="21"/>
        <v>0.18621269165043444</v>
      </c>
      <c r="V157" s="87">
        <v>-4.3256870000000003</v>
      </c>
      <c r="W157" s="87">
        <v>3.93</v>
      </c>
      <c r="X157" s="36">
        <f t="shared" si="22"/>
        <v>-5.2773514104278572E-2</v>
      </c>
      <c r="Y157" s="36" t="e">
        <f ca="1">_xll.BDP($B157,Y$2,)</f>
        <v>#NAME?</v>
      </c>
      <c r="Z157" s="36" t="e">
        <f ca="1">_xll.BDP($B157,Z$2)</f>
        <v>#NAME?</v>
      </c>
      <c r="AA157" s="87">
        <v>-10.418129</v>
      </c>
      <c r="AB157" s="87">
        <v>-3.863</v>
      </c>
      <c r="AC157" s="92">
        <f t="shared" si="23"/>
        <v>-0.12710149340941534</v>
      </c>
    </row>
    <row r="158" spans="1:29" x14ac:dyDescent="0.2">
      <c r="A158" s="2" t="s">
        <v>385</v>
      </c>
      <c r="B158" s="2" t="s">
        <v>385</v>
      </c>
      <c r="C158" s="1" t="s">
        <v>386</v>
      </c>
      <c r="D158" s="2" t="s">
        <v>505</v>
      </c>
      <c r="E158" s="2">
        <v>240.55779999999999</v>
      </c>
      <c r="F158" s="2">
        <v>205.81890000000001</v>
      </c>
      <c r="G158" s="36" t="e">
        <f ca="1">_xll.BDP($B158,G$2,"EQY_FUND_YEAR=2016")</f>
        <v>#NAME?</v>
      </c>
      <c r="H158" s="2">
        <v>93.621832000000012</v>
      </c>
      <c r="I158" s="2">
        <v>97.92</v>
      </c>
      <c r="J158" s="36">
        <f t="shared" si="24"/>
        <v>2.1984070980367059</v>
      </c>
      <c r="K158" s="36">
        <f t="shared" si="25"/>
        <v>2.1019087009803923</v>
      </c>
      <c r="L158" s="2">
        <v>4.5909889906875501E-2</v>
      </c>
      <c r="M158" s="2">
        <v>79.795185569702141</v>
      </c>
      <c r="N158" s="2">
        <v>84.960000000000008</v>
      </c>
      <c r="O158" s="94">
        <f t="shared" si="18"/>
        <v>0.85231386595492098</v>
      </c>
      <c r="P158" s="2">
        <v>20.054991999999999</v>
      </c>
      <c r="Q158" s="36">
        <f t="shared" si="19"/>
        <v>0.21421277037176539</v>
      </c>
      <c r="R158" s="2">
        <v>40.912472999999999</v>
      </c>
      <c r="S158" s="36">
        <f t="shared" si="20"/>
        <v>0.43699714186323541</v>
      </c>
      <c r="T158" s="2">
        <v>12.358472000000001</v>
      </c>
      <c r="U158" s="36">
        <f t="shared" si="21"/>
        <v>0.13200416757493058</v>
      </c>
      <c r="V158" s="2">
        <v>18.034611999999999</v>
      </c>
      <c r="W158" s="2">
        <v>13.647</v>
      </c>
      <c r="X158" s="36">
        <f t="shared" si="22"/>
        <v>0.19263254750238168</v>
      </c>
      <c r="Y158" s="36" t="e">
        <f ca="1">_xll.BDP($B158,Y$2,)</f>
        <v>#NAME?</v>
      </c>
      <c r="Z158" s="36" t="e">
        <f ca="1">_xll.BDP($B158,Z$2)</f>
        <v>#NAME?</v>
      </c>
      <c r="AA158" s="2">
        <v>5.1388267800000005</v>
      </c>
      <c r="AB158" s="2">
        <v>4.2549999999999999</v>
      </c>
      <c r="AC158" s="92">
        <f t="shared" si="23"/>
        <v>5.4889192725901793E-2</v>
      </c>
    </row>
    <row r="159" spans="1:29" x14ac:dyDescent="0.2">
      <c r="A159" s="2" t="s">
        <v>391</v>
      </c>
      <c r="B159" s="2" t="s">
        <v>391</v>
      </c>
      <c r="C159" s="1" t="s">
        <v>392</v>
      </c>
      <c r="D159" s="2" t="s">
        <v>505</v>
      </c>
      <c r="E159" s="2">
        <v>223.01750000000001</v>
      </c>
      <c r="F159" s="2">
        <v>117.0865</v>
      </c>
      <c r="G159" s="36" t="e">
        <f ca="1">_xll.BDP($B159,G$2,"EQY_FUND_YEAR=2016")</f>
        <v>#NAME?</v>
      </c>
      <c r="H159" s="2">
        <v>88.789999999999992</v>
      </c>
      <c r="I159" s="2">
        <v>99.167000000000002</v>
      </c>
      <c r="J159" s="36">
        <f t="shared" si="24"/>
        <v>1.3186901678116907</v>
      </c>
      <c r="K159" s="36">
        <f t="shared" si="25"/>
        <v>1.1807002329403935</v>
      </c>
      <c r="L159" s="2">
        <v>0.11687126928708191</v>
      </c>
      <c r="M159" s="2">
        <v>60.490999809265134</v>
      </c>
      <c r="N159" s="2">
        <v>68.5</v>
      </c>
      <c r="O159" s="94">
        <f t="shared" si="18"/>
        <v>0.68128167371624215</v>
      </c>
      <c r="P159" s="2">
        <v>21.852</v>
      </c>
      <c r="Q159" s="36">
        <f t="shared" si="19"/>
        <v>0.24610879603558961</v>
      </c>
      <c r="R159" s="2">
        <v>38.316000000000003</v>
      </c>
      <c r="S159" s="36">
        <f t="shared" si="20"/>
        <v>0.43153508277959235</v>
      </c>
      <c r="T159" s="2">
        <v>10.696</v>
      </c>
      <c r="U159" s="36">
        <f t="shared" si="21"/>
        <v>0.12046401621804258</v>
      </c>
      <c r="V159" s="2">
        <v>-8.6230000000000011</v>
      </c>
      <c r="W159" s="2">
        <v>-3.14</v>
      </c>
      <c r="X159" s="36">
        <f t="shared" si="22"/>
        <v>-9.7116792431580154E-2</v>
      </c>
      <c r="Y159" s="36" t="e">
        <f ca="1">_xll.BDP($B159,Y$2,)</f>
        <v>#NAME?</v>
      </c>
      <c r="Z159" s="36" t="e">
        <f ca="1">_xll.BDP($B159,Z$2)</f>
        <v>#NAME?</v>
      </c>
      <c r="AA159" s="2">
        <v>-12.355</v>
      </c>
      <c r="AB159" s="2">
        <v>-4.6749999999999998</v>
      </c>
      <c r="AC159" s="92">
        <f t="shared" si="23"/>
        <v>-0.13914855276495103</v>
      </c>
    </row>
    <row r="160" spans="1:29" x14ac:dyDescent="0.2">
      <c r="A160" s="2" t="s">
        <v>393</v>
      </c>
      <c r="B160" s="2" t="s">
        <v>393</v>
      </c>
      <c r="C160" s="1" t="s">
        <v>394</v>
      </c>
      <c r="D160" s="2" t="s">
        <v>506</v>
      </c>
      <c r="E160" s="2">
        <v>210.8604</v>
      </c>
      <c r="F160" s="2">
        <v>241.44040000000001</v>
      </c>
      <c r="G160" s="36" t="e">
        <f ca="1">_xll.BDP($B160,G$2,"EQY_FUND_YEAR=2016")</f>
        <v>#NAME?</v>
      </c>
      <c r="H160" s="2">
        <v>267.303</v>
      </c>
      <c r="I160" s="2">
        <v>263</v>
      </c>
      <c r="J160" s="36">
        <f t="shared" si="24"/>
        <v>0.90324612892485312</v>
      </c>
      <c r="K160" s="36">
        <f t="shared" si="25"/>
        <v>0.91802433460076049</v>
      </c>
      <c r="L160" s="2">
        <v>-1.6097836537562249E-2</v>
      </c>
      <c r="M160" s="2">
        <v>24.043999839782714</v>
      </c>
      <c r="N160" s="2">
        <v>9.1</v>
      </c>
      <c r="O160" s="94">
        <f t="shared" si="18"/>
        <v>8.9950355363698553E-2</v>
      </c>
      <c r="P160" s="2">
        <v>0</v>
      </c>
      <c r="Q160" s="36">
        <f t="shared" si="19"/>
        <v>0</v>
      </c>
      <c r="R160" s="2" t="s">
        <v>480</v>
      </c>
      <c r="S160" s="36" t="e">
        <f t="shared" si="20"/>
        <v>#VALUE!</v>
      </c>
      <c r="T160" s="2" t="s">
        <v>480</v>
      </c>
      <c r="U160" s="36" t="e">
        <f t="shared" si="21"/>
        <v>#VALUE!</v>
      </c>
      <c r="V160" s="2">
        <v>2.218</v>
      </c>
      <c r="W160" s="2">
        <v>2.5300000000000002</v>
      </c>
      <c r="X160" s="36">
        <f t="shared" si="22"/>
        <v>8.2976996142953875E-3</v>
      </c>
      <c r="Y160" s="36" t="e">
        <f ca="1">_xll.BDP($B160,Y$2,)</f>
        <v>#NAME?</v>
      </c>
      <c r="Z160" s="36" t="e">
        <f ca="1">_xll.BDP($B160,Z$2)</f>
        <v>#NAME?</v>
      </c>
      <c r="AA160" s="2">
        <v>-11.090780000000002</v>
      </c>
      <c r="AB160" s="2">
        <v>-16</v>
      </c>
      <c r="AC160" s="92">
        <f t="shared" si="23"/>
        <v>-4.149141610831155E-2</v>
      </c>
    </row>
    <row r="161" spans="1:29" x14ac:dyDescent="0.2">
      <c r="A161" s="2" t="s">
        <v>395</v>
      </c>
      <c r="B161" s="2" t="s">
        <v>395</v>
      </c>
      <c r="C161" s="1" t="s">
        <v>396</v>
      </c>
      <c r="D161" s="87" t="s">
        <v>495</v>
      </c>
      <c r="E161" s="87">
        <v>200.37180000000001</v>
      </c>
      <c r="F161" s="87">
        <v>198.11580000000001</v>
      </c>
      <c r="G161" s="36" t="e">
        <f ca="1">_xll.BDP($B161,G$2,"EQY_FUND_YEAR=2016")</f>
        <v>#NAME?</v>
      </c>
      <c r="H161" s="87">
        <v>61.307000000000002</v>
      </c>
      <c r="I161" s="87">
        <v>66.075000000000003</v>
      </c>
      <c r="J161" s="36">
        <f t="shared" si="24"/>
        <v>3.2315363661572087</v>
      </c>
      <c r="K161" s="36">
        <f t="shared" si="25"/>
        <v>2.9983473325766177</v>
      </c>
      <c r="L161" s="87">
        <v>7.7772521897988778E-2</v>
      </c>
      <c r="M161" s="87">
        <v>38.971000602722171</v>
      </c>
      <c r="N161" s="87">
        <v>63.690000000000005</v>
      </c>
      <c r="O161" s="94">
        <f t="shared" si="18"/>
        <v>0.63566967234935934</v>
      </c>
      <c r="P161" s="87">
        <v>14.710999999999999</v>
      </c>
      <c r="Q161" s="36">
        <f t="shared" si="19"/>
        <v>0.23995628557913448</v>
      </c>
      <c r="R161" s="87">
        <v>17.681000000000001</v>
      </c>
      <c r="S161" s="36">
        <f t="shared" si="20"/>
        <v>0.28840099825468546</v>
      </c>
      <c r="T161" s="87">
        <v>7.5670000000000002</v>
      </c>
      <c r="U161" s="36">
        <f t="shared" si="21"/>
        <v>0.12342799354070498</v>
      </c>
      <c r="V161" s="87">
        <v>1.6520000000000001</v>
      </c>
      <c r="W161" s="87">
        <v>3.4729999999999999</v>
      </c>
      <c r="X161" s="36">
        <f t="shared" si="22"/>
        <v>2.6946351966333371E-2</v>
      </c>
      <c r="Y161" s="36" t="e">
        <f ca="1">_xll.BDP($B161,Y$2,)</f>
        <v>#NAME?</v>
      </c>
      <c r="Z161" s="36" t="e">
        <f ca="1">_xll.BDP($B161,Z$2)</f>
        <v>#NAME?</v>
      </c>
      <c r="AA161" s="87">
        <v>-1.9897</v>
      </c>
      <c r="AB161" s="87">
        <v>8.7000000000000008E-2</v>
      </c>
      <c r="AC161" s="92">
        <f t="shared" si="23"/>
        <v>-3.2454695222405273E-2</v>
      </c>
    </row>
    <row r="162" spans="1:29" x14ac:dyDescent="0.2">
      <c r="A162" s="2" t="s">
        <v>397</v>
      </c>
      <c r="B162" s="2" t="s">
        <v>397</v>
      </c>
      <c r="C162" s="1" t="s">
        <v>398</v>
      </c>
      <c r="D162" s="87" t="s">
        <v>495</v>
      </c>
      <c r="E162" s="87">
        <v>213.11680000000001</v>
      </c>
      <c r="F162" s="87">
        <v>128.17080000000001</v>
      </c>
      <c r="G162" s="36" t="e">
        <f ca="1">_xll.BDP($B162,G$2,"EQY_FUND_YEAR=2016")</f>
        <v>#NAME?</v>
      </c>
      <c r="H162" s="87">
        <v>106.17999999999999</v>
      </c>
      <c r="I162" s="87">
        <v>222.333</v>
      </c>
      <c r="J162" s="36">
        <f t="shared" si="24"/>
        <v>1.2071086833678661</v>
      </c>
      <c r="K162" s="36">
        <f t="shared" si="25"/>
        <v>0.57648122410978131</v>
      </c>
      <c r="L162" s="87">
        <v>1.0939254096816726</v>
      </c>
      <c r="M162" s="87">
        <v>43.949999134063717</v>
      </c>
      <c r="N162" s="87">
        <v>44.2</v>
      </c>
      <c r="O162" s="94">
        <f t="shared" si="18"/>
        <v>0.41391975074461967</v>
      </c>
      <c r="P162" s="87">
        <v>87.488</v>
      </c>
      <c r="Q162" s="36">
        <f t="shared" si="19"/>
        <v>0.82395931437182146</v>
      </c>
      <c r="R162" s="87">
        <v>20.748000000000001</v>
      </c>
      <c r="S162" s="36">
        <f t="shared" si="20"/>
        <v>0.19540403089093994</v>
      </c>
      <c r="T162" s="87">
        <v>21.562000000000001</v>
      </c>
      <c r="U162" s="36">
        <f t="shared" si="21"/>
        <v>0.20307025805236392</v>
      </c>
      <c r="V162" s="87">
        <v>-82.265000000000001</v>
      </c>
      <c r="W162" s="87">
        <v>-24.923000000000002</v>
      </c>
      <c r="X162" s="36">
        <f t="shared" si="22"/>
        <v>-0.77476925974759847</v>
      </c>
      <c r="Y162" s="36" t="e">
        <f ca="1">_xll.BDP($B162,Y$2,)</f>
        <v>#NAME?</v>
      </c>
      <c r="Z162" s="36" t="e">
        <f ca="1">_xll.BDP($B162,Z$2)</f>
        <v>#NAME?</v>
      </c>
      <c r="AA162" s="87">
        <v>-86.175290000000004</v>
      </c>
      <c r="AB162" s="87">
        <v>-33.910000000000004</v>
      </c>
      <c r="AC162" s="92">
        <f t="shared" si="23"/>
        <v>-0.81159625164814475</v>
      </c>
    </row>
    <row r="163" spans="1:29" x14ac:dyDescent="0.2">
      <c r="A163" s="2" t="s">
        <v>399</v>
      </c>
      <c r="B163" s="2" t="s">
        <v>399</v>
      </c>
      <c r="C163" s="1" t="s">
        <v>400</v>
      </c>
      <c r="D163" s="87" t="s">
        <v>495</v>
      </c>
      <c r="E163" s="87">
        <v>193.33240000000001</v>
      </c>
      <c r="F163" s="87">
        <v>194.5496</v>
      </c>
      <c r="G163" s="36" t="e">
        <f ca="1">_xll.BDP($B163,G$2,"EQY_FUND_YEAR=2016")</f>
        <v>#NAME?</v>
      </c>
      <c r="H163" s="87">
        <v>77.324254925706967</v>
      </c>
      <c r="I163" s="87">
        <v>93.373000000000005</v>
      </c>
      <c r="J163" s="36">
        <f t="shared" si="24"/>
        <v>2.5160229501974896</v>
      </c>
      <c r="K163" s="36">
        <f t="shared" si="25"/>
        <v>2.0835744808456407</v>
      </c>
      <c r="L163" s="87">
        <v>0.20755124106546718</v>
      </c>
      <c r="M163" s="87">
        <v>65.752319670119391</v>
      </c>
      <c r="N163" s="87" t="s">
        <v>480</v>
      </c>
      <c r="O163" s="94">
        <f t="shared" si="18"/>
        <v>0.8503453377377399</v>
      </c>
      <c r="P163" s="87">
        <v>23.226824863907463</v>
      </c>
      <c r="Q163" s="36">
        <f t="shared" si="19"/>
        <v>0.30038213606097808</v>
      </c>
      <c r="R163" s="87">
        <v>21.908126817776814</v>
      </c>
      <c r="S163" s="36">
        <f t="shared" si="20"/>
        <v>0.28332800411495862</v>
      </c>
      <c r="T163" s="87">
        <v>12.618812398265399</v>
      </c>
      <c r="U163" s="36">
        <f t="shared" si="21"/>
        <v>0.16319345605579436</v>
      </c>
      <c r="V163" s="87">
        <v>-10.102160110826825</v>
      </c>
      <c r="W163" s="87">
        <v>-7.149</v>
      </c>
      <c r="X163" s="36">
        <f t="shared" si="22"/>
        <v>-0.13064671777998982</v>
      </c>
      <c r="Y163" s="36" t="e">
        <f ca="1">_xll.BDP($B163,Y$2,)</f>
        <v>#NAME?</v>
      </c>
      <c r="Z163" s="36" t="e">
        <f ca="1">_xll.BDP($B163,Z$2)</f>
        <v>#NAME?</v>
      </c>
      <c r="AA163" s="87">
        <v>-21.599914824453627</v>
      </c>
      <c r="AB163" s="87">
        <v>-13.758000000000001</v>
      </c>
      <c r="AC163" s="92">
        <f t="shared" si="23"/>
        <v>-0.27934203627576876</v>
      </c>
    </row>
    <row r="164" spans="1:29" x14ac:dyDescent="0.2">
      <c r="A164" s="2" t="s">
        <v>401</v>
      </c>
      <c r="B164" s="2" t="s">
        <v>401</v>
      </c>
      <c r="C164" s="1" t="s">
        <v>402</v>
      </c>
      <c r="D164" s="87" t="s">
        <v>495</v>
      </c>
      <c r="E164" s="87">
        <v>193.80619999999999</v>
      </c>
      <c r="F164" s="87">
        <v>796.41120000000001</v>
      </c>
      <c r="G164" s="36" t="e">
        <f ca="1">_xll.BDP($B164,G$2,"EQY_FUND_YEAR=2016")</f>
        <v>#NAME?</v>
      </c>
      <c r="H164" s="87">
        <v>226.47071799999998</v>
      </c>
      <c r="I164" s="87">
        <v>566</v>
      </c>
      <c r="J164" s="36">
        <f t="shared" si="24"/>
        <v>3.5166188681399424</v>
      </c>
      <c r="K164" s="36">
        <f t="shared" si="25"/>
        <v>1.4070869257950531</v>
      </c>
      <c r="L164" s="87">
        <v>1.4992193472005511</v>
      </c>
      <c r="M164" s="87">
        <v>104.50188414001465</v>
      </c>
      <c r="N164" s="87">
        <v>45.067</v>
      </c>
      <c r="O164" s="94">
        <f t="shared" si="18"/>
        <v>0.46143662661066259</v>
      </c>
      <c r="P164" s="87">
        <v>0</v>
      </c>
      <c r="Q164" s="36">
        <f t="shared" si="19"/>
        <v>0</v>
      </c>
      <c r="R164" s="87" t="s">
        <v>480</v>
      </c>
      <c r="S164" s="36" t="e">
        <f t="shared" si="20"/>
        <v>#VALUE!</v>
      </c>
      <c r="T164" s="87" t="s">
        <v>480</v>
      </c>
      <c r="U164" s="36" t="e">
        <f t="shared" si="21"/>
        <v>#VALUE!</v>
      </c>
      <c r="V164" s="87">
        <v>45.785221999999997</v>
      </c>
      <c r="W164" s="87">
        <v>127.017</v>
      </c>
      <c r="X164" s="36">
        <f t="shared" si="22"/>
        <v>0.20216839688740687</v>
      </c>
      <c r="Y164" s="36" t="e">
        <f ca="1">_xll.BDP($B164,Y$2,)</f>
        <v>#NAME?</v>
      </c>
      <c r="Z164" s="36" t="e">
        <f ca="1">_xll.BDP($B164,Z$2)</f>
        <v>#NAME?</v>
      </c>
      <c r="AA164" s="87">
        <v>-20.271996980000001</v>
      </c>
      <c r="AB164" s="87">
        <v>-34.597999999999999</v>
      </c>
      <c r="AC164" s="92">
        <f t="shared" ref="AC164:AC170" si="26">AA164/H164</f>
        <v>-8.9512662648069161E-2</v>
      </c>
    </row>
    <row r="165" spans="1:29" x14ac:dyDescent="0.2">
      <c r="A165" s="2" t="s">
        <v>403</v>
      </c>
      <c r="B165" s="2" t="s">
        <v>403</v>
      </c>
      <c r="C165" s="1" t="s">
        <v>404</v>
      </c>
      <c r="D165" s="2" t="s">
        <v>506</v>
      </c>
      <c r="E165" s="2">
        <v>192.5958</v>
      </c>
      <c r="F165" s="2">
        <v>200.29679999999999</v>
      </c>
      <c r="G165" s="36" t="e">
        <f ca="1">_xll.BDP($B165,G$2,"EQY_FUND_YEAR=2016")</f>
        <v>#NAME?</v>
      </c>
      <c r="H165" s="2">
        <v>168.36399999999998</v>
      </c>
      <c r="I165" s="2">
        <v>181.1</v>
      </c>
      <c r="J165" s="36">
        <f t="shared" si="24"/>
        <v>1.1896652491031339</v>
      </c>
      <c r="K165" s="36">
        <f t="shared" si="25"/>
        <v>1.1060011043622309</v>
      </c>
      <c r="L165" s="2">
        <v>7.5645624955453794E-2</v>
      </c>
      <c r="M165" s="2">
        <v>62.756998718261713</v>
      </c>
      <c r="N165" s="2">
        <v>38.65</v>
      </c>
      <c r="O165" s="94">
        <f t="shared" si="18"/>
        <v>0.37274594757942148</v>
      </c>
      <c r="P165" s="2">
        <v>0</v>
      </c>
      <c r="Q165" s="36">
        <f t="shared" si="19"/>
        <v>0</v>
      </c>
      <c r="R165" s="2" t="s">
        <v>480</v>
      </c>
      <c r="S165" s="36" t="e">
        <f t="shared" si="20"/>
        <v>#VALUE!</v>
      </c>
      <c r="T165" s="2" t="s">
        <v>480</v>
      </c>
      <c r="U165" s="36" t="e">
        <f t="shared" si="21"/>
        <v>#VALUE!</v>
      </c>
      <c r="V165" s="2">
        <v>16.504999999999999</v>
      </c>
      <c r="W165" s="2">
        <v>24.42</v>
      </c>
      <c r="X165" s="36">
        <f t="shared" si="22"/>
        <v>9.8031645719987653E-2</v>
      </c>
      <c r="Y165" s="36" t="e">
        <f ca="1">_xll.BDP($B165,Y$2,)</f>
        <v>#NAME?</v>
      </c>
      <c r="Z165" s="36" t="e">
        <f ca="1">_xll.BDP($B165,Z$2)</f>
        <v>#NAME?</v>
      </c>
      <c r="AA165" s="2">
        <v>2.1417899999999994</v>
      </c>
      <c r="AB165" s="2">
        <v>2.5569999999999999</v>
      </c>
      <c r="AC165" s="92">
        <f t="shared" si="26"/>
        <v>1.2721187427240977E-2</v>
      </c>
    </row>
    <row r="166" spans="1:29" x14ac:dyDescent="0.2">
      <c r="A166" s="2" t="s">
        <v>405</v>
      </c>
      <c r="B166" s="2" t="s">
        <v>405</v>
      </c>
      <c r="C166" s="1" t="s">
        <v>406</v>
      </c>
      <c r="D166" s="2" t="s">
        <v>506</v>
      </c>
      <c r="E166" s="2">
        <v>181.02850000000001</v>
      </c>
      <c r="F166" s="2">
        <v>162.81110000000001</v>
      </c>
      <c r="G166" s="36" t="e">
        <f ca="1">_xll.BDP($B166,G$2,"EQY_FUND_YEAR=2016")</f>
        <v>#NAME?</v>
      </c>
      <c r="H166" s="2">
        <v>8.5688190662573405</v>
      </c>
      <c r="I166" s="2">
        <v>67.894999999999996</v>
      </c>
      <c r="J166" s="36">
        <f t="shared" si="24"/>
        <v>19.000412862155589</v>
      </c>
      <c r="K166" s="36">
        <f t="shared" si="25"/>
        <v>2.3979836512261583</v>
      </c>
      <c r="L166" s="2">
        <v>6.923495580313956</v>
      </c>
      <c r="M166" s="2">
        <v>2.4821392877652002</v>
      </c>
      <c r="N166" s="2">
        <v>78</v>
      </c>
      <c r="O166" s="94">
        <f t="shared" si="18"/>
        <v>0.2896711050347035</v>
      </c>
      <c r="P166" s="2">
        <v>0</v>
      </c>
      <c r="Q166" s="36">
        <f t="shared" si="19"/>
        <v>0</v>
      </c>
      <c r="R166" s="2" t="s">
        <v>480</v>
      </c>
      <c r="S166" s="36" t="e">
        <f t="shared" si="20"/>
        <v>#VALUE!</v>
      </c>
      <c r="T166" s="2">
        <v>1.0619080464735536E-2</v>
      </c>
      <c r="U166" s="36">
        <f t="shared" si="21"/>
        <v>1.2392700070598761E-3</v>
      </c>
      <c r="V166" s="2">
        <v>4.4655614782134192</v>
      </c>
      <c r="W166" s="2">
        <v>51.715000000000003</v>
      </c>
      <c r="X166" s="36">
        <f t="shared" si="22"/>
        <v>0.52114082975542064</v>
      </c>
      <c r="Y166" s="36" t="e">
        <f ca="1">_xll.BDP($B166,Y$2,)</f>
        <v>#NAME?</v>
      </c>
      <c r="Z166" s="36" t="e">
        <f ca="1">_xll.BDP($B166,Z$2)</f>
        <v>#NAME?</v>
      </c>
      <c r="AA166" s="2">
        <v>-3.0786477360037656</v>
      </c>
      <c r="AB166" s="2" t="s">
        <v>480</v>
      </c>
      <c r="AC166" s="92">
        <f t="shared" si="26"/>
        <v>-0.35928495072640704</v>
      </c>
    </row>
    <row r="167" spans="1:29" x14ac:dyDescent="0.2">
      <c r="A167" s="2" t="s">
        <v>407</v>
      </c>
      <c r="B167" s="2" t="s">
        <v>407</v>
      </c>
      <c r="C167" s="1" t="s">
        <v>408</v>
      </c>
      <c r="D167" s="2" t="s">
        <v>506</v>
      </c>
      <c r="E167" s="2">
        <v>186.72329999999999</v>
      </c>
      <c r="F167" s="2">
        <v>275.41230000000002</v>
      </c>
      <c r="G167" s="36" t="e">
        <f ca="1">_xll.BDP($B167,G$2,"EQY_FUND_YEAR=2016")</f>
        <v>#NAME?</v>
      </c>
      <c r="H167" s="2">
        <v>274.86399999999998</v>
      </c>
      <c r="I167" s="2">
        <v>293.875</v>
      </c>
      <c r="J167" s="36">
        <f t="shared" si="24"/>
        <v>1.0019948047034171</v>
      </c>
      <c r="K167" s="36">
        <f t="shared" si="25"/>
        <v>0.93717498936622723</v>
      </c>
      <c r="L167" s="2">
        <v>6.9165114383840764E-2</v>
      </c>
      <c r="M167" s="2">
        <v>116.03600010681151</v>
      </c>
      <c r="N167" s="2">
        <v>43.300000000000004</v>
      </c>
      <c r="O167" s="94">
        <f t="shared" si="18"/>
        <v>0.42215786755199491</v>
      </c>
      <c r="P167" s="2">
        <v>0</v>
      </c>
      <c r="Q167" s="36">
        <f t="shared" si="19"/>
        <v>0</v>
      </c>
      <c r="R167" s="2" t="s">
        <v>480</v>
      </c>
      <c r="S167" s="36" t="e">
        <f t="shared" si="20"/>
        <v>#VALUE!</v>
      </c>
      <c r="T167" s="2" t="s">
        <v>480</v>
      </c>
      <c r="U167" s="36" t="e">
        <f t="shared" si="21"/>
        <v>#VALUE!</v>
      </c>
      <c r="V167" s="2">
        <v>25.126000000000001</v>
      </c>
      <c r="W167" s="2">
        <v>36.853000000000002</v>
      </c>
      <c r="X167" s="36">
        <f t="shared" si="22"/>
        <v>9.1412480353920494E-2</v>
      </c>
      <c r="Y167" s="36" t="e">
        <f ca="1">_xll.BDP($B167,Y$2,)</f>
        <v>#NAME?</v>
      </c>
      <c r="Z167" s="36" t="e">
        <f ca="1">_xll.BDP($B167,Z$2)</f>
        <v>#NAME?</v>
      </c>
      <c r="AA167" s="2">
        <v>2.5753330869909998</v>
      </c>
      <c r="AB167" s="2">
        <v>17.645</v>
      </c>
      <c r="AC167" s="92">
        <f t="shared" si="26"/>
        <v>9.3694812234086673E-3</v>
      </c>
    </row>
    <row r="168" spans="1:29" x14ac:dyDescent="0.2">
      <c r="A168" s="2" t="s">
        <v>409</v>
      </c>
      <c r="B168" s="2" t="s">
        <v>409</v>
      </c>
      <c r="C168" s="1" t="s">
        <v>410</v>
      </c>
      <c r="D168" s="87" t="s">
        <v>495</v>
      </c>
      <c r="E168" s="87">
        <v>183.29759999999999</v>
      </c>
      <c r="F168" s="87">
        <v>124.41030000000001</v>
      </c>
      <c r="G168" s="36" t="e">
        <f ca="1">_xll.BDP($B168,G$2,"EQY_FUND_YEAR=2016")</f>
        <v>#NAME?</v>
      </c>
      <c r="H168" s="87">
        <v>128.101112</v>
      </c>
      <c r="I168" s="87">
        <v>123</v>
      </c>
      <c r="J168" s="36">
        <f t="shared" si="24"/>
        <v>0.97118829069961554</v>
      </c>
      <c r="K168" s="36">
        <f t="shared" si="25"/>
        <v>1.0114658536585366</v>
      </c>
      <c r="L168" s="87">
        <v>-3.982098141349466E-2</v>
      </c>
      <c r="M168" s="87">
        <v>72.534188598388667</v>
      </c>
      <c r="N168" s="87">
        <v>61.300000000000004</v>
      </c>
      <c r="O168" s="94">
        <f t="shared" si="18"/>
        <v>0.56622606522251473</v>
      </c>
      <c r="P168" s="87">
        <v>41.944024999999996</v>
      </c>
      <c r="Q168" s="36">
        <f t="shared" si="19"/>
        <v>0.32742904682981983</v>
      </c>
      <c r="R168" s="87">
        <v>19.221935999999999</v>
      </c>
      <c r="S168" s="36">
        <f t="shared" si="20"/>
        <v>0.15005284263262289</v>
      </c>
      <c r="T168" s="87">
        <v>36.027413000000003</v>
      </c>
      <c r="U168" s="36">
        <f t="shared" si="21"/>
        <v>0.28124200045976183</v>
      </c>
      <c r="V168" s="87">
        <v>-23.433501</v>
      </c>
      <c r="W168" s="87">
        <v>-20.85</v>
      </c>
      <c r="X168" s="36">
        <f t="shared" si="22"/>
        <v>-0.18292972351403164</v>
      </c>
      <c r="Y168" s="36" t="e">
        <f ca="1">_xll.BDP($B168,Y$2,)</f>
        <v>#NAME?</v>
      </c>
      <c r="Z168" s="36" t="e">
        <f ca="1">_xll.BDP($B168,Z$2)</f>
        <v>#NAME?</v>
      </c>
      <c r="AA168" s="87">
        <v>-50.694046620000002</v>
      </c>
      <c r="AB168" s="87">
        <v>-87.600000000000009</v>
      </c>
      <c r="AC168" s="92">
        <f t="shared" si="26"/>
        <v>-0.39573463359162725</v>
      </c>
    </row>
    <row r="169" spans="1:29" x14ac:dyDescent="0.2">
      <c r="A169" s="2" t="s">
        <v>411</v>
      </c>
      <c r="B169" s="2" t="s">
        <v>411</v>
      </c>
      <c r="C169" s="1" t="s">
        <v>412</v>
      </c>
      <c r="D169" s="2" t="s">
        <v>505</v>
      </c>
      <c r="E169" s="2">
        <v>174.07480000000001</v>
      </c>
      <c r="F169" s="2">
        <v>69.755799999999994</v>
      </c>
      <c r="G169" s="36" t="e">
        <f ca="1">_xll.BDP($B169,G$2,"EQY_FUND_YEAR=2016")</f>
        <v>#NAME?</v>
      </c>
      <c r="H169" s="2">
        <v>120.13199999999999</v>
      </c>
      <c r="I169" s="2">
        <v>124.5</v>
      </c>
      <c r="J169" s="36">
        <f t="shared" si="24"/>
        <v>0.58065960776479209</v>
      </c>
      <c r="K169" s="36">
        <f t="shared" si="25"/>
        <v>0.56028755020080312</v>
      </c>
      <c r="L169" s="2">
        <v>3.6360003995604906E-2</v>
      </c>
      <c r="M169" s="2">
        <v>61.855000404357909</v>
      </c>
      <c r="N169" s="2">
        <v>49</v>
      </c>
      <c r="O169" s="94">
        <f t="shared" si="18"/>
        <v>0.5148919555518755</v>
      </c>
      <c r="P169" s="2">
        <v>47.5</v>
      </c>
      <c r="Q169" s="36">
        <f t="shared" si="19"/>
        <v>0.39539839509872476</v>
      </c>
      <c r="R169" s="2">
        <v>51.793999999999997</v>
      </c>
      <c r="S169" s="36">
        <f t="shared" si="20"/>
        <v>0.43114241001564946</v>
      </c>
      <c r="T169" s="2">
        <v>55.595999999999997</v>
      </c>
      <c r="U169" s="36">
        <f t="shared" si="21"/>
        <v>0.46279092997702526</v>
      </c>
      <c r="V169" s="2">
        <v>-43.578000000000003</v>
      </c>
      <c r="W169" s="2">
        <v>-6.375</v>
      </c>
      <c r="X169" s="36">
        <f t="shared" si="22"/>
        <v>-0.3627509739286785</v>
      </c>
      <c r="Y169" s="36" t="e">
        <f ca="1">_xll.BDP($B169,Y$2,)</f>
        <v>#NAME?</v>
      </c>
      <c r="Z169" s="36" t="e">
        <f ca="1">_xll.BDP($B169,Z$2)</f>
        <v>#NAME?</v>
      </c>
      <c r="AA169" s="2">
        <v>-75.318597068339997</v>
      </c>
      <c r="AB169" s="2">
        <v>-51.5</v>
      </c>
      <c r="AC169" s="92">
        <f t="shared" si="26"/>
        <v>-0.62696531372440323</v>
      </c>
    </row>
    <row r="170" spans="1:29" x14ac:dyDescent="0.2">
      <c r="A170" s="2" t="s">
        <v>413</v>
      </c>
      <c r="B170" s="2" t="s">
        <v>413</v>
      </c>
      <c r="C170" s="1" t="s">
        <v>414</v>
      </c>
      <c r="D170" s="2" t="s">
        <v>505</v>
      </c>
      <c r="E170" s="2">
        <v>168.06610000000001</v>
      </c>
      <c r="F170" s="2">
        <v>151.4391</v>
      </c>
      <c r="G170" s="36" t="e">
        <f ca="1">_xll.BDP($B170,G$2,"EQY_FUND_YEAR=2016")</f>
        <v>#NAME?</v>
      </c>
      <c r="H170" s="2">
        <v>31.908999999999999</v>
      </c>
      <c r="I170" s="2">
        <v>38.61</v>
      </c>
      <c r="J170" s="36">
        <f t="shared" si="24"/>
        <v>4.7459682221316868</v>
      </c>
      <c r="K170" s="36">
        <f t="shared" si="25"/>
        <v>3.9222766122766122</v>
      </c>
      <c r="L170" s="2">
        <v>0.21000344730326859</v>
      </c>
      <c r="M170" s="2">
        <v>19.025000007629394</v>
      </c>
      <c r="N170" s="2">
        <v>70</v>
      </c>
      <c r="O170" s="94">
        <f t="shared" si="18"/>
        <v>0.59622677011593583</v>
      </c>
      <c r="P170" s="2">
        <v>9.8249999999999993</v>
      </c>
      <c r="Q170" s="36">
        <f t="shared" si="19"/>
        <v>0.30790686013350466</v>
      </c>
      <c r="R170" s="2">
        <v>15.551</v>
      </c>
      <c r="S170" s="36">
        <f t="shared" si="20"/>
        <v>0.48735466482810497</v>
      </c>
      <c r="T170" s="2">
        <v>7.2859999999999996</v>
      </c>
      <c r="U170" s="36">
        <f t="shared" si="21"/>
        <v>0.2283368328684697</v>
      </c>
      <c r="V170" s="2">
        <v>-12.440999999999999</v>
      </c>
      <c r="W170" s="2" t="s">
        <v>480</v>
      </c>
      <c r="X170" s="36">
        <f t="shared" si="22"/>
        <v>-0.38988999968660876</v>
      </c>
      <c r="Y170" s="36" t="e">
        <f ca="1">_xll.BDP($B170,Y$2,)</f>
        <v>#NAME?</v>
      </c>
      <c r="Z170" s="36" t="e">
        <f ca="1">_xll.BDP($B170,Z$2)</f>
        <v>#NAME?</v>
      </c>
      <c r="AA170" s="2">
        <v>-20.875574530000002</v>
      </c>
      <c r="AB170" s="2">
        <v>-16.77</v>
      </c>
      <c r="AC170" s="92">
        <f t="shared" si="26"/>
        <v>-0.65422214829671888</v>
      </c>
    </row>
    <row r="171" spans="1:29" x14ac:dyDescent="0.2">
      <c r="B171" s="36"/>
      <c r="C171" s="36"/>
      <c r="D171" s="36"/>
      <c r="E171" s="36"/>
      <c r="F171" s="36"/>
      <c r="G171" s="36" t="e">
        <f ca="1">_xll.BDP($B171,G$2,"EQY_FUND_YEAR=2016")</f>
        <v>#NAME?</v>
      </c>
      <c r="H171" s="36"/>
      <c r="I171" s="36"/>
      <c r="J171" s="36" t="e">
        <f t="shared" si="24"/>
        <v>#DIV/0!</v>
      </c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 t="e">
        <f ca="1">_xll.BDP($B171,Y$2,)</f>
        <v>#NAME?</v>
      </c>
      <c r="Z171" s="36" t="e">
        <f ca="1">_xll.BDP($B171,Z$2)</f>
        <v>#NAME?</v>
      </c>
      <c r="AA171" s="36"/>
      <c r="AB171" s="36"/>
      <c r="AC171" s="36"/>
    </row>
    <row r="172" spans="1:29" x14ac:dyDescent="0.2">
      <c r="B172" s="1" t="s">
        <v>557</v>
      </c>
      <c r="C172" s="1" t="s">
        <v>720</v>
      </c>
      <c r="D172" s="1" t="s">
        <v>614</v>
      </c>
      <c r="E172" s="36">
        <v>13337.6859</v>
      </c>
      <c r="F172" s="36">
        <v>11763.517900000001</v>
      </c>
      <c r="G172" s="36" t="e">
        <f ca="1">_xll.BDP($B172,G$2,"EQY_FUND_YEAR=2016")</f>
        <v>#NAME?</v>
      </c>
      <c r="H172" s="36">
        <v>853.57299999999998</v>
      </c>
      <c r="I172" s="36">
        <v>1210.8910000000001</v>
      </c>
      <c r="J172" s="36">
        <f t="shared" si="24"/>
        <v>13.781501875059311</v>
      </c>
      <c r="K172" s="36">
        <f t="shared" si="25"/>
        <v>9.7147620223455284</v>
      </c>
      <c r="L172" s="44">
        <f t="shared" ref="L172:L191" si="27">(I172/H172)-1</f>
        <v>0.41861445945455178</v>
      </c>
      <c r="M172" s="114">
        <v>481.96899993896483</v>
      </c>
      <c r="N172" s="36">
        <v>56.483000000000004</v>
      </c>
      <c r="O172" s="94">
        <f t="shared" si="18"/>
        <v>0.56464883488461426</v>
      </c>
      <c r="P172" s="36">
        <v>135.99699999999999</v>
      </c>
      <c r="Q172" s="36">
        <f t="shared" si="19"/>
        <v>0.15932673596751537</v>
      </c>
      <c r="R172" s="36">
        <v>225.69399999999999</v>
      </c>
      <c r="S172" s="36">
        <f t="shared" si="20"/>
        <v>0.26441089397157597</v>
      </c>
      <c r="T172" s="36">
        <v>67.718999999999994</v>
      </c>
      <c r="U172" s="36">
        <f t="shared" ref="U172:U191" si="28">T172/H172</f>
        <v>7.9335920887844386E-2</v>
      </c>
      <c r="V172" s="36">
        <v>-41.38</v>
      </c>
      <c r="W172" s="36">
        <v>53.762999999999998</v>
      </c>
      <c r="X172" s="36">
        <f t="shared" si="22"/>
        <v>-4.8478571838612518E-2</v>
      </c>
      <c r="Y172" s="36" t="e">
        <f ca="1">_xll.BDP($B172,Y$2,)</f>
        <v>#NAME?</v>
      </c>
      <c r="Z172" s="36" t="e">
        <f ca="1">_xll.BDP($B172,Z$2)</f>
        <v>#NAME?</v>
      </c>
      <c r="AA172" s="36">
        <v>-52.222000000000001</v>
      </c>
      <c r="AB172" s="36">
        <v>37.39</v>
      </c>
      <c r="AC172" s="92">
        <f t="shared" ref="AC172:AC201" si="29">AA172/H172</f>
        <v>-6.1180473140551542E-2</v>
      </c>
    </row>
    <row r="173" spans="1:29" x14ac:dyDescent="0.2">
      <c r="B173" s="1" t="s">
        <v>558</v>
      </c>
      <c r="C173" s="1" t="s">
        <v>721</v>
      </c>
      <c r="D173" s="1" t="s">
        <v>614</v>
      </c>
      <c r="E173" s="36">
        <v>3532.4050000000002</v>
      </c>
      <c r="F173" s="36">
        <v>3220.2809999999999</v>
      </c>
      <c r="G173" s="36" t="e">
        <f ca="1">_xll.BDP($B173,G$2,"EQY_FUND_YEAR=2016")</f>
        <v>#NAME?</v>
      </c>
      <c r="H173" s="36">
        <v>192.24099999999999</v>
      </c>
      <c r="I173" s="36">
        <v>271.53800000000001</v>
      </c>
      <c r="J173" s="36">
        <f t="shared" si="24"/>
        <v>16.751270540623491</v>
      </c>
      <c r="K173" s="36">
        <f t="shared" si="25"/>
        <v>11.859411942343245</v>
      </c>
      <c r="L173" s="44">
        <f t="shared" si="27"/>
        <v>0.41248745064788483</v>
      </c>
      <c r="M173" s="114">
        <v>138.52599877929688</v>
      </c>
      <c r="N173" s="36">
        <v>72.95</v>
      </c>
      <c r="O173" s="94">
        <f t="shared" si="18"/>
        <v>0.72058509256244452</v>
      </c>
      <c r="P173" s="36">
        <v>62.201999999999998</v>
      </c>
      <c r="Q173" s="36">
        <f t="shared" si="19"/>
        <v>0.32356261151367294</v>
      </c>
      <c r="R173" s="36">
        <v>109.95</v>
      </c>
      <c r="S173" s="36">
        <f t="shared" si="20"/>
        <v>0.57193834821916245</v>
      </c>
      <c r="T173" s="36">
        <v>36.774999999999999</v>
      </c>
      <c r="U173" s="36">
        <f t="shared" si="28"/>
        <v>0.19129634157125691</v>
      </c>
      <c r="V173" s="36">
        <v>-107.69300000000001</v>
      </c>
      <c r="W173" s="36">
        <v>-56.895000000000003</v>
      </c>
      <c r="X173" s="36">
        <f t="shared" si="22"/>
        <v>-0.5601978766236132</v>
      </c>
      <c r="Y173" s="36" t="e">
        <f ca="1">_xll.BDP($B173,Y$2,)</f>
        <v>#NAME?</v>
      </c>
      <c r="Z173" s="36" t="e">
        <f ca="1">_xll.BDP($B173,Z$2)</f>
        <v>#NAME?</v>
      </c>
      <c r="AA173" s="36">
        <v>-111</v>
      </c>
      <c r="AB173" s="36">
        <v>-78.929000000000002</v>
      </c>
      <c r="AC173" s="92">
        <f t="shared" si="29"/>
        <v>-0.57740024240406573</v>
      </c>
    </row>
    <row r="174" spans="1:29" x14ac:dyDescent="0.2">
      <c r="B174" s="1" t="s">
        <v>145</v>
      </c>
      <c r="C174" s="1" t="s">
        <v>146</v>
      </c>
      <c r="D174" s="1" t="s">
        <v>505</v>
      </c>
      <c r="E174" s="36">
        <v>4098.0376999999999</v>
      </c>
      <c r="F174" s="36">
        <v>3799.4987000000001</v>
      </c>
      <c r="G174" s="36" t="e">
        <f ca="1">_xll.BDP($B174,G$2,"EQY_FUND_YEAR=2016")</f>
        <v>#NAME?</v>
      </c>
      <c r="H174" s="36">
        <v>190.17399999999998</v>
      </c>
      <c r="I174" s="36">
        <v>258.79000000000002</v>
      </c>
      <c r="J174" s="36">
        <f t="shared" si="24"/>
        <v>19.979064961561519</v>
      </c>
      <c r="K174" s="36">
        <f t="shared" si="25"/>
        <v>14.681783299200124</v>
      </c>
      <c r="L174" s="44">
        <f t="shared" si="27"/>
        <v>0.36080641938435365</v>
      </c>
      <c r="M174" s="114">
        <v>152.2989994506836</v>
      </c>
      <c r="N174" s="36">
        <v>80.317000000000007</v>
      </c>
      <c r="O174" s="94">
        <f t="shared" si="18"/>
        <v>0.80084028022065901</v>
      </c>
      <c r="P174" s="36">
        <v>39.378999999999998</v>
      </c>
      <c r="Q174" s="36">
        <f t="shared" si="19"/>
        <v>0.20706826380051954</v>
      </c>
      <c r="R174" s="36">
        <v>116.40900000000001</v>
      </c>
      <c r="S174" s="36">
        <f t="shared" si="20"/>
        <v>0.61211837580321193</v>
      </c>
      <c r="T174" s="36">
        <v>31.135000000000002</v>
      </c>
      <c r="U174" s="36">
        <f t="shared" si="28"/>
        <v>0.1637184893834068</v>
      </c>
      <c r="V174" s="36" t="s">
        <v>480</v>
      </c>
      <c r="W174" s="36">
        <v>-7.476</v>
      </c>
      <c r="X174" s="36" t="e">
        <f t="shared" si="22"/>
        <v>#VALUE!</v>
      </c>
      <c r="Y174" s="36" t="e">
        <f ca="1">_xll.BDP($B174,Y$2,)</f>
        <v>#NAME?</v>
      </c>
      <c r="Z174" s="36" t="e">
        <f ca="1">_xll.BDP($B174,Z$2)</f>
        <v>#NAME?</v>
      </c>
      <c r="AA174" s="36">
        <v>-29.382999999999999</v>
      </c>
      <c r="AB174" s="36">
        <v>-14.838000000000001</v>
      </c>
      <c r="AC174" s="92">
        <f t="shared" si="29"/>
        <v>-0.1545058735684163</v>
      </c>
    </row>
    <row r="175" spans="1:29" x14ac:dyDescent="0.2">
      <c r="B175" s="1" t="s">
        <v>559</v>
      </c>
      <c r="C175" s="1" t="s">
        <v>722</v>
      </c>
      <c r="D175" s="1" t="s">
        <v>614</v>
      </c>
      <c r="E175" s="36">
        <v>6456.8224</v>
      </c>
      <c r="F175" s="36">
        <v>6079.7704000000003</v>
      </c>
      <c r="G175" s="36" t="e">
        <f ca="1">_xll.BDP($B175,G$2,"EQY_FUND_YEAR=2016")</f>
        <v>#NAME?</v>
      </c>
      <c r="H175" s="36">
        <v>492.64800000000002</v>
      </c>
      <c r="I175" s="36">
        <v>667.76099999999997</v>
      </c>
      <c r="J175" s="36">
        <f t="shared" si="24"/>
        <v>12.341002906740716</v>
      </c>
      <c r="K175" s="36">
        <f t="shared" si="25"/>
        <v>9.104710218176864</v>
      </c>
      <c r="L175" s="44">
        <f t="shared" si="27"/>
        <v>0.35545257465776769</v>
      </c>
      <c r="M175" s="114">
        <v>261.8499954833984</v>
      </c>
      <c r="N175" s="36">
        <v>54.591999999999999</v>
      </c>
      <c r="O175" s="94">
        <f t="shared" si="18"/>
        <v>0.5315153933100274</v>
      </c>
      <c r="P175" s="36">
        <v>120.73899999999999</v>
      </c>
      <c r="Q175" s="36">
        <f t="shared" si="19"/>
        <v>0.24508168103798247</v>
      </c>
      <c r="R175" s="36">
        <v>100.669</v>
      </c>
      <c r="S175" s="36">
        <f t="shared" si="20"/>
        <v>0.20434265439015278</v>
      </c>
      <c r="T175" s="36">
        <v>59.619</v>
      </c>
      <c r="U175" s="36">
        <f t="shared" si="28"/>
        <v>0.12101744044429287</v>
      </c>
      <c r="V175" s="36">
        <v>-68.85692307692301</v>
      </c>
      <c r="W175" s="36">
        <v>30.88</v>
      </c>
      <c r="X175" s="36">
        <f t="shared" si="22"/>
        <v>-0.13976900967206404</v>
      </c>
      <c r="Y175" s="36" t="e">
        <f ca="1">_xll.BDP($B175,Y$2,)</f>
        <v>#NAME?</v>
      </c>
      <c r="Z175" s="36" t="e">
        <f ca="1">_xll.BDP($B175,Z$2)</f>
        <v>#NAME?</v>
      </c>
      <c r="AA175" s="36">
        <v>-90.092929999999996</v>
      </c>
      <c r="AB175" s="36">
        <v>10.531000000000001</v>
      </c>
      <c r="AC175" s="92">
        <f t="shared" si="29"/>
        <v>-0.1828748518211786</v>
      </c>
    </row>
    <row r="176" spans="1:29" x14ac:dyDescent="0.2">
      <c r="B176" s="1" t="s">
        <v>561</v>
      </c>
      <c r="C176" s="1" t="s">
        <v>723</v>
      </c>
      <c r="D176" s="1" t="s">
        <v>615</v>
      </c>
      <c r="E176" s="36">
        <v>1522.0586000000001</v>
      </c>
      <c r="F176" s="36">
        <v>2404.9515999999999</v>
      </c>
      <c r="G176" s="36" t="e">
        <f ca="1">_xll.BDP($B176,G$2,"EQY_FUND_YEAR=2016")</f>
        <v>#NAME?</v>
      </c>
      <c r="H176" s="36">
        <v>476.02700000000004</v>
      </c>
      <c r="I176" s="36">
        <v>635.75</v>
      </c>
      <c r="J176" s="36">
        <f t="shared" si="24"/>
        <v>5.0521327571755377</v>
      </c>
      <c r="K176" s="36">
        <f t="shared" si="25"/>
        <v>3.7828574125049155</v>
      </c>
      <c r="L176" s="44">
        <f t="shared" si="27"/>
        <v>0.33553348864665233</v>
      </c>
      <c r="M176" s="114">
        <v>327.95800305175783</v>
      </c>
      <c r="N176" s="36">
        <v>72</v>
      </c>
      <c r="O176" s="94">
        <f t="shared" si="18"/>
        <v>0.68894832236776027</v>
      </c>
      <c r="P176" s="36">
        <v>27.382999999999999</v>
      </c>
      <c r="Q176" s="36">
        <f t="shared" si="19"/>
        <v>5.7524048005680346E-2</v>
      </c>
      <c r="R176" s="36">
        <v>34.103000000000002</v>
      </c>
      <c r="S176" s="36">
        <f t="shared" si="20"/>
        <v>7.164089431901971E-2</v>
      </c>
      <c r="T176" s="36">
        <v>149.94800000000001</v>
      </c>
      <c r="U176" s="36">
        <f t="shared" si="28"/>
        <v>0.31499893913580529</v>
      </c>
      <c r="V176" s="36">
        <v>100.64099999999999</v>
      </c>
      <c r="W176" s="36">
        <v>195.3</v>
      </c>
      <c r="X176" s="36">
        <f t="shared" si="22"/>
        <v>0.21141868003285524</v>
      </c>
      <c r="Y176" s="36" t="e">
        <f ca="1">_xll.BDP($B176,Y$2,)</f>
        <v>#NAME?</v>
      </c>
      <c r="Z176" s="36" t="e">
        <f ca="1">_xll.BDP($B176,Z$2)</f>
        <v>#NAME?</v>
      </c>
      <c r="AA176" s="36">
        <v>7.2179362649929981</v>
      </c>
      <c r="AB176" s="36">
        <v>52.832999999999998</v>
      </c>
      <c r="AC176" s="92">
        <f t="shared" si="29"/>
        <v>1.5162871570295377E-2</v>
      </c>
    </row>
    <row r="177" spans="2:29" x14ac:dyDescent="0.2">
      <c r="B177" s="1" t="s">
        <v>563</v>
      </c>
      <c r="C177" s="1" t="s">
        <v>724</v>
      </c>
      <c r="D177" s="1" t="s">
        <v>614</v>
      </c>
      <c r="E177" s="36">
        <v>4505.2147000000004</v>
      </c>
      <c r="F177" s="36">
        <v>4154.2816999999995</v>
      </c>
      <c r="G177" s="36" t="e">
        <f ca="1">_xll.BDP($B177,G$2,"EQY_FUND_YEAR=2016")</f>
        <v>#NAME?</v>
      </c>
      <c r="H177" s="36">
        <v>513.48300000000006</v>
      </c>
      <c r="I177" s="36">
        <v>674.78300000000002</v>
      </c>
      <c r="J177" s="36">
        <f t="shared" si="24"/>
        <v>8.0903977346864426</v>
      </c>
      <c r="K177" s="36">
        <f t="shared" si="25"/>
        <v>6.1564705986961723</v>
      </c>
      <c r="L177" s="44">
        <f t="shared" si="27"/>
        <v>0.31412919220305247</v>
      </c>
      <c r="M177" s="114">
        <v>418.44500848388674</v>
      </c>
      <c r="N177" s="36">
        <v>79.989000000000004</v>
      </c>
      <c r="O177" s="94">
        <f t="shared" si="18"/>
        <v>0.81491501857683057</v>
      </c>
      <c r="P177" s="36">
        <v>153.63499999999999</v>
      </c>
      <c r="Q177" s="36">
        <f t="shared" si="19"/>
        <v>0.29920172624994396</v>
      </c>
      <c r="R177" s="36">
        <v>204.435</v>
      </c>
      <c r="S177" s="36">
        <f t="shared" si="20"/>
        <v>0.39813392069455072</v>
      </c>
      <c r="T177" s="36">
        <v>48.186</v>
      </c>
      <c r="U177" s="36">
        <f t="shared" si="28"/>
        <v>9.3841470895823217E-2</v>
      </c>
      <c r="V177" s="36">
        <v>-27.757000000000005</v>
      </c>
      <c r="W177" s="36">
        <v>129.18800000000002</v>
      </c>
      <c r="X177" s="36">
        <f t="shared" si="22"/>
        <v>-5.4056317346436011E-2</v>
      </c>
      <c r="Y177" s="36" t="e">
        <f ca="1">_xll.BDP($B177,Y$2,)</f>
        <v>#NAME?</v>
      </c>
      <c r="Z177" s="36" t="e">
        <f ca="1">_xll.BDP($B177,Z$2)</f>
        <v>#NAME?</v>
      </c>
      <c r="AA177" s="36">
        <v>-41.129518560316001</v>
      </c>
      <c r="AB177" s="36">
        <v>54.325000000000003</v>
      </c>
      <c r="AC177" s="92">
        <f t="shared" si="29"/>
        <v>-8.0099085189414249E-2</v>
      </c>
    </row>
    <row r="178" spans="2:29" x14ac:dyDescent="0.2">
      <c r="B178" s="1" t="s">
        <v>564</v>
      </c>
      <c r="C178" s="1" t="s">
        <v>725</v>
      </c>
      <c r="D178" s="1" t="s">
        <v>614</v>
      </c>
      <c r="E178" s="36">
        <v>5863.1256000000003</v>
      </c>
      <c r="F178" s="36">
        <v>5590.6315999999997</v>
      </c>
      <c r="G178" s="36" t="e">
        <f ca="1">_xll.BDP($B178,G$2,"EQY_FUND_YEAR=2016")</f>
        <v>#NAME?</v>
      </c>
      <c r="H178" s="36">
        <v>324.19499999999999</v>
      </c>
      <c r="I178" s="36">
        <v>424.09399999999999</v>
      </c>
      <c r="J178" s="36">
        <f t="shared" si="24"/>
        <v>17.244657073674794</v>
      </c>
      <c r="K178" s="36">
        <f t="shared" si="25"/>
        <v>13.182529344909383</v>
      </c>
      <c r="L178" s="44">
        <f t="shared" si="27"/>
        <v>0.30814478940144041</v>
      </c>
      <c r="M178" s="114">
        <v>228.25000210571289</v>
      </c>
      <c r="N178" s="36">
        <v>73.820000000000007</v>
      </c>
      <c r="O178" s="94">
        <f t="shared" si="18"/>
        <v>0.70405158039363003</v>
      </c>
      <c r="P178" s="36">
        <v>70.820999999999998</v>
      </c>
      <c r="Q178" s="36">
        <f t="shared" si="19"/>
        <v>0.21845185767824921</v>
      </c>
      <c r="R178" s="36">
        <v>172.97300000000001</v>
      </c>
      <c r="S178" s="36">
        <f t="shared" si="20"/>
        <v>0.53354616820123701</v>
      </c>
      <c r="T178" s="36">
        <v>51.802999999999997</v>
      </c>
      <c r="U178" s="36">
        <f t="shared" si="28"/>
        <v>0.15978963278273878</v>
      </c>
      <c r="V178" s="36">
        <v>-116.569</v>
      </c>
      <c r="W178" s="36">
        <v>-43.852000000000004</v>
      </c>
      <c r="X178" s="36">
        <f t="shared" si="22"/>
        <v>-0.35956445966162343</v>
      </c>
      <c r="Y178" s="36" t="e">
        <f ca="1">_xll.BDP($B178,Y$2,)</f>
        <v>#NAME?</v>
      </c>
      <c r="Z178" s="36" t="e">
        <f ca="1">_xll.BDP($B178,Z$2)</f>
        <v>#NAME?</v>
      </c>
      <c r="AA178" s="36">
        <v>-123.625</v>
      </c>
      <c r="AB178" s="36">
        <v>-49.316000000000003</v>
      </c>
      <c r="AC178" s="92">
        <f t="shared" si="29"/>
        <v>-0.3813291383272413</v>
      </c>
    </row>
    <row r="179" spans="2:29" x14ac:dyDescent="0.2">
      <c r="B179" s="1" t="s">
        <v>570</v>
      </c>
      <c r="C179" s="1" t="s">
        <v>112</v>
      </c>
      <c r="D179" s="1" t="s">
        <v>495</v>
      </c>
      <c r="E179" s="36">
        <v>6280.0501000000004</v>
      </c>
      <c r="F179" s="36">
        <v>6010.1651000000002</v>
      </c>
      <c r="G179" s="36" t="e">
        <f ca="1">_xll.BDP($B179,G$2,"EQY_FUND_YEAR=2016")</f>
        <v>#NAME?</v>
      </c>
      <c r="H179" s="36">
        <v>602.31500000000005</v>
      </c>
      <c r="I179" s="36">
        <v>762.5</v>
      </c>
      <c r="J179" s="36">
        <f t="shared" si="24"/>
        <v>9.9784416791877995</v>
      </c>
      <c r="K179" s="36">
        <f t="shared" si="25"/>
        <v>7.882183737704918</v>
      </c>
      <c r="L179" s="44">
        <f t="shared" si="27"/>
        <v>0.26594888056913724</v>
      </c>
      <c r="M179" s="114">
        <v>444.96900311279296</v>
      </c>
      <c r="N179" s="36">
        <v>79.150000000000006</v>
      </c>
      <c r="O179" s="94">
        <f t="shared" si="18"/>
        <v>0.73876460508669539</v>
      </c>
      <c r="P179" s="36">
        <v>92.427999999999997</v>
      </c>
      <c r="Q179" s="36">
        <f t="shared" si="19"/>
        <v>0.15345458771573012</v>
      </c>
      <c r="R179" s="36">
        <v>277.93</v>
      </c>
      <c r="S179" s="36">
        <f t="shared" si="20"/>
        <v>0.46143629164141686</v>
      </c>
      <c r="T179" s="36">
        <v>81.525999999999996</v>
      </c>
      <c r="U179" s="36">
        <f t="shared" si="28"/>
        <v>0.13535442418003868</v>
      </c>
      <c r="V179" s="36" t="s">
        <v>480</v>
      </c>
      <c r="W179" s="36">
        <v>31.82</v>
      </c>
      <c r="X179" s="36" t="e">
        <f t="shared" si="22"/>
        <v>#VALUE!</v>
      </c>
      <c r="Y179" s="36" t="e">
        <f ca="1">_xll.BDP($B179,Y$2,)</f>
        <v>#NAME?</v>
      </c>
      <c r="Z179" s="36" t="e">
        <f ca="1">_xll.BDP($B179,Z$2)</f>
        <v>#NAME?</v>
      </c>
      <c r="AA179" s="36">
        <v>-328.25799999999998</v>
      </c>
      <c r="AB179" s="36">
        <v>-4.5419999999999998</v>
      </c>
      <c r="AC179" s="92">
        <f t="shared" si="29"/>
        <v>-0.54499389854146074</v>
      </c>
    </row>
    <row r="180" spans="2:29" x14ac:dyDescent="0.2">
      <c r="B180" s="1" t="s">
        <v>577</v>
      </c>
      <c r="C180" s="1" t="s">
        <v>726</v>
      </c>
      <c r="D180" s="1" t="s">
        <v>614</v>
      </c>
      <c r="E180" s="36">
        <v>1110.2656999999999</v>
      </c>
      <c r="F180" s="36">
        <v>1234.2756999999999</v>
      </c>
      <c r="G180" s="36" t="e">
        <f ca="1">_xll.BDP($B180,G$2,"EQY_FUND_YEAR=2016")</f>
        <v>#NAME?</v>
      </c>
      <c r="H180" s="36">
        <v>265.089</v>
      </c>
      <c r="I180" s="36">
        <v>329.13800000000003</v>
      </c>
      <c r="J180" s="36">
        <f t="shared" si="24"/>
        <v>4.6560804107299809</v>
      </c>
      <c r="K180" s="36">
        <f t="shared" ref="K180:K199" si="30">F180/I180</f>
        <v>3.750024913562092</v>
      </c>
      <c r="L180" s="44">
        <f t="shared" si="27"/>
        <v>0.24161319405935378</v>
      </c>
      <c r="M180" s="114">
        <v>189.59500091552735</v>
      </c>
      <c r="N180" s="36">
        <v>77.167000000000002</v>
      </c>
      <c r="O180" s="94">
        <f t="shared" ref="O180:O199" si="31">M180/H180</f>
        <v>0.71521263015639036</v>
      </c>
      <c r="P180" s="36">
        <v>46.16</v>
      </c>
      <c r="Q180" s="36">
        <f t="shared" ref="Q180:Q199" si="32">P180/H180</f>
        <v>0.17413019778263147</v>
      </c>
      <c r="R180" s="36">
        <v>90.921999999999997</v>
      </c>
      <c r="S180" s="36">
        <f t="shared" ref="S180:S199" si="33">R180/H180</f>
        <v>0.34298669503449786</v>
      </c>
      <c r="T180" s="36">
        <v>43.331000000000003</v>
      </c>
      <c r="U180" s="36">
        <f t="shared" si="28"/>
        <v>0.16345831022788573</v>
      </c>
      <c r="V180" s="36">
        <v>35.430999999999997</v>
      </c>
      <c r="W180" s="36">
        <v>107.65</v>
      </c>
      <c r="X180" s="36">
        <f t="shared" ref="X180:X199" si="34">V180/H180</f>
        <v>0.1336569982156936</v>
      </c>
      <c r="Y180" s="36" t="e">
        <f ca="1">_xll.BDP($B180,Y$2,)</f>
        <v>#NAME?</v>
      </c>
      <c r="Z180" s="36" t="e">
        <f ca="1">_xll.BDP($B180,Z$2)</f>
        <v>#NAME?</v>
      </c>
      <c r="AA180" s="36">
        <v>-1.8899511748109996</v>
      </c>
      <c r="AB180" s="36">
        <v>62.367000000000004</v>
      </c>
      <c r="AC180" s="92">
        <f t="shared" si="29"/>
        <v>-7.1294967909305918E-3</v>
      </c>
    </row>
    <row r="181" spans="2:29" x14ac:dyDescent="0.2">
      <c r="B181" s="1" t="s">
        <v>587</v>
      </c>
      <c r="C181" s="1" t="s">
        <v>28</v>
      </c>
      <c r="D181" s="1" t="s">
        <v>506</v>
      </c>
      <c r="E181" s="36">
        <v>29017.264999999999</v>
      </c>
      <c r="F181" s="36">
        <v>28442.0455</v>
      </c>
      <c r="G181" s="36" t="e">
        <f ca="1">_xll.BDP($B181,G$2,"EQY_FUND_YEAR=2016")</f>
        <v>#NAME?</v>
      </c>
      <c r="H181" s="36">
        <v>2684.7350000000001</v>
      </c>
      <c r="I181" s="36">
        <v>1858.0640000000001</v>
      </c>
      <c r="J181" s="36">
        <f t="shared" si="24"/>
        <v>10.593986184856233</v>
      </c>
      <c r="K181" s="36">
        <f t="shared" si="30"/>
        <v>15.307355128779202</v>
      </c>
      <c r="L181" s="44">
        <f t="shared" si="27"/>
        <v>-0.30791530635239606</v>
      </c>
      <c r="M181" s="114">
        <v>1029.4319973144532</v>
      </c>
      <c r="N181" s="36">
        <v>75.245000000000005</v>
      </c>
      <c r="O181" s="94">
        <f t="shared" si="31"/>
        <v>0.38343896038694808</v>
      </c>
      <c r="P181" s="36">
        <v>321.88799999999998</v>
      </c>
      <c r="Q181" s="36">
        <f t="shared" si="32"/>
        <v>0.11989563215736375</v>
      </c>
      <c r="R181" s="36">
        <v>253.17</v>
      </c>
      <c r="S181" s="36">
        <f t="shared" si="33"/>
        <v>9.4299809850879129E-2</v>
      </c>
      <c r="T181" s="36">
        <v>250.553</v>
      </c>
      <c r="U181" s="36">
        <f t="shared" si="28"/>
        <v>9.3325039529041032E-2</v>
      </c>
      <c r="V181" s="36">
        <v>-3.8120000000000012</v>
      </c>
      <c r="W181" s="36">
        <v>303.834</v>
      </c>
      <c r="X181" s="36">
        <f t="shared" si="34"/>
        <v>-1.4198794294408949E-3</v>
      </c>
      <c r="Y181" s="36" t="e">
        <f ca="1">_xll.BDP($B181,Y$2,)</f>
        <v>#NAME?</v>
      </c>
      <c r="Z181" s="36" t="e">
        <f ca="1">_xll.BDP($B181,Z$2)</f>
        <v>#NAME?</v>
      </c>
      <c r="AA181" s="36">
        <v>-55.131</v>
      </c>
      <c r="AB181" s="36">
        <v>298.54700000000003</v>
      </c>
      <c r="AC181" s="92">
        <f t="shared" si="29"/>
        <v>-2.0534987624476902E-2</v>
      </c>
    </row>
    <row r="182" spans="2:29" x14ac:dyDescent="0.2">
      <c r="B182" s="1" t="s">
        <v>588</v>
      </c>
      <c r="C182" s="1" t="s">
        <v>727</v>
      </c>
      <c r="D182" s="1" t="s">
        <v>615</v>
      </c>
      <c r="E182" s="36">
        <v>12502.9517</v>
      </c>
      <c r="F182" s="36">
        <v>11492.5267</v>
      </c>
      <c r="G182" s="36" t="e">
        <f ca="1">_xll.BDP($B182,G$2,"EQY_FUND_YEAR=2016")</f>
        <v>#NAME?</v>
      </c>
      <c r="H182" s="36">
        <v>766.22400000000005</v>
      </c>
      <c r="I182" s="36">
        <v>912.07100000000003</v>
      </c>
      <c r="J182" s="36">
        <f t="shared" si="24"/>
        <v>14.998912459019817</v>
      </c>
      <c r="K182" s="36">
        <f t="shared" si="30"/>
        <v>12.600473756977253</v>
      </c>
      <c r="L182" s="44">
        <f t="shared" si="27"/>
        <v>0.19034512100899992</v>
      </c>
      <c r="M182" s="114">
        <v>534.71100567626956</v>
      </c>
      <c r="N182" s="36">
        <v>73.03</v>
      </c>
      <c r="O182" s="94">
        <f t="shared" si="31"/>
        <v>0.69785207155645024</v>
      </c>
      <c r="P182" s="36">
        <v>132.05099999999999</v>
      </c>
      <c r="Q182" s="36">
        <f t="shared" si="32"/>
        <v>0.17233994236672301</v>
      </c>
      <c r="R182" s="36">
        <v>130.898</v>
      </c>
      <c r="S182" s="36">
        <f t="shared" si="33"/>
        <v>0.1708351604752657</v>
      </c>
      <c r="T182" s="36">
        <v>60.390999999999998</v>
      </c>
      <c r="U182" s="36">
        <f t="shared" si="28"/>
        <v>7.8816377456200792E-2</v>
      </c>
      <c r="V182" s="36">
        <v>188.203</v>
      </c>
      <c r="W182" s="36">
        <v>321.14800000000002</v>
      </c>
      <c r="X182" s="36">
        <f t="shared" si="34"/>
        <v>0.24562399507193719</v>
      </c>
      <c r="Y182" s="36" t="e">
        <f ca="1">_xll.BDP($B182,Y$2,)</f>
        <v>#NAME?</v>
      </c>
      <c r="Z182" s="36" t="e">
        <f ca="1">_xll.BDP($B182,Z$2)</f>
        <v>#NAME?</v>
      </c>
      <c r="AA182" s="36">
        <v>162.85600955123999</v>
      </c>
      <c r="AB182" s="36">
        <v>247.148</v>
      </c>
      <c r="AC182" s="92">
        <f t="shared" si="29"/>
        <v>0.21254360285143767</v>
      </c>
    </row>
    <row r="183" spans="2:29" x14ac:dyDescent="0.2">
      <c r="B183" s="1" t="s">
        <v>590</v>
      </c>
      <c r="C183" s="1" t="s">
        <v>728</v>
      </c>
      <c r="D183" s="1" t="s">
        <v>615</v>
      </c>
      <c r="E183" s="36">
        <v>4212.5946999999996</v>
      </c>
      <c r="F183" s="36">
        <v>4083.6496999999999</v>
      </c>
      <c r="G183" s="36" t="e">
        <f ca="1">_xll.BDP($B183,G$2,"EQY_FUND_YEAR=2016")</f>
        <v>#NAME?</v>
      </c>
      <c r="H183" s="36">
        <v>609.726</v>
      </c>
      <c r="I183" s="36">
        <v>719.86699999999996</v>
      </c>
      <c r="J183" s="36">
        <f t="shared" si="24"/>
        <v>6.6975160973945673</v>
      </c>
      <c r="K183" s="36">
        <f t="shared" si="30"/>
        <v>5.6727835836341995</v>
      </c>
      <c r="L183" s="44">
        <f t="shared" si="27"/>
        <v>0.1806401563981197</v>
      </c>
      <c r="M183" s="114">
        <v>460.99100408935544</v>
      </c>
      <c r="N183" s="36">
        <v>75.713000000000008</v>
      </c>
      <c r="O183" s="94">
        <f t="shared" si="31"/>
        <v>0.75606256595479848</v>
      </c>
      <c r="P183" s="36">
        <v>138.56399999999999</v>
      </c>
      <c r="Q183" s="36">
        <f t="shared" si="32"/>
        <v>0.22725617736491471</v>
      </c>
      <c r="R183" s="36">
        <v>126.273</v>
      </c>
      <c r="S183" s="36">
        <f t="shared" si="33"/>
        <v>0.2070979423544346</v>
      </c>
      <c r="T183" s="36">
        <v>94.323999999999998</v>
      </c>
      <c r="U183" s="36">
        <f t="shared" si="28"/>
        <v>0.15469899594243972</v>
      </c>
      <c r="V183" s="36">
        <v>82.144000000000005</v>
      </c>
      <c r="W183" s="36">
        <v>175.67000000000002</v>
      </c>
      <c r="X183" s="36">
        <f t="shared" si="34"/>
        <v>0.13472280991789756</v>
      </c>
      <c r="Y183" s="36" t="e">
        <f ca="1">_xll.BDP($B183,Y$2,)</f>
        <v>#NAME?</v>
      </c>
      <c r="Z183" s="36" t="e">
        <f ca="1">_xll.BDP($B183,Z$2)</f>
        <v>#NAME?</v>
      </c>
      <c r="AA183" s="36">
        <v>48.942264632863001</v>
      </c>
      <c r="AB183" s="36">
        <v>109.74000000000001</v>
      </c>
      <c r="AC183" s="92">
        <f t="shared" si="29"/>
        <v>8.0269276089363087E-2</v>
      </c>
    </row>
    <row r="184" spans="2:29" x14ac:dyDescent="0.2">
      <c r="B184" s="1" t="s">
        <v>596</v>
      </c>
      <c r="C184" s="1" t="s">
        <v>729</v>
      </c>
      <c r="D184" s="1" t="s">
        <v>616</v>
      </c>
      <c r="E184" s="36">
        <v>4187.5559999999996</v>
      </c>
      <c r="F184" s="36">
        <v>3802.556</v>
      </c>
      <c r="G184" s="36" t="e">
        <f ca="1">_xll.BDP($B184,G$2,"EQY_FUND_YEAR=2016")</f>
        <v>#NAME?</v>
      </c>
      <c r="H184" s="36">
        <v>2202</v>
      </c>
      <c r="I184" s="36">
        <v>2153.799</v>
      </c>
      <c r="J184" s="36">
        <f t="shared" si="24"/>
        <v>1.7268646684831972</v>
      </c>
      <c r="K184" s="36">
        <f t="shared" si="30"/>
        <v>1.7655110806533014</v>
      </c>
      <c r="L184" s="44">
        <f t="shared" si="27"/>
        <v>-2.1889645776566713E-2</v>
      </c>
      <c r="M184" s="114">
        <v>1035</v>
      </c>
      <c r="N184" s="36">
        <v>51.146000000000001</v>
      </c>
      <c r="O184" s="94">
        <f t="shared" si="31"/>
        <v>0.47002724795640327</v>
      </c>
      <c r="P184" s="36">
        <v>306</v>
      </c>
      <c r="Q184" s="36">
        <f t="shared" si="32"/>
        <v>0.13896457765667575</v>
      </c>
      <c r="R184" s="36" t="s">
        <v>480</v>
      </c>
      <c r="S184" s="36" t="e">
        <f t="shared" si="33"/>
        <v>#VALUE!</v>
      </c>
      <c r="T184" s="36" t="s">
        <v>480</v>
      </c>
      <c r="U184" s="36" t="e">
        <f t="shared" si="28"/>
        <v>#VALUE!</v>
      </c>
      <c r="V184" s="36">
        <v>220</v>
      </c>
      <c r="W184" s="36">
        <v>366.33</v>
      </c>
      <c r="X184" s="36">
        <f t="shared" si="34"/>
        <v>9.9909173478655772E-2</v>
      </c>
      <c r="Y184" s="36" t="e">
        <f ca="1">_xll.BDP($B184,Y$2,)</f>
        <v>#NAME?</v>
      </c>
      <c r="Z184" s="36" t="e">
        <f ca="1">_xll.BDP($B184,Z$2)</f>
        <v>#NAME?</v>
      </c>
      <c r="AA184" s="36">
        <v>70.963692307692</v>
      </c>
      <c r="AB184" s="36">
        <v>171.05500000000001</v>
      </c>
      <c r="AC184" s="92">
        <f t="shared" si="29"/>
        <v>3.2226926570250683E-2</v>
      </c>
    </row>
    <row r="185" spans="2:29" x14ac:dyDescent="0.2">
      <c r="B185" s="1" t="s">
        <v>597</v>
      </c>
      <c r="C185" s="1" t="s">
        <v>730</v>
      </c>
      <c r="D185" s="1" t="s">
        <v>617</v>
      </c>
      <c r="E185" s="36">
        <v>529.0883</v>
      </c>
      <c r="F185" s="36">
        <v>498.00700000000001</v>
      </c>
      <c r="G185" s="36" t="e">
        <f ca="1">_xll.BDP($B185,G$2,"EQY_FUND_YEAR=2016")</f>
        <v>#NAME?</v>
      </c>
      <c r="H185" s="36">
        <v>45.913776851069429</v>
      </c>
      <c r="I185" s="36">
        <v>104.675</v>
      </c>
      <c r="J185" s="36">
        <f t="shared" si="24"/>
        <v>10.846570118058157</v>
      </c>
      <c r="K185" s="36">
        <f t="shared" si="30"/>
        <v>4.7576498686410318</v>
      </c>
      <c r="L185" s="44">
        <f t="shared" si="27"/>
        <v>1.2798168039962041</v>
      </c>
      <c r="M185" s="114">
        <v>32.362014866124603</v>
      </c>
      <c r="N185" s="36">
        <v>61.2</v>
      </c>
      <c r="O185" s="94">
        <f t="shared" si="31"/>
        <v>0.70484323193662135</v>
      </c>
      <c r="P185" s="36">
        <v>11.413988746902495</v>
      </c>
      <c r="Q185" s="36">
        <f t="shared" si="32"/>
        <v>0.24859616284510996</v>
      </c>
      <c r="R185" s="36">
        <v>8.1589877207270067</v>
      </c>
      <c r="S185" s="36">
        <f t="shared" si="33"/>
        <v>0.17770238652316328</v>
      </c>
      <c r="T185" s="36">
        <v>9.0291365099026333</v>
      </c>
      <c r="U185" s="36">
        <f t="shared" si="28"/>
        <v>0.19665418811417876</v>
      </c>
      <c r="V185" s="36">
        <v>12.963605572070199</v>
      </c>
      <c r="W185" s="36">
        <v>36.387</v>
      </c>
      <c r="X185" s="36">
        <f t="shared" si="34"/>
        <v>0.28234674777725782</v>
      </c>
      <c r="Y185" s="36" t="e">
        <f ca="1">_xll.BDP($B185,Y$2,)</f>
        <v>#NAME?</v>
      </c>
      <c r="Z185" s="36" t="e">
        <f ca="1">_xll.BDP($B185,Z$2)</f>
        <v>#NAME?</v>
      </c>
      <c r="AA185" s="36">
        <v>5.1382688847482347</v>
      </c>
      <c r="AB185" s="36">
        <v>22.562999999999999</v>
      </c>
      <c r="AC185" s="92">
        <f t="shared" si="29"/>
        <v>0.111911265793168</v>
      </c>
    </row>
    <row r="186" spans="2:29" x14ac:dyDescent="0.2">
      <c r="B186" s="1" t="s">
        <v>598</v>
      </c>
      <c r="C186" s="1" t="s">
        <v>731</v>
      </c>
      <c r="D186" s="1" t="s">
        <v>617</v>
      </c>
      <c r="E186" s="36">
        <v>12918.899100000001</v>
      </c>
      <c r="F186" s="36">
        <v>11310.248799999999</v>
      </c>
      <c r="G186" s="36" t="e">
        <f ca="1">_xll.BDP($B186,G$2,"EQY_FUND_YEAR=2016")</f>
        <v>#NAME?</v>
      </c>
      <c r="H186" s="36">
        <v>1762.6579999999999</v>
      </c>
      <c r="I186" s="36">
        <v>3002.8670000000002</v>
      </c>
      <c r="J186" s="36">
        <f t="shared" si="24"/>
        <v>6.4165872222518496</v>
      </c>
      <c r="K186" s="36">
        <f t="shared" si="30"/>
        <v>3.766483430668091</v>
      </c>
      <c r="L186" s="44">
        <f t="shared" si="27"/>
        <v>0.70360160621062073</v>
      </c>
      <c r="M186" s="114">
        <v>927.55099047851559</v>
      </c>
      <c r="N186" s="36">
        <v>59.75</v>
      </c>
      <c r="O186" s="94">
        <f t="shared" si="31"/>
        <v>0.52622289206330197</v>
      </c>
      <c r="P186" s="36">
        <v>196.37299999999999</v>
      </c>
      <c r="Q186" s="36">
        <f t="shared" si="32"/>
        <v>0.11140731781207699</v>
      </c>
      <c r="R186" s="36">
        <v>256.09199999999998</v>
      </c>
      <c r="S186" s="36">
        <f t="shared" si="33"/>
        <v>0.14528740118616318</v>
      </c>
      <c r="T186" s="36">
        <v>247.828</v>
      </c>
      <c r="U186" s="36">
        <f t="shared" si="28"/>
        <v>0.14059902715104122</v>
      </c>
      <c r="V186" s="36">
        <v>287.15600000000006</v>
      </c>
      <c r="W186" s="36">
        <v>789.154</v>
      </c>
      <c r="X186" s="36">
        <f t="shared" si="34"/>
        <v>0.16291078586997595</v>
      </c>
      <c r="Y186" s="36" t="e">
        <f ca="1">_xll.BDP($B186,Y$2,)</f>
        <v>#NAME?</v>
      </c>
      <c r="Z186" s="36" t="e">
        <f ca="1">_xll.BDP($B186,Z$2)</f>
        <v>#NAME?</v>
      </c>
      <c r="AA186" s="36">
        <v>192.85892999999999</v>
      </c>
      <c r="AB186" s="36">
        <v>621.00700000000006</v>
      </c>
      <c r="AC186" s="92">
        <f t="shared" si="29"/>
        <v>0.10941369794934695</v>
      </c>
    </row>
    <row r="187" spans="2:29" x14ac:dyDescent="0.2">
      <c r="B187" s="1" t="s">
        <v>599</v>
      </c>
      <c r="C187" s="1" t="s">
        <v>732</v>
      </c>
      <c r="D187" s="1" t="s">
        <v>495</v>
      </c>
      <c r="E187" s="36">
        <v>5240.2406000000001</v>
      </c>
      <c r="F187" s="36">
        <v>5116.1342000000004</v>
      </c>
      <c r="G187" s="36" t="e">
        <f ca="1">_xll.BDP($B187,G$2,"EQY_FUND_YEAR=2016")</f>
        <v>#NAME?</v>
      </c>
      <c r="H187" s="36">
        <v>662.16275290332658</v>
      </c>
      <c r="I187" s="36">
        <v>964.04100000000005</v>
      </c>
      <c r="J187" s="36">
        <f t="shared" si="24"/>
        <v>7.7263998579922211</v>
      </c>
      <c r="K187" s="36">
        <f t="shared" si="30"/>
        <v>5.3069674422560871</v>
      </c>
      <c r="L187" s="44">
        <f t="shared" si="27"/>
        <v>0.4558973541973701</v>
      </c>
      <c r="M187" s="114">
        <v>462.07363936766961</v>
      </c>
      <c r="N187" s="36">
        <v>75.2</v>
      </c>
      <c r="O187" s="94">
        <f t="shared" si="31"/>
        <v>0.69782487363062351</v>
      </c>
      <c r="P187" s="36">
        <v>154.31598291557478</v>
      </c>
      <c r="Q187" s="36">
        <f t="shared" si="32"/>
        <v>0.23304841934850473</v>
      </c>
      <c r="R187" s="36">
        <v>169.76960474098371</v>
      </c>
      <c r="S187" s="36">
        <f t="shared" si="33"/>
        <v>0.2563865212843971</v>
      </c>
      <c r="T187" s="36">
        <v>72.929738302088708</v>
      </c>
      <c r="U187" s="36">
        <f t="shared" si="28"/>
        <v>0.11013869019711563</v>
      </c>
      <c r="V187" s="36">
        <v>163.30981038419148</v>
      </c>
      <c r="W187" s="36">
        <v>231.39099999999999</v>
      </c>
      <c r="X187" s="36">
        <f t="shared" si="34"/>
        <v>0.24663092218361932</v>
      </c>
      <c r="Y187" s="36" t="e">
        <f ca="1">_xll.BDP($B187,Y$2,)</f>
        <v>#NAME?</v>
      </c>
      <c r="Z187" s="36" t="e">
        <f ca="1">_xll.BDP($B187,Z$2)</f>
        <v>#NAME?</v>
      </c>
      <c r="AA187" s="36">
        <v>77.683937329779184</v>
      </c>
      <c r="AB187" s="36">
        <v>154.88400000000001</v>
      </c>
      <c r="AC187" s="92">
        <f t="shared" si="29"/>
        <v>0.11731849456823912</v>
      </c>
    </row>
    <row r="188" spans="2:29" x14ac:dyDescent="0.2">
      <c r="B188" s="1" t="s">
        <v>600</v>
      </c>
      <c r="C188" s="1" t="s">
        <v>733</v>
      </c>
      <c r="D188" s="1" t="s">
        <v>615</v>
      </c>
      <c r="E188" s="36">
        <v>1793.5098</v>
      </c>
      <c r="F188" s="36">
        <v>1670.4738</v>
      </c>
      <c r="G188" s="36" t="e">
        <f ca="1">_xll.BDP($B188,G$2,"EQY_FUND_YEAR=2016")</f>
        <v>#NAME?</v>
      </c>
      <c r="H188" s="36">
        <v>505.65300000000002</v>
      </c>
      <c r="I188" s="36">
        <v>700.99199999999996</v>
      </c>
      <c r="J188" s="36">
        <f t="shared" si="24"/>
        <v>3.3035971308387371</v>
      </c>
      <c r="K188" s="36">
        <f t="shared" si="30"/>
        <v>2.3830140714872639</v>
      </c>
      <c r="L188" s="44">
        <f t="shared" si="27"/>
        <v>0.38631037490136499</v>
      </c>
      <c r="M188" s="114">
        <v>233.04500000000002</v>
      </c>
      <c r="N188" s="36">
        <v>46.325000000000003</v>
      </c>
      <c r="O188" s="94">
        <f t="shared" si="31"/>
        <v>0.46087929864946914</v>
      </c>
      <c r="P188" s="36">
        <v>17.2</v>
      </c>
      <c r="Q188" s="36">
        <f t="shared" si="32"/>
        <v>3.4015421642905309E-2</v>
      </c>
      <c r="R188" s="36" t="s">
        <v>480</v>
      </c>
      <c r="S188" s="36" t="e">
        <f t="shared" si="33"/>
        <v>#VALUE!</v>
      </c>
      <c r="T188" s="36" t="s">
        <v>480</v>
      </c>
      <c r="U188" s="36" t="e">
        <f t="shared" si="28"/>
        <v>#VALUE!</v>
      </c>
      <c r="V188" s="36">
        <v>12.508000000000003</v>
      </c>
      <c r="W188" s="36">
        <v>35.655999999999999</v>
      </c>
      <c r="X188" s="36">
        <f t="shared" si="34"/>
        <v>2.4736331041247658E-2</v>
      </c>
      <c r="Y188" s="36" t="e">
        <f ca="1">_xll.BDP($B188,Y$2,)</f>
        <v>#NAME?</v>
      </c>
      <c r="Z188" s="36" t="e">
        <f ca="1">_xll.BDP($B188,Z$2)</f>
        <v>#NAME?</v>
      </c>
      <c r="AA188" s="36">
        <v>-25.145819318402001</v>
      </c>
      <c r="AB188" s="36">
        <v>1.286</v>
      </c>
      <c r="AC188" s="92">
        <f t="shared" si="29"/>
        <v>-4.9729398062311504E-2</v>
      </c>
    </row>
    <row r="189" spans="2:29" x14ac:dyDescent="0.2">
      <c r="B189" s="1" t="s">
        <v>601</v>
      </c>
      <c r="C189" s="1" t="s">
        <v>734</v>
      </c>
      <c r="D189" s="1" t="s">
        <v>505</v>
      </c>
      <c r="E189" s="36">
        <v>1445.5060000000001</v>
      </c>
      <c r="F189" s="36">
        <v>1375.1850999999999</v>
      </c>
      <c r="G189" s="36" t="e">
        <f ca="1">_xll.BDP($B189,G$2,"EQY_FUND_YEAR=2016")</f>
        <v>#NAME?</v>
      </c>
      <c r="H189" s="36">
        <v>50.944830456625908</v>
      </c>
      <c r="I189" s="36">
        <v>68.814000000000007</v>
      </c>
      <c r="J189" s="36">
        <f t="shared" si="24"/>
        <v>26.993614222954839</v>
      </c>
      <c r="K189" s="36">
        <f t="shared" si="30"/>
        <v>19.984088993518757</v>
      </c>
      <c r="L189" s="44">
        <f t="shared" si="27"/>
        <v>0.35075530496833807</v>
      </c>
      <c r="M189" s="114">
        <v>50.927435366140706</v>
      </c>
      <c r="N189" s="36">
        <v>99.9</v>
      </c>
      <c r="O189" s="94">
        <f t="shared" si="31"/>
        <v>0.99965855042937057</v>
      </c>
      <c r="P189" s="36">
        <v>0</v>
      </c>
      <c r="Q189" s="36">
        <f t="shared" si="32"/>
        <v>0</v>
      </c>
      <c r="R189" s="36" t="s">
        <v>480</v>
      </c>
      <c r="S189" s="36" t="e">
        <f t="shared" si="33"/>
        <v>#VALUE!</v>
      </c>
      <c r="T189" s="36" t="s">
        <v>480</v>
      </c>
      <c r="U189" s="36" t="e">
        <f t="shared" si="28"/>
        <v>#VALUE!</v>
      </c>
      <c r="V189" s="36">
        <v>-15.660510996069489</v>
      </c>
      <c r="W189" s="36">
        <v>-24.952000000000002</v>
      </c>
      <c r="X189" s="36">
        <f t="shared" si="34"/>
        <v>-0.30740137626726904</v>
      </c>
      <c r="Y189" s="36" t="e">
        <f ca="1">_xll.BDP($B189,Y$2,)</f>
        <v>#NAME?</v>
      </c>
      <c r="Z189" s="36" t="e">
        <f ca="1">_xll.BDP($B189,Z$2)</f>
        <v>#NAME?</v>
      </c>
      <c r="AA189" s="36">
        <v>-16.377704596026192</v>
      </c>
      <c r="AB189" s="36">
        <v>-24.887</v>
      </c>
      <c r="AC189" s="92">
        <f t="shared" si="29"/>
        <v>-0.32147922466775231</v>
      </c>
    </row>
    <row r="190" spans="2:29" x14ac:dyDescent="0.2">
      <c r="B190" s="1" t="s">
        <v>602</v>
      </c>
      <c r="C190" s="1" t="s">
        <v>735</v>
      </c>
      <c r="D190" s="1" t="s">
        <v>617</v>
      </c>
      <c r="E190" s="36">
        <v>10521.658299999999</v>
      </c>
      <c r="F190" s="36">
        <v>11136.6034</v>
      </c>
      <c r="G190" s="36" t="e">
        <f ca="1">_xll.BDP($B190,G$2,"EQY_FUND_YEAR=2016")</f>
        <v>#NAME?</v>
      </c>
      <c r="H190" s="36">
        <v>2027.4701488016447</v>
      </c>
      <c r="I190" s="36">
        <v>2646.6010000000001</v>
      </c>
      <c r="J190" s="36">
        <f t="shared" si="24"/>
        <v>5.4928569017809679</v>
      </c>
      <c r="K190" s="36">
        <f t="shared" si="30"/>
        <v>4.2078890622349192</v>
      </c>
      <c r="L190" s="44">
        <f t="shared" si="27"/>
        <v>0.30537113040322628</v>
      </c>
      <c r="M190" s="114">
        <v>1679.9929314420062</v>
      </c>
      <c r="N190" s="36">
        <v>84.125</v>
      </c>
      <c r="O190" s="94">
        <f t="shared" si="31"/>
        <v>0.82861537193777279</v>
      </c>
      <c r="P190" s="36">
        <v>808.46222965286324</v>
      </c>
      <c r="Q190" s="36">
        <f t="shared" si="32"/>
        <v>0.39875419627298209</v>
      </c>
      <c r="R190" s="36">
        <v>397.17667897950406</v>
      </c>
      <c r="S190" s="36">
        <f t="shared" si="33"/>
        <v>0.19589767041169956</v>
      </c>
      <c r="T190" s="36">
        <v>169.33572698676082</v>
      </c>
      <c r="U190" s="36">
        <f t="shared" si="28"/>
        <v>8.3520700458573113E-2</v>
      </c>
      <c r="V190" s="36">
        <v>942.26823079258611</v>
      </c>
      <c r="W190" s="36">
        <v>1179.587</v>
      </c>
      <c r="X190" s="36">
        <f t="shared" si="34"/>
        <v>0.46475072954811325</v>
      </c>
      <c r="Y190" s="36" t="e">
        <f ca="1">_xll.BDP($B190,Y$2,)</f>
        <v>#NAME?</v>
      </c>
      <c r="Z190" s="36" t="e">
        <f ca="1">_xll.BDP($B190,Z$2)</f>
        <v>#NAME?</v>
      </c>
      <c r="AA190" s="36">
        <v>205.69174478129477</v>
      </c>
      <c r="AB190" s="36">
        <v>402.25299999999999</v>
      </c>
      <c r="AC190" s="92">
        <f t="shared" si="29"/>
        <v>0.10145241590998064</v>
      </c>
    </row>
    <row r="191" spans="2:29" x14ac:dyDescent="0.2">
      <c r="B191" s="1" t="s">
        <v>603</v>
      </c>
      <c r="C191" s="1" t="s">
        <v>736</v>
      </c>
      <c r="D191" s="1" t="s">
        <v>615</v>
      </c>
      <c r="E191" s="36">
        <v>1496.2534000000001</v>
      </c>
      <c r="F191" s="36">
        <v>1498.6233999999999</v>
      </c>
      <c r="G191" s="36" t="e">
        <f ca="1">_xll.BDP($B191,G$2,"EQY_FUND_YEAR=2016")</f>
        <v>#NAME?</v>
      </c>
      <c r="H191" s="36">
        <v>169.74299999999999</v>
      </c>
      <c r="I191" s="36">
        <v>217.958</v>
      </c>
      <c r="J191" s="36">
        <f t="shared" si="24"/>
        <v>8.8287788008931152</v>
      </c>
      <c r="K191" s="36">
        <f t="shared" si="30"/>
        <v>6.8757439506693947</v>
      </c>
      <c r="L191" s="44">
        <f t="shared" si="27"/>
        <v>0.2840470593780009</v>
      </c>
      <c r="M191" s="114">
        <v>52.637000358581545</v>
      </c>
      <c r="N191" s="36">
        <v>34.075000000000003</v>
      </c>
      <c r="O191" s="94">
        <f t="shared" si="31"/>
        <v>0.3100982094023409</v>
      </c>
      <c r="P191" s="36">
        <v>5.6280000000000001</v>
      </c>
      <c r="Q191" s="36">
        <f t="shared" si="32"/>
        <v>3.3156006433254982E-2</v>
      </c>
      <c r="R191" s="36">
        <v>5.5419999999999998</v>
      </c>
      <c r="S191" s="36">
        <f t="shared" si="33"/>
        <v>3.2649358147316829E-2</v>
      </c>
      <c r="T191" s="36">
        <v>21.181000000000001</v>
      </c>
      <c r="U191" s="36">
        <f t="shared" si="28"/>
        <v>0.12478275981925618</v>
      </c>
      <c r="V191" s="36">
        <v>17.134</v>
      </c>
      <c r="W191" s="36">
        <v>36.538000000000004</v>
      </c>
      <c r="X191" s="36">
        <f t="shared" si="34"/>
        <v>0.10094083408446888</v>
      </c>
      <c r="Y191" s="36" t="e">
        <f ca="1">_xll.BDP($B191,Y$2,)</f>
        <v>#NAME?</v>
      </c>
      <c r="Z191" s="36" t="e">
        <f ca="1">_xll.BDP($B191,Z$2)</f>
        <v>#NAME?</v>
      </c>
      <c r="AA191" s="36">
        <v>8.8915167711629994</v>
      </c>
      <c r="AB191" s="36">
        <v>19.253</v>
      </c>
      <c r="AC191" s="92">
        <f t="shared" si="29"/>
        <v>5.2382229436047437E-2</v>
      </c>
    </row>
    <row r="192" spans="2:29" x14ac:dyDescent="0.2">
      <c r="B192" s="1" t="s">
        <v>604</v>
      </c>
      <c r="C192" s="1" t="s">
        <v>737</v>
      </c>
      <c r="D192" s="1" t="s">
        <v>617</v>
      </c>
      <c r="E192" s="36">
        <v>813.54549999999995</v>
      </c>
      <c r="F192" s="36">
        <v>751.91750000000002</v>
      </c>
      <c r="G192" s="36" t="e">
        <f ca="1">_xll.BDP($B192,G$2,"EQY_FUND_YEAR=2016")</f>
        <v>#NAME?</v>
      </c>
      <c r="H192" s="36">
        <v>332.99599999999998</v>
      </c>
      <c r="I192" s="36">
        <v>392.42</v>
      </c>
      <c r="J192" s="36">
        <f t="shared" si="24"/>
        <v>2.2580376340856949</v>
      </c>
      <c r="K192" s="36">
        <f t="shared" si="30"/>
        <v>1.9161039192701697</v>
      </c>
      <c r="L192" s="44">
        <f t="shared" ref="L192:L201" si="35">(I192/H192)-1</f>
        <v>0.17845259402515357</v>
      </c>
      <c r="M192" s="114">
        <v>180.10199858093262</v>
      </c>
      <c r="N192" s="36">
        <v>65.22</v>
      </c>
      <c r="O192" s="94">
        <f t="shared" si="31"/>
        <v>0.54085333932219193</v>
      </c>
      <c r="P192" s="36">
        <v>92.42</v>
      </c>
      <c r="Q192" s="36">
        <f t="shared" si="32"/>
        <v>0.27754087136181815</v>
      </c>
      <c r="R192" s="36">
        <v>104.35599999999999</v>
      </c>
      <c r="S192" s="36">
        <f t="shared" si="33"/>
        <v>0.31338514576751675</v>
      </c>
      <c r="T192" s="36">
        <v>34.424999999999997</v>
      </c>
      <c r="U192" s="36">
        <f t="shared" ref="U192:U201" si="36">T192/H192</f>
        <v>0.10337962017561772</v>
      </c>
      <c r="V192" s="36">
        <v>-42.642000000000003</v>
      </c>
      <c r="W192" s="36">
        <v>44.050000000000004</v>
      </c>
      <c r="X192" s="36">
        <f t="shared" si="34"/>
        <v>-0.1280555922593665</v>
      </c>
      <c r="Y192" s="36" t="e">
        <f ca="1">_xll.BDP($B192,Y$2,)</f>
        <v>#NAME?</v>
      </c>
      <c r="Z192" s="36" t="e">
        <f ca="1">_xll.BDP($B192,Z$2)</f>
        <v>#NAME?</v>
      </c>
      <c r="AA192" s="36">
        <v>-26.043469999999999</v>
      </c>
      <c r="AB192" s="36">
        <v>42.425000000000004</v>
      </c>
      <c r="AC192" s="92">
        <f t="shared" si="29"/>
        <v>-7.820955807276965E-2</v>
      </c>
    </row>
    <row r="193" spans="2:29" x14ac:dyDescent="0.2">
      <c r="B193" s="1" t="s">
        <v>605</v>
      </c>
      <c r="C193" s="1" t="s">
        <v>738</v>
      </c>
      <c r="D193" s="1" t="s">
        <v>615</v>
      </c>
      <c r="E193" s="36">
        <v>928.77229999999997</v>
      </c>
      <c r="F193" s="36">
        <v>877.18060000000003</v>
      </c>
      <c r="G193" s="36" t="e">
        <f ca="1">_xll.BDP($B193,G$2,"EQY_FUND_YEAR=2016")</f>
        <v>#NAME?</v>
      </c>
      <c r="H193" s="36">
        <v>67.067000000000007</v>
      </c>
      <c r="I193" s="36">
        <v>79</v>
      </c>
      <c r="J193" s="36">
        <f t="shared" si="24"/>
        <v>13.079168592601427</v>
      </c>
      <c r="K193" s="36">
        <f t="shared" si="30"/>
        <v>11.103551898734178</v>
      </c>
      <c r="L193" s="44">
        <f t="shared" si="35"/>
        <v>0.1779265510608794</v>
      </c>
      <c r="M193" s="114">
        <v>63.660000076293947</v>
      </c>
      <c r="N193" s="36">
        <v>94</v>
      </c>
      <c r="O193" s="94">
        <f t="shared" si="31"/>
        <v>0.94920005481524361</v>
      </c>
      <c r="P193" s="36">
        <v>13.173999999999999</v>
      </c>
      <c r="Q193" s="36">
        <f t="shared" si="32"/>
        <v>0.19643043523640535</v>
      </c>
      <c r="R193" s="36">
        <v>8.2569999999999997</v>
      </c>
      <c r="S193" s="36">
        <f t="shared" si="33"/>
        <v>0.12311569027986936</v>
      </c>
      <c r="T193" s="36">
        <v>8.7360000000000007</v>
      </c>
      <c r="U193" s="36">
        <f t="shared" si="36"/>
        <v>0.13025780189959293</v>
      </c>
      <c r="V193" s="36">
        <v>20.859000000000002</v>
      </c>
      <c r="W193" s="36">
        <v>25.6</v>
      </c>
      <c r="X193" s="36">
        <f t="shared" si="34"/>
        <v>0.31101734086808713</v>
      </c>
      <c r="Y193" s="36" t="e">
        <f ca="1">_xll.BDP($B193,Y$2,)</f>
        <v>#NAME?</v>
      </c>
      <c r="Z193" s="36" t="e">
        <f ca="1">_xll.BDP($B193,Z$2)</f>
        <v>#NAME?</v>
      </c>
      <c r="AA193" s="36">
        <v>15.805099999999999</v>
      </c>
      <c r="AB193" s="36">
        <v>17.850000000000001</v>
      </c>
      <c r="AC193" s="92">
        <f t="shared" si="29"/>
        <v>0.23566135357180129</v>
      </c>
    </row>
    <row r="194" spans="2:29" x14ac:dyDescent="0.2">
      <c r="B194" s="1" t="s">
        <v>606</v>
      </c>
      <c r="C194" s="1" t="s">
        <v>739</v>
      </c>
      <c r="D194" s="1" t="s">
        <v>615</v>
      </c>
      <c r="E194" s="36">
        <v>2278.6583999999998</v>
      </c>
      <c r="F194" s="36">
        <v>4269.3923999999997</v>
      </c>
      <c r="G194" s="36" t="e">
        <f ca="1">_xll.BDP($B194,G$2,"EQY_FUND_YEAR=2016")</f>
        <v>#NAME?</v>
      </c>
      <c r="H194" s="36">
        <v>2006.2450000000001</v>
      </c>
      <c r="I194" s="36">
        <v>2239.0819999999999</v>
      </c>
      <c r="J194" s="36">
        <f t="shared" si="24"/>
        <v>2.1280513596295565</v>
      </c>
      <c r="K194" s="36">
        <f t="shared" si="30"/>
        <v>1.9067601811813948</v>
      </c>
      <c r="L194" s="44">
        <f t="shared" si="35"/>
        <v>0.11605611478159439</v>
      </c>
      <c r="M194" s="114">
        <v>861.35701245117184</v>
      </c>
      <c r="N194" s="36">
        <v>47.988</v>
      </c>
      <c r="O194" s="94">
        <f t="shared" si="31"/>
        <v>0.4293378986370916</v>
      </c>
      <c r="P194" s="36">
        <v>220.21899999999999</v>
      </c>
      <c r="Q194" s="36">
        <f t="shared" si="32"/>
        <v>0.10976675331278084</v>
      </c>
      <c r="R194" s="36" t="s">
        <v>480</v>
      </c>
      <c r="S194" s="36" t="e">
        <f t="shared" si="33"/>
        <v>#VALUE!</v>
      </c>
      <c r="T194" s="36" t="s">
        <v>480</v>
      </c>
      <c r="U194" s="36" t="e">
        <f t="shared" si="36"/>
        <v>#VALUE!</v>
      </c>
      <c r="V194" s="36">
        <v>376.78800000000001</v>
      </c>
      <c r="W194" s="36">
        <v>448.07800000000003</v>
      </c>
      <c r="X194" s="36">
        <f t="shared" si="34"/>
        <v>0.18780757085998967</v>
      </c>
      <c r="Y194" s="36" t="e">
        <f ca="1">_xll.BDP($B194,Y$2,)</f>
        <v>#NAME?</v>
      </c>
      <c r="Z194" s="36" t="e">
        <f ca="1">_xll.BDP($B194,Z$2)</f>
        <v>#NAME?</v>
      </c>
      <c r="AA194" s="36">
        <v>-22.321651615104003</v>
      </c>
      <c r="AB194" s="36">
        <v>140.678</v>
      </c>
      <c r="AC194" s="92">
        <f t="shared" si="29"/>
        <v>-1.112608460836239E-2</v>
      </c>
    </row>
    <row r="195" spans="2:29" x14ac:dyDescent="0.2">
      <c r="B195" s="1" t="s">
        <v>607</v>
      </c>
      <c r="C195" s="1" t="s">
        <v>740</v>
      </c>
      <c r="D195" s="1" t="s">
        <v>617</v>
      </c>
      <c r="E195" s="36">
        <v>29835.610499999999</v>
      </c>
      <c r="F195" s="36">
        <v>25857.610499999999</v>
      </c>
      <c r="G195" s="36" t="e">
        <f ca="1">_xll.BDP($B195,G$2,"EQY_FUND_YEAR=2016")</f>
        <v>#NAME?</v>
      </c>
      <c r="H195" s="36">
        <v>4838</v>
      </c>
      <c r="I195" s="36">
        <v>5394.9750000000004</v>
      </c>
      <c r="J195" s="36">
        <f t="shared" si="24"/>
        <v>5.3446900578751544</v>
      </c>
      <c r="K195" s="36">
        <f t="shared" si="30"/>
        <v>4.7929064546174907</v>
      </c>
      <c r="L195" s="44">
        <f t="shared" si="35"/>
        <v>0.11512505167424569</v>
      </c>
      <c r="M195" s="114">
        <v>3503</v>
      </c>
      <c r="N195" s="36">
        <v>68.194000000000003</v>
      </c>
      <c r="O195" s="94">
        <f t="shared" si="31"/>
        <v>0.72405952873088053</v>
      </c>
      <c r="P195" s="36">
        <v>1320</v>
      </c>
      <c r="Q195" s="36">
        <f t="shared" si="32"/>
        <v>0.27284001653575857</v>
      </c>
      <c r="R195" s="36">
        <v>641</v>
      </c>
      <c r="S195" s="36">
        <f t="shared" si="33"/>
        <v>0.13249276560562215</v>
      </c>
      <c r="T195" s="36">
        <v>469</v>
      </c>
      <c r="U195" s="36">
        <f t="shared" si="36"/>
        <v>9.6940884663083912E-2</v>
      </c>
      <c r="V195" s="36">
        <v>1151</v>
      </c>
      <c r="W195" s="36">
        <v>2024.567</v>
      </c>
      <c r="X195" s="36">
        <f t="shared" si="34"/>
        <v>0.23790822653989252</v>
      </c>
      <c r="Y195" s="36" t="e">
        <f ca="1">_xll.BDP($B195,Y$2,)</f>
        <v>#NAME?</v>
      </c>
      <c r="Z195" s="36" t="e">
        <f ca="1">_xll.BDP($B195,Z$2)</f>
        <v>#NAME?</v>
      </c>
      <c r="AA195" s="36">
        <v>881.07999999999993</v>
      </c>
      <c r="AB195" s="36">
        <v>1497.5920000000001</v>
      </c>
      <c r="AC195" s="92">
        <f t="shared" si="29"/>
        <v>0.18211657709797435</v>
      </c>
    </row>
    <row r="196" spans="2:29" x14ac:dyDescent="0.2">
      <c r="B196" s="1" t="s">
        <v>608</v>
      </c>
      <c r="C196" s="1" t="s">
        <v>741</v>
      </c>
      <c r="D196" s="1" t="s">
        <v>617</v>
      </c>
      <c r="E196" s="36">
        <v>3285.8933999999999</v>
      </c>
      <c r="F196" s="36">
        <v>2858.7084</v>
      </c>
      <c r="G196" s="36" t="e">
        <f ca="1">_xll.BDP($B196,G$2,"EQY_FUND_YEAR=2016")</f>
        <v>#NAME?</v>
      </c>
      <c r="H196" s="36">
        <v>883.15200000000004</v>
      </c>
      <c r="I196" s="36">
        <v>981.11099999999999</v>
      </c>
      <c r="J196" s="36">
        <f t="shared" si="24"/>
        <v>3.2369381488124351</v>
      </c>
      <c r="K196" s="36">
        <f t="shared" si="30"/>
        <v>2.9137461510471292</v>
      </c>
      <c r="L196" s="44">
        <f t="shared" si="35"/>
        <v>0.11091975107342789</v>
      </c>
      <c r="M196" s="114">
        <v>610.00600537109381</v>
      </c>
      <c r="N196" s="36">
        <v>70.8</v>
      </c>
      <c r="O196" s="94">
        <f t="shared" si="31"/>
        <v>0.69071462825322683</v>
      </c>
      <c r="P196" s="36">
        <v>256.012</v>
      </c>
      <c r="Q196" s="36">
        <f t="shared" si="32"/>
        <v>0.28988441400800768</v>
      </c>
      <c r="R196" s="36">
        <v>212.03</v>
      </c>
      <c r="S196" s="36">
        <f t="shared" si="33"/>
        <v>0.24008324727793176</v>
      </c>
      <c r="T196" s="36">
        <v>108.65300000000001</v>
      </c>
      <c r="U196" s="36">
        <f t="shared" si="36"/>
        <v>0.12302865191948838</v>
      </c>
      <c r="V196" s="36">
        <v>82.168000000000006</v>
      </c>
      <c r="W196" s="36">
        <v>197.02500000000001</v>
      </c>
      <c r="X196" s="36">
        <f t="shared" si="34"/>
        <v>9.3039476783158506E-2</v>
      </c>
      <c r="Y196" s="36" t="e">
        <f ca="1">_xll.BDP($B196,Y$2,)</f>
        <v>#NAME?</v>
      </c>
      <c r="Z196" s="36" t="e">
        <f ca="1">_xll.BDP($B196,Z$2)</f>
        <v>#NAME?</v>
      </c>
      <c r="AA196" s="36">
        <v>49.854209999999995</v>
      </c>
      <c r="AB196" s="36">
        <v>133.667</v>
      </c>
      <c r="AC196" s="92">
        <f t="shared" si="29"/>
        <v>5.6450316593293103E-2</v>
      </c>
    </row>
    <row r="197" spans="2:29" x14ac:dyDescent="0.2">
      <c r="B197" s="1" t="s">
        <v>609</v>
      </c>
      <c r="C197" s="1" t="s">
        <v>742</v>
      </c>
      <c r="D197" s="1" t="s">
        <v>615</v>
      </c>
      <c r="E197" s="36">
        <v>2413.9250999999999</v>
      </c>
      <c r="F197" s="36">
        <v>2570.2040999999999</v>
      </c>
      <c r="G197" s="36" t="e">
        <f ca="1">_xll.BDP($B197,G$2,"EQY_FUND_YEAR=2016")</f>
        <v>#NAME?</v>
      </c>
      <c r="H197" s="36">
        <v>756.01800000000003</v>
      </c>
      <c r="I197" s="36">
        <v>833.2</v>
      </c>
      <c r="J197" s="36">
        <f t="shared" ref="J197:J201" si="37">F197/H197</f>
        <v>3.3996599287318552</v>
      </c>
      <c r="K197" s="36">
        <f t="shared" si="30"/>
        <v>3.0847384781565048</v>
      </c>
      <c r="L197" s="44">
        <f t="shared" si="35"/>
        <v>0.10209016187445275</v>
      </c>
      <c r="M197" s="114">
        <v>351.15899945068361</v>
      </c>
      <c r="N197" s="36">
        <v>49.65</v>
      </c>
      <c r="O197" s="94">
        <f t="shared" si="31"/>
        <v>0.46448497185342624</v>
      </c>
      <c r="P197" s="36">
        <v>66.022000000000006</v>
      </c>
      <c r="Q197" s="36">
        <f t="shared" si="32"/>
        <v>8.7328608578102637E-2</v>
      </c>
      <c r="R197" s="36" t="s">
        <v>480</v>
      </c>
      <c r="S197" s="36" t="e">
        <f t="shared" si="33"/>
        <v>#VALUE!</v>
      </c>
      <c r="T197" s="36" t="s">
        <v>480</v>
      </c>
      <c r="U197" s="36" t="e">
        <f t="shared" si="36"/>
        <v>#VALUE!</v>
      </c>
      <c r="V197" s="36">
        <v>88.09</v>
      </c>
      <c r="W197" s="36">
        <v>142.917</v>
      </c>
      <c r="X197" s="36">
        <f t="shared" si="34"/>
        <v>0.11651838977378845</v>
      </c>
      <c r="Y197" s="36" t="e">
        <f ca="1">_xll.BDP($B197,Y$2,)</f>
        <v>#NAME?</v>
      </c>
      <c r="Z197" s="36" t="e">
        <f ca="1">_xll.BDP($B197,Z$2)</f>
        <v>#NAME?</v>
      </c>
      <c r="AA197" s="36">
        <v>25.583342077704</v>
      </c>
      <c r="AB197" s="36">
        <v>89.04</v>
      </c>
      <c r="AC197" s="92">
        <f t="shared" si="29"/>
        <v>3.3839593869066605E-2</v>
      </c>
    </row>
    <row r="198" spans="2:29" x14ac:dyDescent="0.2">
      <c r="B198" s="1" t="s">
        <v>610</v>
      </c>
      <c r="C198" s="1" t="s">
        <v>743</v>
      </c>
      <c r="D198" s="1" t="s">
        <v>615</v>
      </c>
      <c r="E198" s="36">
        <v>4827.2302</v>
      </c>
      <c r="F198" s="36">
        <v>4868.8302000000003</v>
      </c>
      <c r="G198" s="36" t="e">
        <f ca="1">_xll.BDP($B198,G$2,"EQY_FUND_YEAR=2016")</f>
        <v>#NAME?</v>
      </c>
      <c r="H198" s="36">
        <v>1286.5</v>
      </c>
      <c r="I198" s="36">
        <v>1414.836</v>
      </c>
      <c r="J198" s="36">
        <f t="shared" si="37"/>
        <v>3.7845551496307817</v>
      </c>
      <c r="K198" s="36">
        <f t="shared" si="30"/>
        <v>3.4412682459309774</v>
      </c>
      <c r="L198" s="44">
        <f t="shared" si="35"/>
        <v>9.9755926933540628E-2</v>
      </c>
      <c r="M198" s="114">
        <v>696.89999084472652</v>
      </c>
      <c r="N198" s="36">
        <v>55.551000000000002</v>
      </c>
      <c r="O198" s="94">
        <f t="shared" si="31"/>
        <v>0.54170228592672098</v>
      </c>
      <c r="P198" s="36">
        <v>173.6</v>
      </c>
      <c r="Q198" s="36">
        <f t="shared" si="32"/>
        <v>0.13493975903614458</v>
      </c>
      <c r="R198" s="36">
        <v>252.2</v>
      </c>
      <c r="S198" s="36">
        <f t="shared" si="33"/>
        <v>0.19603575592693354</v>
      </c>
      <c r="T198" s="36">
        <v>145.4</v>
      </c>
      <c r="U198" s="36">
        <f t="shared" si="36"/>
        <v>0.11301982122036534</v>
      </c>
      <c r="V198" s="36">
        <v>325.79999999999995</v>
      </c>
      <c r="W198" s="36">
        <v>390.36400000000003</v>
      </c>
      <c r="X198" s="36">
        <f t="shared" si="34"/>
        <v>0.25324523902059848</v>
      </c>
      <c r="Y198" s="36" t="e">
        <f ca="1">_xll.BDP($B198,Y$2,)</f>
        <v>#NAME?</v>
      </c>
      <c r="Z198" s="36" t="e">
        <f ca="1">_xll.BDP($B198,Z$2)</f>
        <v>#NAME?</v>
      </c>
      <c r="AA198" s="36">
        <v>132.49198895886499</v>
      </c>
      <c r="AB198" s="36">
        <v>179.67600000000002</v>
      </c>
      <c r="AC198" s="92">
        <f t="shared" si="29"/>
        <v>0.10298638861940536</v>
      </c>
    </row>
    <row r="199" spans="2:29" x14ac:dyDescent="0.2">
      <c r="B199" s="1" t="s">
        <v>611</v>
      </c>
      <c r="C199" s="1" t="s">
        <v>744</v>
      </c>
      <c r="D199" s="1" t="s">
        <v>617</v>
      </c>
      <c r="E199" s="36">
        <v>3645.0715</v>
      </c>
      <c r="F199" s="36">
        <v>3484.2853</v>
      </c>
      <c r="G199" s="36" t="e">
        <f ca="1">_xll.BDP($B199,G$2,"EQY_FUND_YEAR=2016")</f>
        <v>#NAME?</v>
      </c>
      <c r="H199" s="36">
        <v>106.27463551615409</v>
      </c>
      <c r="I199" s="36">
        <v>116.741</v>
      </c>
      <c r="J199" s="36">
        <f t="shared" si="37"/>
        <v>32.785671605247494</v>
      </c>
      <c r="K199" s="36">
        <f t="shared" si="30"/>
        <v>29.846286223349125</v>
      </c>
      <c r="L199" s="44">
        <f t="shared" si="35"/>
        <v>9.8484124956184749E-2</v>
      </c>
      <c r="M199" s="114">
        <v>81.477672212029802</v>
      </c>
      <c r="N199" s="36">
        <v>73.2</v>
      </c>
      <c r="O199" s="94">
        <f t="shared" si="31"/>
        <v>0.76667091650147257</v>
      </c>
      <c r="P199" s="36" t="s">
        <v>480</v>
      </c>
      <c r="Q199" s="36" t="e">
        <f t="shared" si="32"/>
        <v>#VALUE!</v>
      </c>
      <c r="R199" s="36">
        <v>29.383652730074935</v>
      </c>
      <c r="S199" s="36">
        <f t="shared" si="33"/>
        <v>0.27648791818823526</v>
      </c>
      <c r="T199" s="36">
        <v>8.5565256221919981</v>
      </c>
      <c r="U199" s="36">
        <f t="shared" si="36"/>
        <v>8.0513337737031135E-2</v>
      </c>
      <c r="V199" s="36">
        <v>46.149536384401458</v>
      </c>
      <c r="W199" s="36">
        <v>53.006</v>
      </c>
      <c r="X199" s="36">
        <f t="shared" si="34"/>
        <v>0.4342478914207763</v>
      </c>
      <c r="Y199" s="36" t="e">
        <f ca="1">_xll.BDP($B199,Y$2,)</f>
        <v>#NAME?</v>
      </c>
      <c r="Z199" s="36" t="e">
        <f ca="1">_xll.BDP($B199,Z$2)</f>
        <v>#NAME?</v>
      </c>
      <c r="AA199" s="36">
        <v>37.745532686694702</v>
      </c>
      <c r="AB199" s="36">
        <v>39.980000000000004</v>
      </c>
      <c r="AC199" s="92">
        <f t="shared" si="29"/>
        <v>0.3551697213862216</v>
      </c>
    </row>
    <row r="200" spans="2:29" x14ac:dyDescent="0.2">
      <c r="B200" s="1" t="s">
        <v>612</v>
      </c>
      <c r="C200" s="1" t="s">
        <v>745</v>
      </c>
      <c r="D200" s="1" t="s">
        <v>495</v>
      </c>
      <c r="E200" s="36">
        <v>1006.0846</v>
      </c>
      <c r="F200" s="36">
        <v>988.6848</v>
      </c>
      <c r="G200" s="36" t="e">
        <f ca="1">_xll.BDP($B200,G$2,"EQY_FUND_YEAR=2016")</f>
        <v>#NAME?</v>
      </c>
      <c r="H200" s="36">
        <v>158.81090657152305</v>
      </c>
      <c r="I200" s="36">
        <v>172.51400000000001</v>
      </c>
      <c r="J200" s="36">
        <f t="shared" si="37"/>
        <v>6.2255472331475534</v>
      </c>
      <c r="K200" s="36">
        <f t="shared" ref="K200:K201" si="38">F200/I200</f>
        <v>5.7310409589946323</v>
      </c>
      <c r="L200" s="44">
        <f t="shared" si="35"/>
        <v>8.6285594133961752E-2</v>
      </c>
      <c r="M200" s="114">
        <v>122.86743957034734</v>
      </c>
      <c r="N200" s="36">
        <v>75.84</v>
      </c>
      <c r="O200" s="94">
        <f t="shared" ref="O200:O201" si="39">M200/H200</f>
        <v>0.77367129388567535</v>
      </c>
      <c r="P200" s="36">
        <v>15.0808138126222</v>
      </c>
      <c r="Q200" s="36">
        <f t="shared" ref="Q200:Q201" si="40">P200/H200</f>
        <v>9.4960819368097443E-2</v>
      </c>
      <c r="R200" s="36" t="s">
        <v>480</v>
      </c>
      <c r="S200" s="36" t="e">
        <f t="shared" ref="S200:S201" si="41">R200/H200</f>
        <v>#VALUE!</v>
      </c>
      <c r="T200" s="36" t="s">
        <v>480</v>
      </c>
      <c r="U200" s="36" t="e">
        <f t="shared" si="36"/>
        <v>#VALUE!</v>
      </c>
      <c r="V200" s="36">
        <v>34.725540664341814</v>
      </c>
      <c r="W200" s="36">
        <v>38.368000000000002</v>
      </c>
      <c r="X200" s="36">
        <f t="shared" ref="X200:X201" si="42">V200/H200</f>
        <v>0.21865967151760202</v>
      </c>
      <c r="Y200" s="36" t="e">
        <f ca="1">_xll.BDP($B200,Y$2,)</f>
        <v>#NAME?</v>
      </c>
      <c r="Z200" s="36" t="e">
        <f ca="1">_xll.BDP($B200,Z$2)</f>
        <v>#NAME?</v>
      </c>
      <c r="AA200" s="36">
        <v>16.478658119925523</v>
      </c>
      <c r="AB200" s="36">
        <v>27.196000000000002</v>
      </c>
      <c r="AC200" s="92">
        <f t="shared" si="29"/>
        <v>0.10376276085612605</v>
      </c>
    </row>
    <row r="201" spans="2:29" x14ac:dyDescent="0.2">
      <c r="B201" s="1" t="s">
        <v>613</v>
      </c>
      <c r="C201" s="1" t="s">
        <v>746</v>
      </c>
      <c r="D201" s="1" t="s">
        <v>495</v>
      </c>
      <c r="E201" s="36">
        <v>532.57029999999997</v>
      </c>
      <c r="F201" s="36">
        <v>503.5813</v>
      </c>
      <c r="G201" s="36" t="e">
        <f ca="1">_xll.BDP($B201,G$2,"EQY_FUND_YEAR=2016")</f>
        <v>#NAME?</v>
      </c>
      <c r="H201" s="36">
        <v>390.21064688256155</v>
      </c>
      <c r="I201" s="36">
        <v>423.65500000000003</v>
      </c>
      <c r="J201" s="36">
        <f t="shared" si="37"/>
        <v>1.2905370574154493</v>
      </c>
      <c r="K201" s="36">
        <f t="shared" si="38"/>
        <v>1.1886589323860215</v>
      </c>
      <c r="L201" s="44">
        <f t="shared" si="35"/>
        <v>8.5708458712311808E-2</v>
      </c>
      <c r="M201" s="114">
        <v>208.1033694655994</v>
      </c>
      <c r="N201" s="36">
        <v>51.5</v>
      </c>
      <c r="O201" s="94">
        <f t="shared" si="39"/>
        <v>0.53331033155594687</v>
      </c>
      <c r="P201" s="36">
        <v>34.018854199922998</v>
      </c>
      <c r="Q201" s="36">
        <f t="shared" si="40"/>
        <v>8.718074320038062E-2</v>
      </c>
      <c r="R201" s="36" t="s">
        <v>480</v>
      </c>
      <c r="S201" s="36" t="e">
        <f t="shared" si="41"/>
        <v>#VALUE!</v>
      </c>
      <c r="T201" s="36">
        <v>172.67145692385159</v>
      </c>
      <c r="U201" s="36">
        <f t="shared" si="36"/>
        <v>0.44250831775950766</v>
      </c>
      <c r="V201" s="36">
        <v>41.081894131577933</v>
      </c>
      <c r="W201" s="36">
        <v>41.76</v>
      </c>
      <c r="X201" s="36">
        <f t="shared" si="42"/>
        <v>0.10528132550914739</v>
      </c>
      <c r="Y201" s="36" t="e">
        <f ca="1">_xll.BDP($B201,Y$2,)</f>
        <v>#NAME?</v>
      </c>
      <c r="Z201" s="36" t="e">
        <f ca="1">_xll.BDP($B201,Z$2)</f>
        <v>#NAME?</v>
      </c>
      <c r="AA201" s="36">
        <v>28.187567163656766</v>
      </c>
      <c r="AB201" s="36">
        <v>23.518000000000001</v>
      </c>
      <c r="AC201" s="92">
        <f t="shared" si="29"/>
        <v>7.2236796686227123E-2</v>
      </c>
    </row>
  </sheetData>
  <autoFilter ref="B3:AB3" xr:uid="{00000000-0009-0000-0000-00001A000000}"/>
  <conditionalFormatting sqref="B4:C170 B172:C201 B171">
    <cfRule type="duplicateValues" dxfId="3" priority="41"/>
  </conditionalFormatting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3FBB4-528E-4599-B107-3D25ECB23F22}">
  <dimension ref="A1:X134"/>
  <sheetViews>
    <sheetView topLeftCell="A90" zoomScale="70" zoomScaleNormal="70" workbookViewId="0">
      <selection activeCell="H41" sqref="H41"/>
    </sheetView>
  </sheetViews>
  <sheetFormatPr defaultRowHeight="12.75" x14ac:dyDescent="0.2"/>
  <cols>
    <col min="1" max="1" width="18.28515625" customWidth="1"/>
    <col min="2" max="2" width="10.5703125" bestFit="1" customWidth="1"/>
    <col min="3" max="3" width="10.5703125" customWidth="1"/>
    <col min="4" max="4" width="14" customWidth="1"/>
    <col min="5" max="5" width="11.28515625" bestFit="1" customWidth="1"/>
    <col min="6" max="7" width="9.7109375" style="174" customWidth="1"/>
    <col min="8" max="8" width="9.7109375" customWidth="1"/>
    <col min="9" max="9" width="14.85546875" style="181" bestFit="1" customWidth="1"/>
    <col min="10" max="10" width="9.42578125" customWidth="1"/>
    <col min="11" max="11" width="13.5703125" style="177" bestFit="1" customWidth="1"/>
    <col min="12" max="12" width="9.42578125" customWidth="1"/>
    <col min="13" max="13" width="12.28515625" style="184" customWidth="1"/>
    <col min="14" max="14" width="12.28515625" customWidth="1"/>
    <col min="15" max="15" width="12.28515625" style="184" customWidth="1"/>
    <col min="16" max="16" width="12.28515625" customWidth="1"/>
    <col min="17" max="17" width="12.28515625" style="184" customWidth="1"/>
    <col min="18" max="18" width="14" customWidth="1"/>
    <col min="19" max="19" width="12.28515625" style="184" customWidth="1"/>
    <col min="20" max="23" width="12.28515625" customWidth="1"/>
    <col min="24" max="24" width="14.85546875" bestFit="1" customWidth="1"/>
    <col min="26" max="26" width="26.28515625" customWidth="1"/>
    <col min="27" max="33" width="16.28515625" customWidth="1"/>
  </cols>
  <sheetData>
    <row r="1" spans="1:24" ht="55.5" customHeight="1" x14ac:dyDescent="0.2">
      <c r="A1" t="s">
        <v>424</v>
      </c>
      <c r="B1" t="s">
        <v>718</v>
      </c>
      <c r="C1" t="s">
        <v>962</v>
      </c>
      <c r="D1" t="s">
        <v>963</v>
      </c>
      <c r="E1" t="s">
        <v>964</v>
      </c>
      <c r="F1" t="s">
        <v>902</v>
      </c>
      <c r="G1" t="s">
        <v>957</v>
      </c>
      <c r="H1" t="s">
        <v>965</v>
      </c>
      <c r="I1" t="s">
        <v>966</v>
      </c>
      <c r="J1" t="s">
        <v>959</v>
      </c>
      <c r="K1" t="s">
        <v>967</v>
      </c>
      <c r="L1" t="s">
        <v>968</v>
      </c>
      <c r="M1" t="s">
        <v>969</v>
      </c>
      <c r="N1" t="s">
        <v>970</v>
      </c>
      <c r="O1" t="s">
        <v>971</v>
      </c>
      <c r="P1" t="s">
        <v>972</v>
      </c>
      <c r="Q1" t="s">
        <v>973</v>
      </c>
      <c r="R1" t="s">
        <v>438</v>
      </c>
      <c r="S1" t="s">
        <v>974</v>
      </c>
      <c r="T1" t="s">
        <v>975</v>
      </c>
      <c r="U1" t="s">
        <v>956</v>
      </c>
      <c r="V1" t="s">
        <v>982</v>
      </c>
      <c r="W1" t="s">
        <v>976</v>
      </c>
      <c r="X1" t="s">
        <v>977</v>
      </c>
    </row>
    <row r="2" spans="1:24" x14ac:dyDescent="0.2">
      <c r="A2" t="s">
        <v>1</v>
      </c>
      <c r="B2">
        <v>759109.37990000006</v>
      </c>
      <c r="C2">
        <v>91154</v>
      </c>
      <c r="D2">
        <v>110360</v>
      </c>
      <c r="E2">
        <v>122897.462</v>
      </c>
      <c r="F2">
        <v>6.8784829639362091</v>
      </c>
      <c r="G2">
        <v>6.1767701915601814</v>
      </c>
      <c r="H2">
        <v>0.21069837856813745</v>
      </c>
      <c r="I2">
        <v>0.1136051286698079</v>
      </c>
      <c r="J2">
        <v>72007</v>
      </c>
      <c r="K2">
        <v>0.65247372236317502</v>
      </c>
      <c r="L2">
        <v>14726</v>
      </c>
      <c r="M2">
        <v>0.13343602754621239</v>
      </c>
      <c r="N2">
        <v>17469</v>
      </c>
      <c r="O2">
        <v>0.15829104748097136</v>
      </c>
      <c r="P2">
        <v>4754</v>
      </c>
      <c r="Q2">
        <v>4.3077201884740846E-2</v>
      </c>
      <c r="R2">
        <v>45319</v>
      </c>
      <c r="S2">
        <v>0.41064697354113811</v>
      </c>
      <c r="T2">
        <v>31999</v>
      </c>
      <c r="U2">
        <v>11946</v>
      </c>
      <c r="V2">
        <v>0.10824574121058354</v>
      </c>
      <c r="W2">
        <v>27500.14</v>
      </c>
      <c r="X2">
        <v>0.24918575570859006</v>
      </c>
    </row>
    <row r="3" spans="1:24" x14ac:dyDescent="0.2">
      <c r="A3" t="s">
        <v>7</v>
      </c>
      <c r="B3">
        <v>178833.2904</v>
      </c>
      <c r="C3">
        <v>37047</v>
      </c>
      <c r="D3">
        <v>39836</v>
      </c>
      <c r="E3">
        <v>40369.717000000004</v>
      </c>
      <c r="F3">
        <v>4.4892381363590719</v>
      </c>
      <c r="G3">
        <v>4.429887145357001</v>
      </c>
      <c r="H3">
        <v>7.5282748940534994E-2</v>
      </c>
      <c r="I3">
        <v>1.3397856210463003E-2</v>
      </c>
      <c r="J3">
        <v>31737</v>
      </c>
      <c r="K3">
        <v>0.79669143488302041</v>
      </c>
      <c r="L3">
        <v>6091</v>
      </c>
      <c r="M3">
        <v>0.15290189778090169</v>
      </c>
      <c r="N3">
        <v>8431</v>
      </c>
      <c r="O3">
        <v>0.21164273521437896</v>
      </c>
      <c r="P3">
        <v>1289</v>
      </c>
      <c r="Q3">
        <v>3.2357666432372728E-2</v>
      </c>
      <c r="R3">
        <v>17054</v>
      </c>
      <c r="S3">
        <v>0.42810523144894064</v>
      </c>
      <c r="T3">
        <v>13896</v>
      </c>
      <c r="U3">
        <v>21620</v>
      </c>
      <c r="V3">
        <v>0.54272517321016167</v>
      </c>
      <c r="W3">
        <v>11273.48040882633</v>
      </c>
      <c r="X3">
        <v>0.2829972991471616</v>
      </c>
    </row>
    <row r="4" spans="1:24" x14ac:dyDescent="0.2">
      <c r="A4" t="s">
        <v>9</v>
      </c>
      <c r="B4">
        <v>117401.54</v>
      </c>
      <c r="C4">
        <v>5854.43</v>
      </c>
      <c r="D4">
        <v>8571.9779999999992</v>
      </c>
      <c r="E4">
        <v>10315.565000000001</v>
      </c>
      <c r="F4">
        <v>13.695968421757499</v>
      </c>
      <c r="G4">
        <v>11.381009183694736</v>
      </c>
      <c r="H4">
        <v>0.46418660740669865</v>
      </c>
      <c r="I4">
        <v>0.20340544504430613</v>
      </c>
      <c r="J4">
        <v>7465.3680576171873</v>
      </c>
      <c r="K4">
        <v>0.8709037817895926</v>
      </c>
      <c r="L4">
        <v>1224.059</v>
      </c>
      <c r="M4">
        <v>0.14279772999884041</v>
      </c>
      <c r="N4">
        <v>2197.5920000000001</v>
      </c>
      <c r="O4">
        <v>0.25636930006119946</v>
      </c>
      <c r="P4">
        <v>624.70600000000002</v>
      </c>
      <c r="Q4">
        <v>7.2877695206403942E-2</v>
      </c>
      <c r="R4">
        <v>3089.8100000000004</v>
      </c>
      <c r="S4">
        <v>0.36045472818525676</v>
      </c>
      <c r="T4">
        <v>3512.8310000000001</v>
      </c>
      <c r="U4">
        <v>2306.0720000000001</v>
      </c>
      <c r="V4">
        <v>0.2690244888635972</v>
      </c>
      <c r="W4">
        <v>2415.5068601730072</v>
      </c>
      <c r="X4">
        <v>0.28179107087920752</v>
      </c>
    </row>
    <row r="5" spans="1:24" x14ac:dyDescent="0.2">
      <c r="A5" t="s">
        <v>11</v>
      </c>
      <c r="B5">
        <v>103894.19990000001</v>
      </c>
      <c r="C5">
        <v>6667.2160000000003</v>
      </c>
      <c r="D5">
        <v>11817.844000000001</v>
      </c>
      <c r="E5">
        <v>14404.651</v>
      </c>
      <c r="F5">
        <v>8.7912989797462213</v>
      </c>
      <c r="G5">
        <v>7.2125454410523382</v>
      </c>
      <c r="H5">
        <v>0.77253054348321704</v>
      </c>
      <c r="I5">
        <v>0.2188899261151187</v>
      </c>
      <c r="J5">
        <v>8749.5439453125</v>
      </c>
      <c r="K5">
        <v>0.74036718925317502</v>
      </c>
      <c r="L5">
        <v>1553.0729999999999</v>
      </c>
      <c r="M5">
        <v>0.13141762575305613</v>
      </c>
      <c r="N5">
        <v>4829.2910000000002</v>
      </c>
      <c r="O5">
        <v>0.40864399631607928</v>
      </c>
      <c r="P5">
        <v>1088.3579999999999</v>
      </c>
      <c r="Q5">
        <v>9.2094463254041928E-2</v>
      </c>
      <c r="R5">
        <v>1308.0920000000001</v>
      </c>
      <c r="S5">
        <v>0.11068787166254691</v>
      </c>
      <c r="T5">
        <v>2552.5609999999997</v>
      </c>
      <c r="U5">
        <v>2543</v>
      </c>
      <c r="V5">
        <v>0.21518307400233069</v>
      </c>
      <c r="W5">
        <v>482.47887560000004</v>
      </c>
      <c r="X5">
        <v>4.0826302631850615E-2</v>
      </c>
    </row>
    <row r="6" spans="1:24" x14ac:dyDescent="0.2">
      <c r="A6" t="s">
        <v>17</v>
      </c>
      <c r="B6">
        <v>49272.508399999999</v>
      </c>
      <c r="C6">
        <v>7093</v>
      </c>
      <c r="D6">
        <v>8467</v>
      </c>
      <c r="E6">
        <v>9081.755000000001</v>
      </c>
      <c r="F6">
        <v>5.8193584976969408</v>
      </c>
      <c r="G6">
        <v>5.4254390698714063</v>
      </c>
      <c r="H6">
        <v>0.19371211053150994</v>
      </c>
      <c r="I6">
        <v>7.2605999763788898E-2</v>
      </c>
      <c r="J6">
        <v>7285</v>
      </c>
      <c r="K6">
        <v>0.8603991968820125</v>
      </c>
      <c r="L6">
        <v>1755</v>
      </c>
      <c r="M6">
        <v>0.20727530412188497</v>
      </c>
      <c r="N6">
        <v>2593</v>
      </c>
      <c r="O6">
        <v>0.30624778552025511</v>
      </c>
      <c r="P6">
        <v>654</v>
      </c>
      <c r="Q6">
        <v>7.7241053501830637E-2</v>
      </c>
      <c r="R6">
        <v>2515</v>
      </c>
      <c r="S6">
        <v>0.29703554978150465</v>
      </c>
      <c r="T6">
        <v>3221</v>
      </c>
      <c r="U6">
        <v>5971</v>
      </c>
      <c r="V6">
        <v>0.70520845635998586</v>
      </c>
      <c r="W6">
        <v>3395.5353242424239</v>
      </c>
      <c r="X6">
        <v>0.40103169059199528</v>
      </c>
    </row>
    <row r="7" spans="1:24" x14ac:dyDescent="0.2">
      <c r="A7" t="s">
        <v>19</v>
      </c>
      <c r="B7">
        <v>52287.719499999999</v>
      </c>
      <c r="C7">
        <v>4694</v>
      </c>
      <c r="D7">
        <v>5964</v>
      </c>
      <c r="E7">
        <v>6610.5380000000005</v>
      </c>
      <c r="F7">
        <v>8.7672232562038896</v>
      </c>
      <c r="G7">
        <v>7.9097525042591084</v>
      </c>
      <c r="H7">
        <v>0.27055815935236471</v>
      </c>
      <c r="I7">
        <v>0.10840677397719656</v>
      </c>
      <c r="J7">
        <v>4992</v>
      </c>
      <c r="K7">
        <v>0.83702213279678073</v>
      </c>
      <c r="L7">
        <v>1186</v>
      </c>
      <c r="M7">
        <v>0.19885982562038901</v>
      </c>
      <c r="N7">
        <v>1634</v>
      </c>
      <c r="O7">
        <v>0.27397719651240776</v>
      </c>
      <c r="P7">
        <v>664</v>
      </c>
      <c r="Q7">
        <v>0.11133467471495641</v>
      </c>
      <c r="R7">
        <v>1823</v>
      </c>
      <c r="S7">
        <v>0.3056673373574782</v>
      </c>
      <c r="T7">
        <v>1938</v>
      </c>
      <c r="U7">
        <v>1464</v>
      </c>
      <c r="V7">
        <v>0.24547283702213279</v>
      </c>
      <c r="W7">
        <v>1268.9562790151069</v>
      </c>
      <c r="X7">
        <v>0.21276932914404878</v>
      </c>
    </row>
    <row r="8" spans="1:24" x14ac:dyDescent="0.2">
      <c r="A8" t="s">
        <v>23</v>
      </c>
      <c r="B8">
        <v>30069.100900000001</v>
      </c>
      <c r="C8">
        <v>1390.5129999999999</v>
      </c>
      <c r="D8">
        <v>2264.8180000000002</v>
      </c>
      <c r="E8">
        <v>2957.73</v>
      </c>
      <c r="F8">
        <v>13.27660805415711</v>
      </c>
      <c r="G8">
        <v>10.166276468778422</v>
      </c>
      <c r="H8">
        <v>0.62876434812188042</v>
      </c>
      <c r="I8">
        <v>0.30594599654365151</v>
      </c>
      <c r="J8">
        <v>1706.5400173339845</v>
      </c>
      <c r="K8">
        <v>0.75349984737580866</v>
      </c>
      <c r="L8">
        <v>377.51799999999997</v>
      </c>
      <c r="M8">
        <v>0.16668800760149377</v>
      </c>
      <c r="N8">
        <v>946.61699999999996</v>
      </c>
      <c r="O8">
        <v>0.41796603523991765</v>
      </c>
      <c r="P8">
        <v>210.53299999999999</v>
      </c>
      <c r="Q8">
        <v>9.2958021350942971E-2</v>
      </c>
      <c r="R8">
        <v>59.362000000000002</v>
      </c>
      <c r="S8">
        <v>2.6210494618110591E-2</v>
      </c>
      <c r="T8">
        <v>535.26</v>
      </c>
      <c r="U8">
        <v>726.495</v>
      </c>
      <c r="V8">
        <v>0.32077411959813101</v>
      </c>
      <c r="W8">
        <v>-89.498374022804001</v>
      </c>
      <c r="X8">
        <v>-3.9516806217013457E-2</v>
      </c>
    </row>
    <row r="9" spans="1:24" x14ac:dyDescent="0.2">
      <c r="A9" t="s">
        <v>31</v>
      </c>
      <c r="B9">
        <v>28484.287400000001</v>
      </c>
      <c r="C9">
        <v>2504.1</v>
      </c>
      <c r="D9">
        <v>2240.6999999999998</v>
      </c>
      <c r="E9">
        <v>2807.2000000000003</v>
      </c>
      <c r="F9">
        <v>12.712227161154997</v>
      </c>
      <c r="G9">
        <v>10.146867839840409</v>
      </c>
      <c r="H9">
        <v>-0.10518749251227991</v>
      </c>
      <c r="I9">
        <v>0.25282277859597468</v>
      </c>
      <c r="J9">
        <v>1953.5000061035157</v>
      </c>
      <c r="K9">
        <v>0.87182577145691786</v>
      </c>
      <c r="L9">
        <v>755.5</v>
      </c>
      <c r="M9">
        <v>0.33717141964564645</v>
      </c>
      <c r="N9">
        <v>1087.3</v>
      </c>
      <c r="O9">
        <v>0.48525014504395947</v>
      </c>
      <c r="P9">
        <v>305.2</v>
      </c>
      <c r="Q9">
        <v>0.13620743517650735</v>
      </c>
      <c r="R9">
        <v>-131.1</v>
      </c>
      <c r="S9">
        <v>-5.8508501807470879E-2</v>
      </c>
      <c r="T9">
        <v>84.1</v>
      </c>
      <c r="U9">
        <v>1078</v>
      </c>
      <c r="V9">
        <v>0.48109965635738833</v>
      </c>
      <c r="W9">
        <v>-301.367196788814</v>
      </c>
      <c r="X9">
        <v>-0.13449689685759542</v>
      </c>
    </row>
    <row r="10" spans="1:24" x14ac:dyDescent="0.2">
      <c r="A10" t="s">
        <v>33</v>
      </c>
      <c r="B10">
        <v>25456.8783</v>
      </c>
      <c r="C10">
        <v>1156.69</v>
      </c>
      <c r="D10">
        <v>2428.232</v>
      </c>
      <c r="E10">
        <v>3119.846</v>
      </c>
      <c r="F10">
        <v>10.483709258423414</v>
      </c>
      <c r="G10">
        <v>8.1596586177651069</v>
      </c>
      <c r="H10">
        <v>1.0992936741910104</v>
      </c>
      <c r="I10">
        <v>0.28482204336323713</v>
      </c>
      <c r="J10">
        <v>1715.5240270996094</v>
      </c>
      <c r="K10">
        <v>0.70649098895806062</v>
      </c>
      <c r="L10">
        <v>910.58399999999995</v>
      </c>
      <c r="M10">
        <v>0.37499876453320768</v>
      </c>
      <c r="N10">
        <v>683.36699999999996</v>
      </c>
      <c r="O10">
        <v>0.28142574515120466</v>
      </c>
      <c r="P10">
        <v>222.90899999999999</v>
      </c>
      <c r="Q10">
        <v>9.1798889068260364E-2</v>
      </c>
      <c r="R10">
        <v>-107.83699999999999</v>
      </c>
      <c r="S10">
        <v>-4.4409677493748537E-2</v>
      </c>
      <c r="T10">
        <v>288.99900000000002</v>
      </c>
      <c r="U10">
        <v>1134.355</v>
      </c>
      <c r="V10">
        <v>0.46715264439312226</v>
      </c>
      <c r="W10">
        <v>-334.86065359999998</v>
      </c>
      <c r="X10">
        <v>-0.137903072523548</v>
      </c>
    </row>
    <row r="11" spans="1:24" x14ac:dyDescent="0.2">
      <c r="A11" t="s">
        <v>37</v>
      </c>
      <c r="B11">
        <v>19172.8344</v>
      </c>
      <c r="C11">
        <v>2052.23</v>
      </c>
      <c r="D11">
        <v>3156.587</v>
      </c>
      <c r="E11">
        <v>3599.1820000000002</v>
      </c>
      <c r="F11">
        <v>6.0739128685507477</v>
      </c>
      <c r="G11">
        <v>5.3269977455988604</v>
      </c>
      <c r="H11">
        <v>0.5381253563197107</v>
      </c>
      <c r="I11">
        <v>0.14021314793477901</v>
      </c>
      <c r="J11">
        <v>2690.5739580078125</v>
      </c>
      <c r="K11">
        <v>0.85236806652495634</v>
      </c>
      <c r="L11">
        <v>578.32999999999993</v>
      </c>
      <c r="M11">
        <v>0.18321370518221103</v>
      </c>
      <c r="N11">
        <v>1198.576</v>
      </c>
      <c r="O11">
        <v>0.37970630937781852</v>
      </c>
      <c r="P11">
        <v>239.316</v>
      </c>
      <c r="Q11">
        <v>7.5814796170674215E-2</v>
      </c>
      <c r="R11">
        <v>602.68600000000004</v>
      </c>
      <c r="S11">
        <v>0.19092963381018804</v>
      </c>
      <c r="T11">
        <v>941.41899999999998</v>
      </c>
      <c r="U11">
        <v>1724.1319999999998</v>
      </c>
      <c r="V11">
        <v>0.54620132440512481</v>
      </c>
      <c r="W11">
        <v>417.021865536652</v>
      </c>
      <c r="X11">
        <v>0.13211163371598883</v>
      </c>
    </row>
    <row r="12" spans="1:24" x14ac:dyDescent="0.2">
      <c r="A12" t="s">
        <v>43</v>
      </c>
      <c r="B12">
        <v>17761.393199999999</v>
      </c>
      <c r="C12">
        <v>4025</v>
      </c>
      <c r="D12">
        <v>4148</v>
      </c>
      <c r="E12">
        <v>4285.5</v>
      </c>
      <c r="F12">
        <v>4.2819173577627767</v>
      </c>
      <c r="G12">
        <v>4.1445323066153303</v>
      </c>
      <c r="H12">
        <v>3.0559006211180125E-2</v>
      </c>
      <c r="I12">
        <v>3.3148505303760789E-2</v>
      </c>
      <c r="J12">
        <v>3546</v>
      </c>
      <c r="K12">
        <v>0.85486981677917073</v>
      </c>
      <c r="L12">
        <v>642</v>
      </c>
      <c r="M12">
        <v>0.15477338476374156</v>
      </c>
      <c r="N12">
        <v>1061</v>
      </c>
      <c r="O12">
        <v>0.25578592092574737</v>
      </c>
      <c r="P12">
        <v>406</v>
      </c>
      <c r="Q12">
        <v>9.7878495660559311E-2</v>
      </c>
      <c r="R12">
        <v>1440</v>
      </c>
      <c r="S12">
        <v>0.34715525554484089</v>
      </c>
      <c r="T12">
        <v>1064</v>
      </c>
      <c r="U12">
        <v>3405</v>
      </c>
      <c r="V12">
        <v>0.82087753134040498</v>
      </c>
      <c r="W12">
        <v>788.04512350394702</v>
      </c>
      <c r="X12">
        <v>0.18998194877144337</v>
      </c>
    </row>
    <row r="13" spans="1:24" x14ac:dyDescent="0.2">
      <c r="A13" t="s">
        <v>49</v>
      </c>
      <c r="B13">
        <v>12991.4501</v>
      </c>
      <c r="C13">
        <v>1741.3009999999999</v>
      </c>
      <c r="D13">
        <v>1896.9269999999999</v>
      </c>
      <c r="E13">
        <v>1960.394</v>
      </c>
      <c r="F13">
        <v>6.8486821580377111</v>
      </c>
      <c r="G13">
        <v>6.62695871340149</v>
      </c>
      <c r="H13">
        <v>8.9373405287196173E-2</v>
      </c>
      <c r="I13">
        <v>3.3457797796119682E-2</v>
      </c>
      <c r="J13">
        <v>1698.6110100097656</v>
      </c>
      <c r="K13">
        <v>0.89545407388358411</v>
      </c>
      <c r="L13">
        <v>192.386</v>
      </c>
      <c r="M13">
        <v>0.1014198226921753</v>
      </c>
      <c r="N13">
        <v>433.42700000000002</v>
      </c>
      <c r="O13">
        <v>0.22848902461718351</v>
      </c>
      <c r="P13">
        <v>91.965000000000003</v>
      </c>
      <c r="Q13">
        <v>4.8481043287380066E-2</v>
      </c>
      <c r="R13">
        <v>949.65100000000007</v>
      </c>
      <c r="S13">
        <v>0.50062601249283711</v>
      </c>
      <c r="T13">
        <v>1109.6179999999999</v>
      </c>
      <c r="U13">
        <v>245.01399999999998</v>
      </c>
      <c r="V13">
        <v>0.1291636420378855</v>
      </c>
      <c r="W13">
        <v>822.62414000000001</v>
      </c>
      <c r="X13">
        <v>0.43366146404157885</v>
      </c>
    </row>
    <row r="14" spans="1:24" x14ac:dyDescent="0.2">
      <c r="A14" t="s">
        <v>51</v>
      </c>
      <c r="B14">
        <v>15390.5118</v>
      </c>
      <c r="C14">
        <v>457.05799999999999</v>
      </c>
      <c r="D14">
        <v>947.42399999999998</v>
      </c>
      <c r="E14">
        <v>1254.6490000000001</v>
      </c>
      <c r="F14">
        <v>16.244587217549903</v>
      </c>
      <c r="G14">
        <v>12.266786806509231</v>
      </c>
      <c r="H14">
        <v>1.0728747773805511</v>
      </c>
      <c r="I14">
        <v>0.32427403147904221</v>
      </c>
      <c r="J14">
        <v>769.6390129394531</v>
      </c>
      <c r="K14">
        <v>0.81234907806795387</v>
      </c>
      <c r="L14">
        <v>415.77599999999995</v>
      </c>
      <c r="M14">
        <v>0.43884892086330929</v>
      </c>
      <c r="N14">
        <v>187.99</v>
      </c>
      <c r="O14">
        <v>0.19842224811699938</v>
      </c>
      <c r="P14">
        <v>151.24199999999999</v>
      </c>
      <c r="Q14">
        <v>0.15963496808187252</v>
      </c>
      <c r="R14">
        <v>43.517999999999994</v>
      </c>
      <c r="S14">
        <v>4.5932971932313299E-2</v>
      </c>
      <c r="T14">
        <v>292.77500000000003</v>
      </c>
      <c r="U14">
        <v>1410.3389999999999</v>
      </c>
      <c r="V14">
        <v>1.4886038352416657</v>
      </c>
      <c r="W14">
        <v>-301.38798999999995</v>
      </c>
      <c r="X14">
        <v>-0.31811310458675307</v>
      </c>
    </row>
    <row r="15" spans="1:24" x14ac:dyDescent="0.2">
      <c r="A15" t="s">
        <v>55</v>
      </c>
      <c r="B15">
        <v>14085.412700000001</v>
      </c>
      <c r="C15">
        <v>2125.0859999999998</v>
      </c>
      <c r="D15">
        <v>2794.5149999999999</v>
      </c>
      <c r="E15">
        <v>3253.5360000000001</v>
      </c>
      <c r="F15">
        <v>5.0403782767313832</v>
      </c>
      <c r="G15">
        <v>4.3292629004258751</v>
      </c>
      <c r="H15">
        <v>0.31501266301693209</v>
      </c>
      <c r="I15">
        <v>0.16425784080600758</v>
      </c>
      <c r="J15">
        <v>2459.358009765625</v>
      </c>
      <c r="K15">
        <v>0.88006613303762016</v>
      </c>
      <c r="L15">
        <v>341.4</v>
      </c>
      <c r="M15">
        <v>0.12216788959801611</v>
      </c>
      <c r="N15">
        <v>180.9</v>
      </c>
      <c r="O15">
        <v>6.4733952045345974E-2</v>
      </c>
      <c r="P15">
        <v>193.1</v>
      </c>
      <c r="Q15">
        <v>6.9099646987044266E-2</v>
      </c>
      <c r="R15">
        <v>707.22400000000005</v>
      </c>
      <c r="S15">
        <v>0.25307575733177318</v>
      </c>
      <c r="T15">
        <v>569.976</v>
      </c>
      <c r="U15">
        <v>488.964</v>
      </c>
      <c r="V15">
        <v>0.17497275913709534</v>
      </c>
      <c r="W15">
        <v>288.48589500000003</v>
      </c>
      <c r="X15">
        <v>0.10323290266826267</v>
      </c>
    </row>
    <row r="16" spans="1:24" x14ac:dyDescent="0.2">
      <c r="A16" t="s">
        <v>57</v>
      </c>
      <c r="B16">
        <v>12778.339900000001</v>
      </c>
      <c r="C16">
        <v>668.43499999999995</v>
      </c>
      <c r="D16">
        <v>1448.318</v>
      </c>
      <c r="E16">
        <v>1866.8810000000001</v>
      </c>
      <c r="F16">
        <v>8.8228827508875813</v>
      </c>
      <c r="G16">
        <v>6.8447533077898379</v>
      </c>
      <c r="H16">
        <v>1.1667297493398761</v>
      </c>
      <c r="I16">
        <v>0.28899937720859659</v>
      </c>
      <c r="J16">
        <v>1148.2299877929688</v>
      </c>
      <c r="K16">
        <v>0.79280240098719257</v>
      </c>
      <c r="L16">
        <v>301.11399999999998</v>
      </c>
      <c r="M16">
        <v>0.20790599854451852</v>
      </c>
      <c r="N16">
        <v>808.41700000000003</v>
      </c>
      <c r="O16">
        <v>0.55817645019947282</v>
      </c>
      <c r="P16">
        <v>159.143</v>
      </c>
      <c r="Q16">
        <v>0.10988125535966549</v>
      </c>
      <c r="R16">
        <v>-257.30799999999999</v>
      </c>
      <c r="S16">
        <v>-0.17765987856258086</v>
      </c>
      <c r="T16">
        <v>293.40800000000002</v>
      </c>
      <c r="U16">
        <v>545.947</v>
      </c>
      <c r="V16">
        <v>0.37695243724099264</v>
      </c>
      <c r="W16">
        <v>-319.97310999999996</v>
      </c>
      <c r="X16">
        <v>-0.22092738611271831</v>
      </c>
    </row>
    <row r="17" spans="1:24" x14ac:dyDescent="0.2">
      <c r="A17" t="s">
        <v>59</v>
      </c>
      <c r="B17">
        <v>12362.801600000001</v>
      </c>
      <c r="C17">
        <v>1275.443</v>
      </c>
      <c r="D17">
        <v>1631.1849999999999</v>
      </c>
      <c r="E17">
        <v>1909.7080000000001</v>
      </c>
      <c r="F17">
        <v>7.5790309498922568</v>
      </c>
      <c r="G17">
        <v>6.4736606852984853</v>
      </c>
      <c r="H17">
        <v>0.27891642354852392</v>
      </c>
      <c r="I17">
        <v>0.17074887275201789</v>
      </c>
      <c r="J17">
        <v>1221.8169738769532</v>
      </c>
      <c r="K17">
        <v>0.74903642068615961</v>
      </c>
      <c r="L17">
        <v>210.614</v>
      </c>
      <c r="M17">
        <v>0.12911717555029012</v>
      </c>
      <c r="N17">
        <v>701.02599999999995</v>
      </c>
      <c r="O17">
        <v>0.42976486419382226</v>
      </c>
      <c r="P17">
        <v>87.861999999999995</v>
      </c>
      <c r="Q17">
        <v>5.386390875345224E-2</v>
      </c>
      <c r="R17">
        <v>213.77799999999999</v>
      </c>
      <c r="S17">
        <v>0.1310568696990225</v>
      </c>
      <c r="T17">
        <v>561.17100000000005</v>
      </c>
      <c r="U17">
        <v>811.00400000000002</v>
      </c>
      <c r="V17">
        <v>0.49718701434846446</v>
      </c>
      <c r="W17">
        <v>136.69200000000001</v>
      </c>
      <c r="X17">
        <v>8.3799201194223835E-2</v>
      </c>
    </row>
    <row r="18" spans="1:24" x14ac:dyDescent="0.2">
      <c r="A18" t="s">
        <v>61</v>
      </c>
      <c r="B18">
        <v>14433.059600000001</v>
      </c>
      <c r="C18">
        <v>2736.08</v>
      </c>
      <c r="D18">
        <v>2908.3389999999999</v>
      </c>
      <c r="E18">
        <v>2991.1260000000002</v>
      </c>
      <c r="F18">
        <v>4.9626469266478219</v>
      </c>
      <c r="G18">
        <v>4.8252930836079786</v>
      </c>
      <c r="H18">
        <v>6.2958319932165732E-2</v>
      </c>
      <c r="I18">
        <v>2.8465388663426294E-2</v>
      </c>
      <c r="J18">
        <v>2463.42801171875</v>
      </c>
      <c r="K18">
        <v>0.84702230782544607</v>
      </c>
      <c r="L18">
        <v>415.80099999999999</v>
      </c>
      <c r="M18">
        <v>0.14296854665154235</v>
      </c>
      <c r="N18">
        <v>1006.112</v>
      </c>
      <c r="O18">
        <v>0.34594041478658438</v>
      </c>
      <c r="P18">
        <v>302.565</v>
      </c>
      <c r="Q18">
        <v>0.104033608186666</v>
      </c>
      <c r="R18">
        <v>891.87300000000005</v>
      </c>
      <c r="S18">
        <v>0.30666060593348987</v>
      </c>
      <c r="T18">
        <v>1009.174</v>
      </c>
      <c r="U18">
        <v>1115.1299999999999</v>
      </c>
      <c r="V18">
        <v>0.38342504089103779</v>
      </c>
      <c r="W18">
        <v>590.64465502973098</v>
      </c>
      <c r="X18">
        <v>0.2030865917039695</v>
      </c>
    </row>
    <row r="19" spans="1:24" x14ac:dyDescent="0.2">
      <c r="A19" t="s">
        <v>63</v>
      </c>
      <c r="B19">
        <v>13254.6572</v>
      </c>
      <c r="C19">
        <v>2422.5320000000002</v>
      </c>
      <c r="D19">
        <v>3022.62</v>
      </c>
      <c r="E19">
        <v>3239.1</v>
      </c>
      <c r="F19">
        <v>4.3851549979818829</v>
      </c>
      <c r="G19">
        <v>4.0920802692105829</v>
      </c>
      <c r="H19">
        <v>0.24771107254723557</v>
      </c>
      <c r="I19">
        <v>7.1619985310756862E-2</v>
      </c>
      <c r="J19">
        <v>2310.4400556640626</v>
      </c>
      <c r="K19">
        <v>0.76438323562474364</v>
      </c>
      <c r="L19">
        <v>908.84100000000001</v>
      </c>
      <c r="M19">
        <v>0.30067987375191063</v>
      </c>
      <c r="N19">
        <v>549.24800000000005</v>
      </c>
      <c r="O19">
        <v>0.18171255400943553</v>
      </c>
      <c r="P19">
        <v>196.84399999999999</v>
      </c>
      <c r="Q19">
        <v>6.5123634462817021E-2</v>
      </c>
      <c r="R19">
        <v>650.30199999999991</v>
      </c>
      <c r="S19">
        <v>0.21514513898538351</v>
      </c>
      <c r="T19">
        <v>387.55500000000006</v>
      </c>
      <c r="U19">
        <v>1048.356</v>
      </c>
      <c r="V19">
        <v>0.34683685014986998</v>
      </c>
      <c r="W19">
        <v>367.32709702556298</v>
      </c>
      <c r="X19">
        <v>0.12152605918890333</v>
      </c>
    </row>
    <row r="20" spans="1:24" x14ac:dyDescent="0.2">
      <c r="A20" t="s">
        <v>67</v>
      </c>
      <c r="B20">
        <v>12773.614</v>
      </c>
      <c r="C20">
        <v>1816.0830000000001</v>
      </c>
      <c r="D20">
        <v>2069.8940000000002</v>
      </c>
      <c r="E20">
        <v>2201.5</v>
      </c>
      <c r="F20">
        <v>6.1711440295976496</v>
      </c>
      <c r="G20">
        <v>5.8022321144674081</v>
      </c>
      <c r="H20">
        <v>0.13975737893036835</v>
      </c>
      <c r="I20">
        <v>6.3581033618146598E-2</v>
      </c>
      <c r="J20">
        <v>1826.9869919433593</v>
      </c>
      <c r="K20">
        <v>0.88264760994686642</v>
      </c>
      <c r="L20">
        <v>804.22299999999996</v>
      </c>
      <c r="M20">
        <v>0.38853342248443634</v>
      </c>
      <c r="N20">
        <v>419.161</v>
      </c>
      <c r="O20">
        <v>0.20250360646487209</v>
      </c>
      <c r="P20">
        <v>134.18100000000001</v>
      </c>
      <c r="Q20">
        <v>6.4825058674502167E-2</v>
      </c>
      <c r="R20">
        <v>518.21699999999998</v>
      </c>
      <c r="S20">
        <v>0.25035919713763116</v>
      </c>
      <c r="T20">
        <v>539.73699999999997</v>
      </c>
      <c r="U20">
        <v>688.08699999999999</v>
      </c>
      <c r="V20">
        <v>0.33242620153495778</v>
      </c>
      <c r="W20">
        <v>347.59648759077601</v>
      </c>
      <c r="X20">
        <v>0.16792960779188498</v>
      </c>
    </row>
    <row r="21" spans="1:24" x14ac:dyDescent="0.2">
      <c r="A21" t="s">
        <v>71</v>
      </c>
      <c r="B21">
        <v>18277.499500000002</v>
      </c>
      <c r="C21">
        <v>1481.4359999999999</v>
      </c>
      <c r="D21">
        <v>2174.3449999999998</v>
      </c>
      <c r="E21">
        <v>4355.393</v>
      </c>
      <c r="F21">
        <v>8.405979501872979</v>
      </c>
      <c r="G21">
        <v>4.1965213012924441</v>
      </c>
      <c r="H21">
        <v>0.46772793424758136</v>
      </c>
      <c r="I21">
        <v>1.003082767454107</v>
      </c>
      <c r="J21">
        <v>895.99100952148433</v>
      </c>
      <c r="K21">
        <v>0.4120739852790079</v>
      </c>
      <c r="L21">
        <v>153.334</v>
      </c>
      <c r="M21">
        <v>7.0519627749966091E-2</v>
      </c>
      <c r="N21">
        <v>118.449</v>
      </c>
      <c r="O21">
        <v>5.4475715675295321E-2</v>
      </c>
      <c r="P21">
        <v>120.17400000000001</v>
      </c>
      <c r="Q21">
        <v>5.5269058038167826E-2</v>
      </c>
      <c r="R21">
        <v>748.41300000000001</v>
      </c>
      <c r="S21">
        <v>0.34420158714463439</v>
      </c>
      <c r="T21">
        <v>419.84499999999997</v>
      </c>
      <c r="U21">
        <v>64.057000000000002</v>
      </c>
      <c r="V21">
        <v>2.9460366225231051E-2</v>
      </c>
      <c r="W21">
        <v>260.79930813918901</v>
      </c>
      <c r="X21">
        <v>0.11994384890125027</v>
      </c>
    </row>
    <row r="22" spans="1:24" x14ac:dyDescent="0.2">
      <c r="A22" t="s">
        <v>73</v>
      </c>
      <c r="B22">
        <v>14628.111500000001</v>
      </c>
      <c r="C22">
        <v>3600</v>
      </c>
      <c r="D22">
        <v>4827</v>
      </c>
      <c r="E22">
        <v>4770.0380000000005</v>
      </c>
      <c r="F22">
        <v>3.0304767971825153</v>
      </c>
      <c r="G22">
        <v>3.066665611468923</v>
      </c>
      <c r="H22">
        <v>0.34083333333333332</v>
      </c>
      <c r="I22">
        <v>-1.180070437124503E-2</v>
      </c>
      <c r="J22">
        <v>3803</v>
      </c>
      <c r="K22">
        <v>0.78785995442303713</v>
      </c>
      <c r="L22">
        <v>957</v>
      </c>
      <c r="M22">
        <v>0.19825978868862648</v>
      </c>
      <c r="N22">
        <v>1593</v>
      </c>
      <c r="O22">
        <v>0.33001864512119328</v>
      </c>
      <c r="P22">
        <v>578</v>
      </c>
      <c r="Q22">
        <v>0.11974311166355915</v>
      </c>
      <c r="R22">
        <v>1276</v>
      </c>
      <c r="S22">
        <v>0.26434638491816864</v>
      </c>
      <c r="T22">
        <v>966</v>
      </c>
      <c r="U22">
        <v>1774</v>
      </c>
      <c r="V22">
        <v>0.36751605552102756</v>
      </c>
      <c r="W22">
        <v>412.36329172576399</v>
      </c>
      <c r="X22">
        <v>8.5428483887666037E-2</v>
      </c>
    </row>
    <row r="23" spans="1:24" x14ac:dyDescent="0.2">
      <c r="A23" t="s">
        <v>79</v>
      </c>
      <c r="B23">
        <v>10635.886500000001</v>
      </c>
      <c r="C23">
        <v>1140.5329999999999</v>
      </c>
      <c r="D23">
        <v>1235.683</v>
      </c>
      <c r="E23">
        <v>1329.231</v>
      </c>
      <c r="F23">
        <v>8.6072936991121516</v>
      </c>
      <c r="G23">
        <v>8.0015335934837513</v>
      </c>
      <c r="H23">
        <v>8.3425907010143588E-2</v>
      </c>
      <c r="I23">
        <v>7.5705500520764524E-2</v>
      </c>
      <c r="J23">
        <v>904.73300866699219</v>
      </c>
      <c r="K23">
        <v>0.73217241692812174</v>
      </c>
      <c r="L23">
        <v>236.059</v>
      </c>
      <c r="M23">
        <v>0.19103524123905566</v>
      </c>
      <c r="N23">
        <v>372.94600000000003</v>
      </c>
      <c r="O23">
        <v>0.30181365285433243</v>
      </c>
      <c r="P23">
        <v>145.06700000000001</v>
      </c>
      <c r="Q23">
        <v>0.11739823239455427</v>
      </c>
      <c r="R23">
        <v>170.774</v>
      </c>
      <c r="S23">
        <v>0.1382021117066432</v>
      </c>
      <c r="T23">
        <v>211.76999999999998</v>
      </c>
      <c r="U23">
        <v>259.94600000000003</v>
      </c>
      <c r="V23">
        <v>0.21036625089120756</v>
      </c>
      <c r="W23">
        <v>48.873303467433999</v>
      </c>
      <c r="X23">
        <v>3.955165157037363E-2</v>
      </c>
    </row>
    <row r="24" spans="1:24" x14ac:dyDescent="0.2">
      <c r="A24" t="s">
        <v>83</v>
      </c>
      <c r="B24">
        <v>9553.6566000000003</v>
      </c>
      <c r="C24">
        <v>844.8</v>
      </c>
      <c r="D24">
        <v>1106.8</v>
      </c>
      <c r="E24">
        <v>1480.6469999999999</v>
      </c>
      <c r="F24">
        <v>8.6317822551499823</v>
      </c>
      <c r="G24">
        <v>6.4523526539411495</v>
      </c>
      <c r="H24">
        <v>0.3101325757575758</v>
      </c>
      <c r="I24">
        <v>0.33777285869172391</v>
      </c>
      <c r="J24">
        <v>737.9</v>
      </c>
      <c r="K24">
        <v>0.66669678352005779</v>
      </c>
      <c r="L24">
        <v>380.29999999999995</v>
      </c>
      <c r="M24">
        <v>0.3436031803397181</v>
      </c>
      <c r="N24">
        <v>314</v>
      </c>
      <c r="O24">
        <v>0.28370075894470548</v>
      </c>
      <c r="P24">
        <v>157.30000000000001</v>
      </c>
      <c r="Q24">
        <v>0.14212143115287315</v>
      </c>
      <c r="R24">
        <v>68.100000000000009</v>
      </c>
      <c r="S24">
        <v>6.1528731478135174E-2</v>
      </c>
      <c r="T24">
        <v>305</v>
      </c>
      <c r="U24">
        <v>430</v>
      </c>
      <c r="V24">
        <v>0.38850740874593426</v>
      </c>
      <c r="W24">
        <v>-50</v>
      </c>
      <c r="X24">
        <v>-4.517528008673654E-2</v>
      </c>
    </row>
    <row r="25" spans="1:24" x14ac:dyDescent="0.2">
      <c r="A25" t="s">
        <v>85</v>
      </c>
      <c r="B25">
        <v>11155.011</v>
      </c>
      <c r="C25">
        <v>1824.2280000000001</v>
      </c>
      <c r="D25">
        <v>2815.241</v>
      </c>
      <c r="E25">
        <v>2896.0419999999999</v>
      </c>
      <c r="F25">
        <v>3.9623645009432589</v>
      </c>
      <c r="G25">
        <v>3.8518125773037823</v>
      </c>
      <c r="H25">
        <v>0.54325062437370764</v>
      </c>
      <c r="I25">
        <v>2.8701272821758383E-2</v>
      </c>
      <c r="J25">
        <v>1863.8300090332032</v>
      </c>
      <c r="K25">
        <v>0.66204989520726754</v>
      </c>
      <c r="L25">
        <v>323.46100000000001</v>
      </c>
      <c r="M25">
        <v>0.11489638009676614</v>
      </c>
      <c r="N25">
        <v>529.38099999999997</v>
      </c>
      <c r="O25">
        <v>0.18804109488317342</v>
      </c>
      <c r="P25">
        <v>205.31299999999999</v>
      </c>
      <c r="Q25">
        <v>7.2929102694938019E-2</v>
      </c>
      <c r="R25">
        <v>991.54299999999989</v>
      </c>
      <c r="S25">
        <v>0.35220537069472913</v>
      </c>
      <c r="T25">
        <v>714.82</v>
      </c>
      <c r="U25">
        <v>682.94200000000001</v>
      </c>
      <c r="V25">
        <v>0.24258740193113129</v>
      </c>
      <c r="W25">
        <v>279.654731196885</v>
      </c>
      <c r="X25">
        <v>9.9335982673200984E-2</v>
      </c>
    </row>
    <row r="26" spans="1:24" x14ac:dyDescent="0.2">
      <c r="A26" t="s">
        <v>87</v>
      </c>
      <c r="B26">
        <v>8730.4277999999995</v>
      </c>
      <c r="C26">
        <v>781.29100000000005</v>
      </c>
      <c r="D26">
        <v>1035.461</v>
      </c>
      <c r="E26">
        <v>1245.01</v>
      </c>
      <c r="F26">
        <v>8.4314404888257499</v>
      </c>
      <c r="G26">
        <v>7.0123354832491298</v>
      </c>
      <c r="H26">
        <v>0.32532052717873361</v>
      </c>
      <c r="I26">
        <v>0.20237266299744738</v>
      </c>
      <c r="J26">
        <v>648.36900695800773</v>
      </c>
      <c r="K26">
        <v>0.62616458462270208</v>
      </c>
      <c r="L26">
        <v>150.583</v>
      </c>
      <c r="M26">
        <v>0.14542604694913666</v>
      </c>
      <c r="N26">
        <v>269.78100000000001</v>
      </c>
      <c r="O26">
        <v>0.26054192287300054</v>
      </c>
      <c r="P26">
        <v>122.119</v>
      </c>
      <c r="Q26">
        <v>0.11793684165796683</v>
      </c>
      <c r="R26">
        <v>114.41199999999999</v>
      </c>
      <c r="S26">
        <v>0.11049378006511108</v>
      </c>
      <c r="T26">
        <v>172.06</v>
      </c>
      <c r="U26">
        <v>155.685</v>
      </c>
      <c r="V26">
        <v>0.15035332088799094</v>
      </c>
      <c r="W26">
        <v>46.960708818636007</v>
      </c>
      <c r="X26">
        <v>4.5352465055309668E-2</v>
      </c>
    </row>
    <row r="27" spans="1:24" x14ac:dyDescent="0.2">
      <c r="A27" t="s">
        <v>89</v>
      </c>
      <c r="B27">
        <v>7440.2691999999997</v>
      </c>
      <c r="C27">
        <v>826.94299999999998</v>
      </c>
      <c r="D27">
        <v>992.76900000000001</v>
      </c>
      <c r="E27">
        <v>1052.4590000000001</v>
      </c>
      <c r="F27">
        <v>7.494461652207109</v>
      </c>
      <c r="G27">
        <v>7.0694147705516315</v>
      </c>
      <c r="H27">
        <v>0.20052893609353972</v>
      </c>
      <c r="I27">
        <v>6.0124762155143952E-2</v>
      </c>
      <c r="J27">
        <v>864.88000952148434</v>
      </c>
      <c r="K27">
        <v>0.87117950854779347</v>
      </c>
      <c r="L27">
        <v>334.14799999999997</v>
      </c>
      <c r="M27">
        <v>0.33658182316329377</v>
      </c>
      <c r="N27">
        <v>517.44600000000003</v>
      </c>
      <c r="O27">
        <v>0.52121490497789513</v>
      </c>
      <c r="P27">
        <v>102.871</v>
      </c>
      <c r="Q27">
        <v>0.10362027823189483</v>
      </c>
      <c r="R27">
        <v>-123.949</v>
      </c>
      <c r="S27">
        <v>-0.12485180339031537</v>
      </c>
      <c r="T27">
        <v>121.97600000000001</v>
      </c>
      <c r="U27">
        <v>627.87799999999993</v>
      </c>
      <c r="V27">
        <v>0.63245125502508637</v>
      </c>
      <c r="W27">
        <v>-146.929</v>
      </c>
      <c r="X27">
        <v>-0.14799918208566143</v>
      </c>
    </row>
    <row r="28" spans="1:24" x14ac:dyDescent="0.2">
      <c r="A28" t="s">
        <v>97</v>
      </c>
      <c r="B28">
        <v>7407.2659999999996</v>
      </c>
      <c r="C28">
        <v>329.14100000000002</v>
      </c>
      <c r="D28">
        <v>498.02800000000002</v>
      </c>
      <c r="E28">
        <v>621.76</v>
      </c>
      <c r="F28">
        <v>14.87319186873027</v>
      </c>
      <c r="G28">
        <v>11.913384585692228</v>
      </c>
      <c r="H28">
        <v>0.5131144403158524</v>
      </c>
      <c r="I28">
        <v>0.24844386259407103</v>
      </c>
      <c r="J28">
        <v>416.48600439453128</v>
      </c>
      <c r="K28">
        <v>0.83627025868933325</v>
      </c>
      <c r="L28">
        <v>30.43</v>
      </c>
      <c r="M28">
        <v>6.1100982274089007E-2</v>
      </c>
      <c r="N28">
        <v>150.512</v>
      </c>
      <c r="O28">
        <v>0.30221593966604288</v>
      </c>
      <c r="P28">
        <v>91.647000000000006</v>
      </c>
      <c r="Q28">
        <v>0.18401977398861108</v>
      </c>
      <c r="R28">
        <v>148.13299999999998</v>
      </c>
      <c r="S28">
        <v>0.29743909980964922</v>
      </c>
      <c r="T28">
        <v>123.30200000000001</v>
      </c>
      <c r="U28">
        <v>46.076999999999998</v>
      </c>
      <c r="V28">
        <v>9.2518894519986822E-2</v>
      </c>
      <c r="W28">
        <v>104.562799698118</v>
      </c>
      <c r="X28">
        <v>0.20995365661793713</v>
      </c>
    </row>
    <row r="29" spans="1:24" x14ac:dyDescent="0.2">
      <c r="A29" t="s">
        <v>101</v>
      </c>
      <c r="B29">
        <v>6390.3563999999997</v>
      </c>
      <c r="C29">
        <v>424.44600000000003</v>
      </c>
      <c r="D29">
        <v>661.06700000000001</v>
      </c>
      <c r="E29">
        <v>749.7</v>
      </c>
      <c r="F29">
        <v>9.6667303011646322</v>
      </c>
      <c r="G29">
        <v>8.5238847539015605</v>
      </c>
      <c r="H29">
        <v>0.55748198828590667</v>
      </c>
      <c r="I29">
        <v>0.13407566857822273</v>
      </c>
      <c r="J29">
        <v>364.36000024414062</v>
      </c>
      <c r="K29">
        <v>0.55116954899297743</v>
      </c>
      <c r="L29">
        <v>171.65699999999998</v>
      </c>
      <c r="M29">
        <v>0.25966656934924898</v>
      </c>
      <c r="N29">
        <v>124.117</v>
      </c>
      <c r="O29">
        <v>0.18775252735350578</v>
      </c>
      <c r="P29">
        <v>75.915999999999997</v>
      </c>
      <c r="Q29">
        <v>0.11483858670906277</v>
      </c>
      <c r="R29">
        <v>28.280999999999985</v>
      </c>
      <c r="S29">
        <v>4.2780837645805925E-2</v>
      </c>
      <c r="T29">
        <v>131.27800000000002</v>
      </c>
      <c r="U29">
        <v>437.14</v>
      </c>
      <c r="V29">
        <v>0.66126428939880522</v>
      </c>
      <c r="W29">
        <v>35.34196</v>
      </c>
      <c r="X29">
        <v>5.3461994018760582E-2</v>
      </c>
    </row>
    <row r="30" spans="1:24" x14ac:dyDescent="0.2">
      <c r="A30" t="s">
        <v>105</v>
      </c>
      <c r="B30">
        <v>6894.6152000000002</v>
      </c>
      <c r="C30">
        <v>472.34399999999999</v>
      </c>
      <c r="D30">
        <v>499.51400000000001</v>
      </c>
      <c r="E30">
        <v>548.56299999999999</v>
      </c>
      <c r="F30">
        <v>13.80264657246844</v>
      </c>
      <c r="G30">
        <v>12.568502068130735</v>
      </c>
      <c r="H30">
        <v>5.7521636773199228E-2</v>
      </c>
      <c r="I30">
        <v>9.8193444027594667E-2</v>
      </c>
      <c r="J30">
        <v>448.87000836181642</v>
      </c>
      <c r="K30">
        <v>0.89861346901551586</v>
      </c>
      <c r="L30">
        <v>82.075999999999993</v>
      </c>
      <c r="M30">
        <v>0.16431171098307554</v>
      </c>
      <c r="N30">
        <v>101.077</v>
      </c>
      <c r="O30">
        <v>0.20235068486568944</v>
      </c>
      <c r="P30">
        <v>56.076000000000001</v>
      </c>
      <c r="Q30">
        <v>0.11226111780650792</v>
      </c>
      <c r="R30">
        <v>218.595</v>
      </c>
      <c r="S30">
        <v>0.43761536213199226</v>
      </c>
      <c r="T30">
        <v>199.48799999999997</v>
      </c>
      <c r="U30">
        <v>96.164999999999992</v>
      </c>
      <c r="V30">
        <v>0.19251712664710097</v>
      </c>
      <c r="W30">
        <v>150.27254635458399</v>
      </c>
      <c r="X30">
        <v>0.30083750676574428</v>
      </c>
    </row>
    <row r="31" spans="1:24" x14ac:dyDescent="0.2">
      <c r="A31" t="s">
        <v>107</v>
      </c>
      <c r="B31">
        <v>6236.2366000000002</v>
      </c>
      <c r="C31">
        <v>503.41</v>
      </c>
      <c r="D31">
        <v>1155.4570000000001</v>
      </c>
      <c r="E31">
        <v>1366.1669999999999</v>
      </c>
      <c r="F31">
        <v>5.397203530724207</v>
      </c>
      <c r="G31">
        <v>4.5647688752546358</v>
      </c>
      <c r="H31">
        <v>1.2952603245863212</v>
      </c>
      <c r="I31">
        <v>0.18236074557512727</v>
      </c>
      <c r="J31">
        <v>769.42700024414057</v>
      </c>
      <c r="K31">
        <v>0.66590708286343891</v>
      </c>
      <c r="L31">
        <v>313.77699999999999</v>
      </c>
      <c r="M31">
        <v>0.27156094947713327</v>
      </c>
      <c r="N31">
        <v>649.65700000000004</v>
      </c>
      <c r="O31">
        <v>0.56225112661050991</v>
      </c>
      <c r="P31">
        <v>86.400999999999996</v>
      </c>
      <c r="Q31">
        <v>7.4776473724249351E-2</v>
      </c>
      <c r="R31">
        <v>-222.005860759494</v>
      </c>
      <c r="S31">
        <v>-0.19213684348227064</v>
      </c>
      <c r="T31">
        <v>58.033000000000001</v>
      </c>
      <c r="U31">
        <v>305.97499999999997</v>
      </c>
      <c r="V31">
        <v>0.26480864281405536</v>
      </c>
      <c r="W31">
        <v>-290.7982245</v>
      </c>
      <c r="X31">
        <v>-0.25167377453250095</v>
      </c>
    </row>
    <row r="32" spans="1:24" x14ac:dyDescent="0.2">
      <c r="A32" t="s">
        <v>113</v>
      </c>
      <c r="B32">
        <v>5616.1094999999996</v>
      </c>
      <c r="C32">
        <v>311.99900000000002</v>
      </c>
      <c r="D32">
        <v>507.88499999999999</v>
      </c>
      <c r="E32">
        <v>667.96900000000005</v>
      </c>
      <c r="F32">
        <v>11.057836911899347</v>
      </c>
      <c r="G32">
        <v>8.4077397304365906</v>
      </c>
      <c r="H32">
        <v>0.62784175590306368</v>
      </c>
      <c r="I32">
        <v>0.31519733798005456</v>
      </c>
      <c r="J32">
        <v>356.01800524902342</v>
      </c>
      <c r="K32">
        <v>0.70098153174246813</v>
      </c>
      <c r="L32">
        <v>115.291</v>
      </c>
      <c r="M32">
        <v>0.2270021756893785</v>
      </c>
      <c r="N32">
        <v>220.74199999999999</v>
      </c>
      <c r="O32">
        <v>0.43462988668694685</v>
      </c>
      <c r="P32">
        <v>81.680000000000007</v>
      </c>
      <c r="Q32">
        <v>0.1608238085393347</v>
      </c>
      <c r="R32">
        <v>-86.045139240506003</v>
      </c>
      <c r="S32">
        <v>-0.16941854797937722</v>
      </c>
      <c r="T32">
        <v>35.010000000000005</v>
      </c>
      <c r="U32">
        <v>109.36999999999999</v>
      </c>
      <c r="V32">
        <v>0.21534402473000777</v>
      </c>
      <c r="W32">
        <v>-115.405</v>
      </c>
      <c r="X32">
        <v>-0.22722663595105191</v>
      </c>
    </row>
    <row r="33" spans="1:24" x14ac:dyDescent="0.2">
      <c r="A33" t="s">
        <v>115</v>
      </c>
      <c r="B33">
        <v>5688.8769000000002</v>
      </c>
      <c r="C33">
        <v>379.72399999999999</v>
      </c>
      <c r="D33">
        <v>581.47399999999993</v>
      </c>
      <c r="E33">
        <v>724.625</v>
      </c>
      <c r="F33">
        <v>9.7835447500662127</v>
      </c>
      <c r="G33">
        <v>7.8507875107814389</v>
      </c>
      <c r="H33">
        <v>0.53130694925788191</v>
      </c>
      <c r="I33">
        <v>0.24618641590165691</v>
      </c>
      <c r="J33">
        <v>443.33000299072262</v>
      </c>
      <c r="K33">
        <v>0.762424464362504</v>
      </c>
      <c r="L33">
        <v>75.147999999999996</v>
      </c>
      <c r="M33">
        <v>0.12923707680824939</v>
      </c>
      <c r="N33">
        <v>260.06900000000002</v>
      </c>
      <c r="O33">
        <v>0.44725817491409769</v>
      </c>
      <c r="P33">
        <v>72.313000000000002</v>
      </c>
      <c r="Q33">
        <v>0.1243615363713597</v>
      </c>
      <c r="R33">
        <v>1.981681596884</v>
      </c>
      <c r="S33">
        <v>3.4080313081651117E-3</v>
      </c>
      <c r="T33">
        <v>27.823</v>
      </c>
      <c r="U33">
        <v>181.19199999999998</v>
      </c>
      <c r="V33">
        <v>0.31160808565817216</v>
      </c>
      <c r="W33">
        <v>-22.126999999999999</v>
      </c>
      <c r="X33">
        <v>-3.8053292150637866E-2</v>
      </c>
    </row>
    <row r="34" spans="1:24" x14ac:dyDescent="0.2">
      <c r="A34" t="s">
        <v>123</v>
      </c>
      <c r="B34">
        <v>5264.8521000000001</v>
      </c>
      <c r="C34">
        <v>568.12800000000004</v>
      </c>
      <c r="D34">
        <v>774.29099999999994</v>
      </c>
      <c r="E34">
        <v>940.42899999999997</v>
      </c>
      <c r="F34">
        <v>6.7995780656109917</v>
      </c>
      <c r="G34">
        <v>5.5983514970295474</v>
      </c>
      <c r="H34">
        <v>0.36288125211219985</v>
      </c>
      <c r="I34">
        <v>0.21456790793125591</v>
      </c>
      <c r="J34">
        <v>470.14299932861331</v>
      </c>
      <c r="K34">
        <v>0.60719161055548021</v>
      </c>
      <c r="L34">
        <v>89.451999999999998</v>
      </c>
      <c r="M34">
        <v>0.11552762462691676</v>
      </c>
      <c r="N34">
        <v>165.07900000000001</v>
      </c>
      <c r="O34">
        <v>0.21320020509085089</v>
      </c>
      <c r="P34">
        <v>112.97499999999999</v>
      </c>
      <c r="Q34">
        <v>0.14590767553800832</v>
      </c>
      <c r="R34">
        <v>151.96100000000001</v>
      </c>
      <c r="S34">
        <v>0.19625825432557015</v>
      </c>
      <c r="T34">
        <v>117.538</v>
      </c>
      <c r="U34">
        <v>69.343000000000004</v>
      </c>
      <c r="V34">
        <v>8.955676870840551E-2</v>
      </c>
      <c r="W34">
        <v>39.375608755979997</v>
      </c>
      <c r="X34">
        <v>5.0853760092755822E-2</v>
      </c>
    </row>
    <row r="35" spans="1:24" x14ac:dyDescent="0.2">
      <c r="A35" t="s">
        <v>127</v>
      </c>
      <c r="B35">
        <v>5177.2318999999998</v>
      </c>
      <c r="C35">
        <v>375.49599999999998</v>
      </c>
      <c r="D35">
        <v>614.04600000000005</v>
      </c>
      <c r="E35">
        <v>792.19399999999996</v>
      </c>
      <c r="F35">
        <v>8.4313421144344218</v>
      </c>
      <c r="G35">
        <v>6.5353081442171996</v>
      </c>
      <c r="H35">
        <v>0.63529305238937317</v>
      </c>
      <c r="I35">
        <v>0.29012158698208257</v>
      </c>
      <c r="J35">
        <v>439.7080033569336</v>
      </c>
      <c r="K35">
        <v>0.71608316536046746</v>
      </c>
      <c r="L35">
        <v>129.803</v>
      </c>
      <c r="M35">
        <v>0.21138970044589492</v>
      </c>
      <c r="N35">
        <v>258.83699999999999</v>
      </c>
      <c r="O35">
        <v>0.42152705171925225</v>
      </c>
      <c r="P35">
        <v>52.734999999999999</v>
      </c>
      <c r="Q35">
        <v>8.5881188054315147E-2</v>
      </c>
      <c r="R35">
        <v>-23.048000000000005</v>
      </c>
      <c r="S35">
        <v>-3.7534647241411888E-2</v>
      </c>
      <c r="T35">
        <v>136.89599999999999</v>
      </c>
      <c r="U35">
        <v>286.072</v>
      </c>
      <c r="V35">
        <v>0.46588040635392136</v>
      </c>
      <c r="W35">
        <v>-78.538188416806008</v>
      </c>
      <c r="X35">
        <v>-0.12790277669230971</v>
      </c>
    </row>
    <row r="36" spans="1:24" x14ac:dyDescent="0.2">
      <c r="A36" t="s">
        <v>129</v>
      </c>
      <c r="B36">
        <v>4738.1673000000001</v>
      </c>
      <c r="C36">
        <v>270.96699999999998</v>
      </c>
      <c r="D36">
        <v>441.399</v>
      </c>
      <c r="E36">
        <v>558.06700000000001</v>
      </c>
      <c r="F36">
        <v>10.734431432785303</v>
      </c>
      <c r="G36">
        <v>8.490319800310715</v>
      </c>
      <c r="H36">
        <v>0.62897696029405803</v>
      </c>
      <c r="I36">
        <v>0.26431414661111607</v>
      </c>
      <c r="J36">
        <v>354.10500488281252</v>
      </c>
      <c r="K36">
        <v>0.80223336455862504</v>
      </c>
      <c r="L36">
        <v>70.37299999999999</v>
      </c>
      <c r="M36">
        <v>0.15943171597579511</v>
      </c>
      <c r="N36">
        <v>212.85900000000001</v>
      </c>
      <c r="O36">
        <v>0.48223715957670954</v>
      </c>
      <c r="P36">
        <v>56.786999999999999</v>
      </c>
      <c r="Q36">
        <v>0.12865230777595779</v>
      </c>
      <c r="R36">
        <v>-24.503810126582</v>
      </c>
      <c r="S36">
        <v>-5.5513968374604379E-2</v>
      </c>
      <c r="T36">
        <v>43.858999999999995</v>
      </c>
      <c r="U36">
        <v>87.679999999999993</v>
      </c>
      <c r="V36">
        <v>0.19864113874295136</v>
      </c>
      <c r="W36">
        <v>-55.844099999999997</v>
      </c>
      <c r="X36">
        <v>-0.1265161452563327</v>
      </c>
    </row>
    <row r="37" spans="1:24" x14ac:dyDescent="0.2">
      <c r="A37" t="s">
        <v>135</v>
      </c>
      <c r="B37">
        <v>6727.3046000000004</v>
      </c>
      <c r="C37">
        <v>1948.903</v>
      </c>
      <c r="D37">
        <v>2007.8210000000001</v>
      </c>
      <c r="E37">
        <v>2103.1669999999999</v>
      </c>
      <c r="F37">
        <v>3.3505499743254004</v>
      </c>
      <c r="G37">
        <v>3.1986545053245892</v>
      </c>
      <c r="H37">
        <v>3.0231366055673434E-2</v>
      </c>
      <c r="I37">
        <v>4.7487300909792252E-2</v>
      </c>
      <c r="J37">
        <v>1132.4420061035157</v>
      </c>
      <c r="K37">
        <v>0.56401542074891919</v>
      </c>
      <c r="L37">
        <v>266.09699999999998</v>
      </c>
      <c r="M37">
        <v>0.13253024049454606</v>
      </c>
      <c r="N37">
        <v>398.13</v>
      </c>
      <c r="O37">
        <v>0.19828958856392076</v>
      </c>
      <c r="P37">
        <v>166.67699999999999</v>
      </c>
      <c r="Q37">
        <v>8.3013874244765834E-2</v>
      </c>
      <c r="R37">
        <v>344.83600000000001</v>
      </c>
      <c r="S37">
        <v>0.17174638575849141</v>
      </c>
      <c r="T37">
        <v>395.58100000000002</v>
      </c>
      <c r="U37">
        <v>315.96299999999997</v>
      </c>
      <c r="V37">
        <v>0.15736611978856679</v>
      </c>
      <c r="W37">
        <v>21.322419709094</v>
      </c>
      <c r="X37">
        <v>1.0619681589690514E-2</v>
      </c>
    </row>
    <row r="38" spans="1:24" x14ac:dyDescent="0.2">
      <c r="A38" t="s">
        <v>137</v>
      </c>
      <c r="B38">
        <v>4436.8191999999999</v>
      </c>
      <c r="C38">
        <v>181.309</v>
      </c>
      <c r="D38">
        <v>383.18099999999998</v>
      </c>
      <c r="E38">
        <v>489.97500000000002</v>
      </c>
      <c r="F38">
        <v>11.578912315589761</v>
      </c>
      <c r="G38">
        <v>9.0551950609724976</v>
      </c>
      <c r="H38">
        <v>1.1134141162325091</v>
      </c>
      <c r="I38">
        <v>0.27870379794405276</v>
      </c>
      <c r="J38">
        <v>318.38299798583984</v>
      </c>
      <c r="K38">
        <v>0.83089453283393444</v>
      </c>
      <c r="L38">
        <v>74.331999999999994</v>
      </c>
      <c r="M38">
        <v>0.1939866538267816</v>
      </c>
      <c r="N38">
        <v>207.02099999999999</v>
      </c>
      <c r="O38">
        <v>0.54026948100245054</v>
      </c>
      <c r="P38">
        <v>57.787999999999997</v>
      </c>
      <c r="Q38">
        <v>0.1508112354213805</v>
      </c>
      <c r="R38">
        <v>-2.2589999999999986</v>
      </c>
      <c r="S38">
        <v>-5.8953862534937762E-3</v>
      </c>
      <c r="T38">
        <v>49.615000000000009</v>
      </c>
      <c r="U38">
        <v>132.47900000000001</v>
      </c>
      <c r="V38">
        <v>0.34573478330084223</v>
      </c>
      <c r="W38">
        <v>-33.405200000000001</v>
      </c>
      <c r="X38">
        <v>-8.7178644035064382E-2</v>
      </c>
    </row>
    <row r="39" spans="1:24" x14ac:dyDescent="0.2">
      <c r="A39" t="s">
        <v>139</v>
      </c>
      <c r="B39">
        <v>4485.9957999999997</v>
      </c>
      <c r="C39">
        <v>280.87400000000002</v>
      </c>
      <c r="D39">
        <v>509.43599999999998</v>
      </c>
      <c r="E39">
        <v>735.4</v>
      </c>
      <c r="F39">
        <v>8.8058083841738704</v>
      </c>
      <c r="G39">
        <v>6.1000758770737011</v>
      </c>
      <c r="H39">
        <v>0.81375278594672318</v>
      </c>
      <c r="I39">
        <v>0.44355718873420802</v>
      </c>
      <c r="J39">
        <v>281.04199999999997</v>
      </c>
      <c r="K39">
        <v>0.55167283034571557</v>
      </c>
      <c r="L39">
        <v>160.947</v>
      </c>
      <c r="M39">
        <v>0.31593173627305493</v>
      </c>
      <c r="N39">
        <v>221.18700000000001</v>
      </c>
      <c r="O39">
        <v>0.43418015216828026</v>
      </c>
      <c r="P39">
        <v>67.203999999999994</v>
      </c>
      <c r="Q39">
        <v>0.13191843528922179</v>
      </c>
      <c r="R39">
        <v>-146.059</v>
      </c>
      <c r="S39">
        <v>-0.2867072605783651</v>
      </c>
      <c r="T39">
        <v>-129.36799999999999</v>
      </c>
      <c r="U39">
        <v>73.012</v>
      </c>
      <c r="V39">
        <v>0.14331927857473756</v>
      </c>
      <c r="W39">
        <v>-163.51499999999999</v>
      </c>
      <c r="X39">
        <v>-0.32097260499846886</v>
      </c>
    </row>
    <row r="40" spans="1:24" x14ac:dyDescent="0.2">
      <c r="A40" t="s">
        <v>147</v>
      </c>
      <c r="B40">
        <v>3887.6603</v>
      </c>
      <c r="C40">
        <v>750.26599999999996</v>
      </c>
      <c r="D40">
        <v>851.31600000000003</v>
      </c>
      <c r="E40">
        <v>927.80000000000007</v>
      </c>
      <c r="F40">
        <v>4.5666477547702611</v>
      </c>
      <c r="G40">
        <v>4.1901921750377236</v>
      </c>
      <c r="H40">
        <v>0.1346855648529989</v>
      </c>
      <c r="I40">
        <v>8.9842079791757845E-2</v>
      </c>
      <c r="J40">
        <v>558.17699633789061</v>
      </c>
      <c r="K40">
        <v>0.65566369754343934</v>
      </c>
      <c r="L40">
        <v>162.886</v>
      </c>
      <c r="M40">
        <v>0.19133435762983428</v>
      </c>
      <c r="N40">
        <v>307.20999999999998</v>
      </c>
      <c r="O40">
        <v>0.36086482575212958</v>
      </c>
      <c r="P40">
        <v>52.152999999999999</v>
      </c>
      <c r="Q40">
        <v>6.1261623181051453E-2</v>
      </c>
      <c r="R40">
        <v>16.656999999999996</v>
      </c>
      <c r="S40">
        <v>1.9566177541594419E-2</v>
      </c>
      <c r="T40">
        <v>106.762</v>
      </c>
      <c r="U40">
        <v>162.279</v>
      </c>
      <c r="V40">
        <v>0.19062134389580365</v>
      </c>
      <c r="W40">
        <v>16.697999999999997</v>
      </c>
      <c r="X40">
        <v>1.9614338271570129E-2</v>
      </c>
    </row>
    <row r="41" spans="1:24" x14ac:dyDescent="0.2">
      <c r="A41" t="s">
        <v>153</v>
      </c>
      <c r="B41">
        <v>4064.2968000000001</v>
      </c>
      <c r="C41">
        <v>336.06799999999998</v>
      </c>
      <c r="D41">
        <v>1130.17</v>
      </c>
      <c r="E41">
        <v>1221.8890000000001</v>
      </c>
      <c r="F41">
        <v>3.5961818133555128</v>
      </c>
      <c r="G41">
        <v>3.3262405995961988</v>
      </c>
      <c r="H41">
        <v>2.3629205994025022</v>
      </c>
      <c r="I41">
        <v>8.1155047470734543E-2</v>
      </c>
      <c r="J41">
        <v>883.36700305175782</v>
      </c>
      <c r="K41">
        <v>0.78162312134613177</v>
      </c>
      <c r="L41">
        <v>156.73099999999999</v>
      </c>
      <c r="M41">
        <v>0.13867913676703503</v>
      </c>
      <c r="N41">
        <v>346.96100000000001</v>
      </c>
      <c r="O41">
        <v>0.30699894706106162</v>
      </c>
      <c r="P41">
        <v>160.36600000000001</v>
      </c>
      <c r="Q41">
        <v>0.1418954670536291</v>
      </c>
      <c r="R41">
        <v>389.65500000000003</v>
      </c>
      <c r="S41">
        <v>0.34477556473804827</v>
      </c>
      <c r="T41">
        <v>328.89800000000002</v>
      </c>
      <c r="U41">
        <v>252.40199999999999</v>
      </c>
      <c r="V41">
        <v>0.22333100330038841</v>
      </c>
      <c r="W41">
        <v>85.247472264912005</v>
      </c>
      <c r="X41">
        <v>7.5428893232798611E-2</v>
      </c>
    </row>
    <row r="42" spans="1:24" x14ac:dyDescent="0.2">
      <c r="A42" t="s">
        <v>155</v>
      </c>
      <c r="B42">
        <v>3256.0626999999999</v>
      </c>
      <c r="C42">
        <v>83.677999999999997</v>
      </c>
      <c r="D42">
        <v>219.095</v>
      </c>
      <c r="E42">
        <v>265.79300000000001</v>
      </c>
      <c r="F42">
        <v>14.861419475569958</v>
      </c>
      <c r="G42">
        <v>12.250370401026363</v>
      </c>
      <c r="H42">
        <v>1.6183106670809533</v>
      </c>
      <c r="I42">
        <v>0.21314041853990284</v>
      </c>
      <c r="J42">
        <v>150.86900170898437</v>
      </c>
      <c r="K42">
        <v>0.68860084305431146</v>
      </c>
      <c r="L42">
        <v>44.536000000000001</v>
      </c>
      <c r="M42">
        <v>0.20327255300212238</v>
      </c>
      <c r="N42">
        <v>88.721999999999994</v>
      </c>
      <c r="O42">
        <v>0.40494762545927565</v>
      </c>
      <c r="P42">
        <v>38.578000000000003</v>
      </c>
      <c r="Q42">
        <v>0.17607886989662019</v>
      </c>
      <c r="R42">
        <v>-34.963000000000001</v>
      </c>
      <c r="S42">
        <v>-0.15957917798215387</v>
      </c>
      <c r="T42">
        <v>20.446999999999996</v>
      </c>
      <c r="U42">
        <v>412.90299999999996</v>
      </c>
      <c r="V42">
        <v>1.8845843127410482</v>
      </c>
      <c r="W42">
        <v>-49.332999999999998</v>
      </c>
      <c r="X42">
        <v>-0.22516716492845568</v>
      </c>
    </row>
    <row r="43" spans="1:24" x14ac:dyDescent="0.2">
      <c r="A43" t="s">
        <v>157</v>
      </c>
      <c r="B43">
        <v>4272.2191999999995</v>
      </c>
      <c r="C43">
        <v>874.255</v>
      </c>
      <c r="D43">
        <v>1158.5079999999998</v>
      </c>
      <c r="E43">
        <v>1252.3330000000001</v>
      </c>
      <c r="F43">
        <v>3.6876907194425934</v>
      </c>
      <c r="G43">
        <v>3.4114083075348165</v>
      </c>
      <c r="H43">
        <v>0.3251374027028725</v>
      </c>
      <c r="I43">
        <v>8.0987787740784078E-2</v>
      </c>
      <c r="J43">
        <v>974.26899780273436</v>
      </c>
      <c r="K43">
        <v>0.84096872684757851</v>
      </c>
      <c r="L43">
        <v>46.003999999999998</v>
      </c>
      <c r="M43">
        <v>3.9709695573962374E-2</v>
      </c>
      <c r="N43">
        <v>330.29599999999999</v>
      </c>
      <c r="O43">
        <v>0.28510463458172064</v>
      </c>
      <c r="P43">
        <v>323.517</v>
      </c>
      <c r="Q43">
        <v>0.27925314283544012</v>
      </c>
      <c r="R43">
        <v>412.85069230769199</v>
      </c>
      <c r="S43">
        <v>0.35636412722889443</v>
      </c>
      <c r="T43">
        <v>324.49900000000002</v>
      </c>
      <c r="U43">
        <v>350.94499999999999</v>
      </c>
      <c r="V43">
        <v>0.30292842172863721</v>
      </c>
      <c r="W43">
        <v>150.78399999999999</v>
      </c>
      <c r="X43">
        <v>0.1301536113691058</v>
      </c>
    </row>
    <row r="44" spans="1:24" x14ac:dyDescent="0.2">
      <c r="A44" t="s">
        <v>163</v>
      </c>
      <c r="B44">
        <v>3579.8489</v>
      </c>
      <c r="C44">
        <v>730.81500000000005</v>
      </c>
      <c r="D44">
        <v>833.04499999999996</v>
      </c>
      <c r="E44">
        <v>871.04500000000007</v>
      </c>
      <c r="F44">
        <v>4.2973055477195112</v>
      </c>
      <c r="G44">
        <v>4.1098323278361049</v>
      </c>
      <c r="H44">
        <v>0.13988492299692795</v>
      </c>
      <c r="I44">
        <v>4.5615783060939163E-2</v>
      </c>
      <c r="J44">
        <v>461.10500335693359</v>
      </c>
      <c r="K44">
        <v>0.55351752109061769</v>
      </c>
      <c r="L44">
        <v>89.911000000000001</v>
      </c>
      <c r="M44">
        <v>0.10793054396821301</v>
      </c>
      <c r="N44">
        <v>173.52500000000001</v>
      </c>
      <c r="O44">
        <v>0.20830207251709093</v>
      </c>
      <c r="P44">
        <v>94.87</v>
      </c>
      <c r="Q44">
        <v>0.11388340365766557</v>
      </c>
      <c r="R44">
        <v>162.346</v>
      </c>
      <c r="S44">
        <v>0.19488262938976889</v>
      </c>
      <c r="T44">
        <v>149.40600000000001</v>
      </c>
      <c r="U44">
        <v>29.83</v>
      </c>
      <c r="V44">
        <v>3.580838970283718E-2</v>
      </c>
      <c r="W44">
        <v>80.155496400630994</v>
      </c>
      <c r="X44">
        <v>9.621988776192282E-2</v>
      </c>
    </row>
    <row r="45" spans="1:24" x14ac:dyDescent="0.2">
      <c r="A45" t="s">
        <v>165</v>
      </c>
      <c r="B45">
        <v>3196.73</v>
      </c>
      <c r="C45">
        <v>714.11400000000003</v>
      </c>
      <c r="D45">
        <v>793.64200000000005</v>
      </c>
      <c r="E45">
        <v>853.05899999999997</v>
      </c>
      <c r="F45">
        <v>4.0279244294026775</v>
      </c>
      <c r="G45">
        <v>3.7473726905173033</v>
      </c>
      <c r="H45">
        <v>0.11136597237976012</v>
      </c>
      <c r="I45">
        <v>7.4866249518044548E-2</v>
      </c>
      <c r="J45">
        <v>520.84100958251952</v>
      </c>
      <c r="K45">
        <v>0.65626694351170867</v>
      </c>
      <c r="L45">
        <v>243.273</v>
      </c>
      <c r="M45">
        <v>0.30652737632332966</v>
      </c>
      <c r="N45">
        <v>371.935</v>
      </c>
      <c r="O45">
        <v>0.46864329256768161</v>
      </c>
      <c r="P45">
        <v>125.59699999999999</v>
      </c>
      <c r="Q45">
        <v>0.15825397345402586</v>
      </c>
      <c r="R45">
        <v>-128.273</v>
      </c>
      <c r="S45">
        <v>-0.1616257708135406</v>
      </c>
      <c r="T45">
        <v>11.232999999999997</v>
      </c>
      <c r="U45">
        <v>180.89099999999999</v>
      </c>
      <c r="V45">
        <v>0.22792518541105433</v>
      </c>
      <c r="W45">
        <v>-257.473708220025</v>
      </c>
      <c r="X45">
        <v>-0.32442046693600513</v>
      </c>
    </row>
    <row r="46" spans="1:24" x14ac:dyDescent="0.2">
      <c r="A46" t="s">
        <v>167</v>
      </c>
      <c r="B46">
        <v>3202.2395999999999</v>
      </c>
      <c r="C46">
        <v>230.70099999999999</v>
      </c>
      <c r="D46">
        <v>377.52699999999999</v>
      </c>
      <c r="E46">
        <v>452.61400000000003</v>
      </c>
      <c r="F46">
        <v>8.482147237151251</v>
      </c>
      <c r="G46">
        <v>7.0749901682228113</v>
      </c>
      <c r="H46">
        <v>0.63643417237029742</v>
      </c>
      <c r="I46">
        <v>0.19889173489578238</v>
      </c>
      <c r="J46">
        <v>228.32999908447266</v>
      </c>
      <c r="K46">
        <v>0.60480442215913743</v>
      </c>
      <c r="L46">
        <v>37.644999999999996</v>
      </c>
      <c r="M46">
        <v>9.9714722390716423E-2</v>
      </c>
      <c r="N46">
        <v>95.483999999999995</v>
      </c>
      <c r="O46">
        <v>0.25291965872639571</v>
      </c>
      <c r="P46">
        <v>79.251999999999995</v>
      </c>
      <c r="Q46">
        <v>0.20992405841171624</v>
      </c>
      <c r="R46">
        <v>46.511999999999993</v>
      </c>
      <c r="S46">
        <v>0.12320178424324617</v>
      </c>
      <c r="T46">
        <v>58.707999999999998</v>
      </c>
      <c r="U46">
        <v>137.19299999999998</v>
      </c>
      <c r="V46">
        <v>0.36339917409880612</v>
      </c>
      <c r="W46">
        <v>3.8283299999999998</v>
      </c>
      <c r="X46">
        <v>1.0140546239076941E-2</v>
      </c>
    </row>
    <row r="47" spans="1:24" x14ac:dyDescent="0.2">
      <c r="A47" t="s">
        <v>171</v>
      </c>
      <c r="B47">
        <v>2833.0971</v>
      </c>
      <c r="C47">
        <v>604.55700000000002</v>
      </c>
      <c r="D47">
        <v>558.87699999999995</v>
      </c>
      <c r="E47">
        <v>561.4</v>
      </c>
      <c r="F47">
        <v>5.0692676563895098</v>
      </c>
      <c r="G47">
        <v>5.0464857499109375</v>
      </c>
      <c r="H47">
        <v>-7.5559459240402582E-2</v>
      </c>
      <c r="I47">
        <v>4.5144101474923204E-3</v>
      </c>
      <c r="J47">
        <v>322.08900360107418</v>
      </c>
      <c r="K47">
        <v>0.57631465170524854</v>
      </c>
      <c r="L47">
        <v>57.704000000000001</v>
      </c>
      <c r="M47">
        <v>0.10324991008755058</v>
      </c>
      <c r="N47">
        <v>47.481999999999999</v>
      </c>
      <c r="O47">
        <v>8.4959660175673718E-2</v>
      </c>
      <c r="P47">
        <v>46.054000000000002</v>
      </c>
      <c r="Q47">
        <v>8.2404536239637713E-2</v>
      </c>
      <c r="R47">
        <v>152.07</v>
      </c>
      <c r="S47">
        <v>0.27209922755812105</v>
      </c>
      <c r="T47">
        <v>142.90699999999998</v>
      </c>
      <c r="U47">
        <v>125.52199999999999</v>
      </c>
      <c r="V47">
        <v>0.2245968254195467</v>
      </c>
      <c r="W47">
        <v>105.80647999999999</v>
      </c>
      <c r="X47">
        <v>0.18931979666366661</v>
      </c>
    </row>
    <row r="48" spans="1:24" x14ac:dyDescent="0.2">
      <c r="A48" t="s">
        <v>173</v>
      </c>
      <c r="B48">
        <v>2532.3746999999998</v>
      </c>
      <c r="C48">
        <v>197.92500000000001</v>
      </c>
      <c r="D48">
        <v>255.43600000000001</v>
      </c>
      <c r="E48">
        <v>303.84500000000003</v>
      </c>
      <c r="F48">
        <v>9.9139302995662302</v>
      </c>
      <c r="G48">
        <v>8.3344293965673266</v>
      </c>
      <c r="H48">
        <v>0.2905696602248326</v>
      </c>
      <c r="I48">
        <v>0.18951518188509064</v>
      </c>
      <c r="J48">
        <v>196.15400054931641</v>
      </c>
      <c r="K48">
        <v>0.76791838483736197</v>
      </c>
      <c r="L48">
        <v>42.815999999999995</v>
      </c>
      <c r="M48">
        <v>0.16761928623999747</v>
      </c>
      <c r="N48">
        <v>63.854999999999997</v>
      </c>
      <c r="O48">
        <v>0.24998434050016441</v>
      </c>
      <c r="P48">
        <v>35.334000000000003</v>
      </c>
      <c r="Q48">
        <v>0.13832819179755398</v>
      </c>
      <c r="R48">
        <v>67.129000000000005</v>
      </c>
      <c r="S48">
        <v>0.2628016411155828</v>
      </c>
      <c r="T48">
        <v>93.984999999999999</v>
      </c>
      <c r="U48">
        <v>86.590999999999994</v>
      </c>
      <c r="V48">
        <v>0.33899293756557414</v>
      </c>
      <c r="W48">
        <v>42.557038674647998</v>
      </c>
      <c r="X48">
        <v>0.166605485032055</v>
      </c>
    </row>
    <row r="49" spans="1:24" x14ac:dyDescent="0.2">
      <c r="A49" t="s">
        <v>175</v>
      </c>
      <c r="B49">
        <v>3540.5491000000002</v>
      </c>
      <c r="C49">
        <v>1005.701</v>
      </c>
      <c r="D49">
        <v>996.43500000000006</v>
      </c>
      <c r="E49">
        <v>1060</v>
      </c>
      <c r="F49">
        <v>3.553216316167136</v>
      </c>
      <c r="G49">
        <v>3.3401406603773585</v>
      </c>
      <c r="H49">
        <v>-9.2134739848125456E-3</v>
      </c>
      <c r="I49">
        <v>6.3792419977218628E-2</v>
      </c>
      <c r="J49">
        <v>549.45199468994144</v>
      </c>
      <c r="K49">
        <v>0.55141779914388933</v>
      </c>
      <c r="L49">
        <v>136.92099999999999</v>
      </c>
      <c r="M49">
        <v>0.13741086975066108</v>
      </c>
      <c r="N49">
        <v>107.88500000000001</v>
      </c>
      <c r="O49">
        <v>0.10827098606532287</v>
      </c>
      <c r="P49">
        <v>153.03200000000001</v>
      </c>
      <c r="Q49">
        <v>0.15357951095656014</v>
      </c>
      <c r="R49">
        <v>214.69400000000002</v>
      </c>
      <c r="S49">
        <v>0.21546212246659341</v>
      </c>
      <c r="T49">
        <v>138.00200000000001</v>
      </c>
      <c r="U49">
        <v>69.709999999999994</v>
      </c>
      <c r="V49">
        <v>6.9959405279822556E-2</v>
      </c>
      <c r="W49">
        <v>48.026550000000007</v>
      </c>
      <c r="X49">
        <v>4.819837721477066E-2</v>
      </c>
    </row>
    <row r="50" spans="1:24" x14ac:dyDescent="0.2">
      <c r="A50" t="s">
        <v>179</v>
      </c>
      <c r="B50">
        <v>2710.8598999999999</v>
      </c>
      <c r="C50">
        <v>423.12400000000002</v>
      </c>
      <c r="D50">
        <v>519.38200000000006</v>
      </c>
      <c r="E50">
        <v>532.57500000000005</v>
      </c>
      <c r="F50">
        <v>5.2193951657931921</v>
      </c>
      <c r="G50">
        <v>5.0900997981504945</v>
      </c>
      <c r="H50">
        <v>0.22749359525812771</v>
      </c>
      <c r="I50">
        <v>2.540134236457936E-2</v>
      </c>
      <c r="J50">
        <v>372.4000010986328</v>
      </c>
      <c r="K50">
        <v>0.71700598229941115</v>
      </c>
      <c r="L50">
        <v>61.974999999999994</v>
      </c>
      <c r="M50">
        <v>0.11932450489235281</v>
      </c>
      <c r="N50">
        <v>240.27099999999999</v>
      </c>
      <c r="O50">
        <v>0.46260940887439295</v>
      </c>
      <c r="P50">
        <v>84.588999999999999</v>
      </c>
      <c r="Q50">
        <v>0.16286471229268629</v>
      </c>
      <c r="R50">
        <v>15.740000000000002</v>
      </c>
      <c r="S50">
        <v>3.0305247390167545E-2</v>
      </c>
      <c r="T50">
        <v>86.269000000000005</v>
      </c>
      <c r="U50">
        <v>393.57599999999996</v>
      </c>
      <c r="V50">
        <v>0.7577775125052465</v>
      </c>
      <c r="W50">
        <v>-40.478999999999999</v>
      </c>
      <c r="X50">
        <v>-7.793685572468817E-2</v>
      </c>
    </row>
    <row r="51" spans="1:24" x14ac:dyDescent="0.2">
      <c r="A51" t="s">
        <v>181</v>
      </c>
      <c r="B51">
        <v>2781.2797</v>
      </c>
      <c r="C51">
        <v>343.274</v>
      </c>
      <c r="D51">
        <v>394.09599999999995</v>
      </c>
      <c r="E51">
        <v>427.56700000000001</v>
      </c>
      <c r="F51">
        <v>7.0573659717429269</v>
      </c>
      <c r="G51">
        <v>6.5048979458190175</v>
      </c>
      <c r="H51">
        <v>0.14805082820137833</v>
      </c>
      <c r="I51">
        <v>8.4931082781860345E-2</v>
      </c>
      <c r="J51">
        <v>220.96600073242186</v>
      </c>
      <c r="K51">
        <v>0.56069079800967758</v>
      </c>
      <c r="L51">
        <v>57.309999999999995</v>
      </c>
      <c r="M51">
        <v>0.14542142016158499</v>
      </c>
      <c r="N51">
        <v>85.912000000000006</v>
      </c>
      <c r="O51">
        <v>0.2179976452437985</v>
      </c>
      <c r="P51">
        <v>49.837000000000003</v>
      </c>
      <c r="Q51">
        <v>0.12645903536194231</v>
      </c>
      <c r="R51">
        <v>54.477999999999994</v>
      </c>
      <c r="S51">
        <v>0.13823535382241892</v>
      </c>
      <c r="T51">
        <v>56.217000000000006</v>
      </c>
      <c r="U51">
        <v>124.613</v>
      </c>
      <c r="V51">
        <v>0.31619960618732496</v>
      </c>
      <c r="W51">
        <v>4.2689791113369981</v>
      </c>
      <c r="X51">
        <v>1.0832333013623581E-2</v>
      </c>
    </row>
    <row r="52" spans="1:24" x14ac:dyDescent="0.2">
      <c r="A52" t="s">
        <v>183</v>
      </c>
      <c r="B52">
        <v>2538.9832999999999</v>
      </c>
      <c r="C52">
        <v>360.28500000000003</v>
      </c>
      <c r="D52">
        <v>462.851</v>
      </c>
      <c r="E52">
        <v>534.75</v>
      </c>
      <c r="F52">
        <v>5.4855305487078994</v>
      </c>
      <c r="G52">
        <v>4.7479818606825619</v>
      </c>
      <c r="H52">
        <v>0.28468018374342524</v>
      </c>
      <c r="I52">
        <v>0.15533940728225715</v>
      </c>
      <c r="J52">
        <v>273.98900335693361</v>
      </c>
      <c r="K52">
        <v>0.59195940671389624</v>
      </c>
      <c r="L52">
        <v>69.265999999999991</v>
      </c>
      <c r="M52">
        <v>0.14965075153775187</v>
      </c>
      <c r="N52">
        <v>65.042000000000002</v>
      </c>
      <c r="O52">
        <v>0.14052470449453497</v>
      </c>
      <c r="P52">
        <v>79.686000000000007</v>
      </c>
      <c r="Q52">
        <v>0.17216339599568761</v>
      </c>
      <c r="R52">
        <v>85.867999999999995</v>
      </c>
      <c r="S52">
        <v>0.1855197460953957</v>
      </c>
      <c r="T52">
        <v>30.468</v>
      </c>
      <c r="U52">
        <v>137.69800000000001</v>
      </c>
      <c r="V52">
        <v>0.29749962730986862</v>
      </c>
      <c r="W52">
        <v>19.337490000000003</v>
      </c>
      <c r="X52">
        <v>4.177908225325213E-2</v>
      </c>
    </row>
    <row r="53" spans="1:24" x14ac:dyDescent="0.2">
      <c r="A53" t="s">
        <v>185</v>
      </c>
      <c r="B53">
        <v>2584.7898</v>
      </c>
      <c r="C53">
        <v>302.70400000000001</v>
      </c>
      <c r="D53">
        <v>554.70800000000008</v>
      </c>
      <c r="E53">
        <v>668.68299999999999</v>
      </c>
      <c r="F53">
        <v>4.6597305248887695</v>
      </c>
      <c r="G53">
        <v>3.8654935148642928</v>
      </c>
      <c r="H53">
        <v>0.83250964638723002</v>
      </c>
      <c r="I53">
        <v>0.20546846268667451</v>
      </c>
      <c r="J53">
        <v>403.28800524902346</v>
      </c>
      <c r="K53">
        <v>0.72702756269789404</v>
      </c>
      <c r="L53">
        <v>136.791</v>
      </c>
      <c r="M53">
        <v>0.24660001297980194</v>
      </c>
      <c r="N53">
        <v>303.31900000000002</v>
      </c>
      <c r="O53">
        <v>0.54680841091168686</v>
      </c>
      <c r="P53">
        <v>84.805000000000007</v>
      </c>
      <c r="Q53">
        <v>0.15288223714098229</v>
      </c>
      <c r="R53">
        <v>-104.10600000000001</v>
      </c>
      <c r="S53">
        <v>-0.18767712021459937</v>
      </c>
      <c r="T53">
        <v>53.064000000000007</v>
      </c>
      <c r="U53">
        <v>208.07599999999999</v>
      </c>
      <c r="V53">
        <v>0.37510906639168706</v>
      </c>
      <c r="W53">
        <v>-150.31100000000001</v>
      </c>
      <c r="X53">
        <v>-0.27097319670889908</v>
      </c>
    </row>
    <row r="54" spans="1:24" x14ac:dyDescent="0.2">
      <c r="A54" t="s">
        <v>187</v>
      </c>
      <c r="B54">
        <v>2961.8824</v>
      </c>
      <c r="C54">
        <v>124.371</v>
      </c>
      <c r="D54">
        <v>187.727</v>
      </c>
      <c r="E54">
        <v>294.17700000000002</v>
      </c>
      <c r="F54">
        <v>15.777604713227186</v>
      </c>
      <c r="G54">
        <v>10.068368363264293</v>
      </c>
      <c r="H54">
        <v>0.50941135795322068</v>
      </c>
      <c r="I54">
        <v>0.56704682863946054</v>
      </c>
      <c r="J54">
        <v>162.13900000000001</v>
      </c>
      <c r="K54">
        <v>0.86369568575644429</v>
      </c>
      <c r="L54">
        <v>57.672999999999995</v>
      </c>
      <c r="M54">
        <v>0.30721739547321375</v>
      </c>
      <c r="N54">
        <v>116.29900000000001</v>
      </c>
      <c r="O54">
        <v>0.61951131163870943</v>
      </c>
      <c r="P54">
        <v>28.927</v>
      </c>
      <c r="Q54">
        <v>0.15409078076142482</v>
      </c>
      <c r="R54">
        <v>-36.067999999999998</v>
      </c>
      <c r="S54">
        <v>-0.19213006120590004</v>
      </c>
      <c r="T54">
        <v>-9.0210000000000008</v>
      </c>
      <c r="U54">
        <v>27.209999999999997</v>
      </c>
      <c r="V54">
        <v>0.14494452050051404</v>
      </c>
      <c r="W54">
        <v>-41.021999999999998</v>
      </c>
      <c r="X54">
        <v>-0.21851944579096239</v>
      </c>
    </row>
    <row r="55" spans="1:24" x14ac:dyDescent="0.2">
      <c r="A55" t="s">
        <v>189</v>
      </c>
      <c r="B55">
        <v>2363.1176</v>
      </c>
      <c r="C55">
        <v>85.79</v>
      </c>
      <c r="D55">
        <v>162.35999999999999</v>
      </c>
      <c r="E55">
        <v>224.28800000000001</v>
      </c>
      <c r="F55">
        <v>14.554801675289482</v>
      </c>
      <c r="G55">
        <v>10.536085746896847</v>
      </c>
      <c r="H55">
        <v>0.89252826669774998</v>
      </c>
      <c r="I55">
        <v>0.3814239960581427</v>
      </c>
      <c r="J55">
        <v>140.40400271606444</v>
      </c>
      <c r="K55">
        <v>0.86476966442513215</v>
      </c>
      <c r="L55">
        <v>29.341999999999999</v>
      </c>
      <c r="M55">
        <v>0.1807218526730722</v>
      </c>
      <c r="N55">
        <v>66.42</v>
      </c>
      <c r="O55">
        <v>0.40909090909090912</v>
      </c>
      <c r="P55">
        <v>32.241</v>
      </c>
      <c r="Q55">
        <v>0.19857723577235775</v>
      </c>
      <c r="R55">
        <v>-13.546000000000001</v>
      </c>
      <c r="S55">
        <v>-8.3431879773343209E-2</v>
      </c>
      <c r="T55">
        <v>16.873000000000001</v>
      </c>
      <c r="U55">
        <v>119.71599999999999</v>
      </c>
      <c r="V55">
        <v>0.73734910076373494</v>
      </c>
      <c r="W55">
        <v>-19.666589999999999</v>
      </c>
      <c r="X55">
        <v>-0.12112952697708795</v>
      </c>
    </row>
    <row r="56" spans="1:24" x14ac:dyDescent="0.2">
      <c r="A56" t="s">
        <v>191</v>
      </c>
      <c r="B56">
        <v>2249.4695999999999</v>
      </c>
      <c r="C56">
        <v>595.12599999999998</v>
      </c>
      <c r="D56">
        <v>709.59799999999996</v>
      </c>
      <c r="E56">
        <v>761.19500000000005</v>
      </c>
      <c r="F56">
        <v>3.1700619223842232</v>
      </c>
      <c r="G56">
        <v>2.955181786533017</v>
      </c>
      <c r="H56">
        <v>0.19234918319817987</v>
      </c>
      <c r="I56">
        <v>7.2713000882189682E-2</v>
      </c>
      <c r="J56">
        <v>605.50099267578128</v>
      </c>
      <c r="K56">
        <v>0.85330143641298495</v>
      </c>
      <c r="L56">
        <v>94.164000000000001</v>
      </c>
      <c r="M56">
        <v>0.13270048675447227</v>
      </c>
      <c r="N56">
        <v>410.72699999999998</v>
      </c>
      <c r="O56">
        <v>0.57881645664164783</v>
      </c>
      <c r="P56">
        <v>87.575000000000003</v>
      </c>
      <c r="Q56">
        <v>0.12341494761822892</v>
      </c>
      <c r="R56">
        <v>20.122</v>
      </c>
      <c r="S56">
        <v>2.8356900667701995E-2</v>
      </c>
      <c r="T56">
        <v>88.67</v>
      </c>
      <c r="U56">
        <v>330.78399999999999</v>
      </c>
      <c r="V56">
        <v>0.46615689446700809</v>
      </c>
      <c r="W56">
        <v>-7.6881895614599998</v>
      </c>
      <c r="X56">
        <v>-1.0834570505356555E-2</v>
      </c>
    </row>
    <row r="57" spans="1:24" x14ac:dyDescent="0.2">
      <c r="A57" t="s">
        <v>195</v>
      </c>
      <c r="B57">
        <v>2121.9027000000001</v>
      </c>
      <c r="C57">
        <v>216.613</v>
      </c>
      <c r="D57">
        <v>294.68199999999996</v>
      </c>
      <c r="E57">
        <v>349.25299999999999</v>
      </c>
      <c r="F57">
        <v>7.2006525678528055</v>
      </c>
      <c r="G57">
        <v>6.0755460940922488</v>
      </c>
      <c r="H57">
        <v>0.36040773176125146</v>
      </c>
      <c r="I57">
        <v>0.1851860649785193</v>
      </c>
      <c r="J57">
        <v>249.10499847412109</v>
      </c>
      <c r="K57">
        <v>0.84533496607909919</v>
      </c>
      <c r="L57">
        <v>42.388999999999996</v>
      </c>
      <c r="M57">
        <v>0.14384658716854101</v>
      </c>
      <c r="N57">
        <v>126.739</v>
      </c>
      <c r="O57">
        <v>0.43008734839589802</v>
      </c>
      <c r="P57">
        <v>30.399000000000001</v>
      </c>
      <c r="Q57">
        <v>0.10315865916479461</v>
      </c>
      <c r="R57">
        <v>33.942999999999998</v>
      </c>
      <c r="S57">
        <v>0.11518518267148996</v>
      </c>
      <c r="T57">
        <v>115.262</v>
      </c>
      <c r="U57">
        <v>161.261</v>
      </c>
      <c r="V57">
        <v>0.54723736095180575</v>
      </c>
      <c r="W57">
        <v>27.055742028858003</v>
      </c>
      <c r="X57">
        <v>9.1813351439375343E-2</v>
      </c>
    </row>
    <row r="58" spans="1:24" x14ac:dyDescent="0.2">
      <c r="A58" t="s">
        <v>197</v>
      </c>
      <c r="B58">
        <v>2344.0949000000001</v>
      </c>
      <c r="C58">
        <v>313.24</v>
      </c>
      <c r="D58">
        <v>362.10199999999998</v>
      </c>
      <c r="E58">
        <v>403.58300000000003</v>
      </c>
      <c r="F58">
        <v>6.473576229902072</v>
      </c>
      <c r="G58">
        <v>5.8082102070701689</v>
      </c>
      <c r="H58">
        <v>0.15598901800536319</v>
      </c>
      <c r="I58">
        <v>0.11455611954642619</v>
      </c>
      <c r="J58">
        <v>250.68500076293947</v>
      </c>
      <c r="K58">
        <v>0.69230493276187233</v>
      </c>
      <c r="L58">
        <v>93.233999999999995</v>
      </c>
      <c r="M58">
        <v>0.25747993659245183</v>
      </c>
      <c r="N58">
        <v>79.957999999999998</v>
      </c>
      <c r="O58">
        <v>0.22081623409978404</v>
      </c>
      <c r="P58">
        <v>87.978999999999999</v>
      </c>
      <c r="Q58">
        <v>0.24296745116017035</v>
      </c>
      <c r="R58">
        <v>-3.4740000000000002</v>
      </c>
      <c r="S58">
        <v>-9.5939818062313938E-3</v>
      </c>
      <c r="T58">
        <v>32.57</v>
      </c>
      <c r="U58">
        <v>39.213000000000001</v>
      </c>
      <c r="V58">
        <v>0.1082926910097155</v>
      </c>
      <c r="W58">
        <v>-84.54</v>
      </c>
      <c r="X58">
        <v>-0.23347012720172772</v>
      </c>
    </row>
    <row r="59" spans="1:24" x14ac:dyDescent="0.2">
      <c r="A59" t="s">
        <v>201</v>
      </c>
      <c r="B59">
        <v>2499.6136000000001</v>
      </c>
      <c r="C59">
        <v>40.750999999999998</v>
      </c>
      <c r="D59">
        <v>111.253</v>
      </c>
      <c r="E59">
        <v>195.833</v>
      </c>
      <c r="F59">
        <v>22.467830979838748</v>
      </c>
      <c r="G59">
        <v>12.764006066393305</v>
      </c>
      <c r="H59">
        <v>1.7300679737920546</v>
      </c>
      <c r="I59">
        <v>0.76024916182035529</v>
      </c>
      <c r="J59">
        <v>89.570999999999998</v>
      </c>
      <c r="K59">
        <v>0.80511087341464949</v>
      </c>
      <c r="L59">
        <v>37.589999999999996</v>
      </c>
      <c r="M59">
        <v>0.3378785291183159</v>
      </c>
      <c r="N59">
        <v>72.924999999999997</v>
      </c>
      <c r="O59">
        <v>0.65548794189819592</v>
      </c>
      <c r="P59">
        <v>28.033999999999999</v>
      </c>
      <c r="Q59">
        <v>0.25198421615596883</v>
      </c>
      <c r="R59">
        <v>-44.902000000000001</v>
      </c>
      <c r="S59">
        <v>-0.40360259948046345</v>
      </c>
      <c r="T59">
        <v>-19.587</v>
      </c>
      <c r="U59">
        <v>58.157999999999994</v>
      </c>
      <c r="V59">
        <v>0.52275444257682935</v>
      </c>
      <c r="W59">
        <v>-49.106000000000002</v>
      </c>
      <c r="X59">
        <v>-0.44139034453003517</v>
      </c>
    </row>
    <row r="60" spans="1:24" x14ac:dyDescent="0.2">
      <c r="A60" t="s">
        <v>205</v>
      </c>
      <c r="B60">
        <v>2399.3838999999998</v>
      </c>
      <c r="C60">
        <v>184.99299999999999</v>
      </c>
      <c r="D60">
        <v>259.76499999999999</v>
      </c>
      <c r="E60">
        <v>290.03199999999998</v>
      </c>
      <c r="F60">
        <v>9.2367482147325468</v>
      </c>
      <c r="G60">
        <v>8.2728247227892098</v>
      </c>
      <c r="H60">
        <v>0.40418826658305984</v>
      </c>
      <c r="I60">
        <v>0.11651685176986892</v>
      </c>
      <c r="J60">
        <v>189.24499960327148</v>
      </c>
      <c r="K60">
        <v>0.72852385657525642</v>
      </c>
      <c r="L60">
        <v>41.803999999999995</v>
      </c>
      <c r="M60">
        <v>0.16093007141069812</v>
      </c>
      <c r="N60">
        <v>33.128</v>
      </c>
      <c r="O60">
        <v>0.12753065270532982</v>
      </c>
      <c r="P60">
        <v>25.448</v>
      </c>
      <c r="Q60">
        <v>9.7965468789097843E-2</v>
      </c>
      <c r="R60">
        <v>83.233999999999995</v>
      </c>
      <c r="S60">
        <v>0.3204203799588089</v>
      </c>
      <c r="T60">
        <v>71.663000000000011</v>
      </c>
      <c r="U60">
        <v>35.144999999999996</v>
      </c>
      <c r="V60">
        <v>0.13529536311666313</v>
      </c>
      <c r="W60">
        <v>31.351610000000001</v>
      </c>
      <c r="X60">
        <v>0.12069220256770544</v>
      </c>
    </row>
    <row r="61" spans="1:24" x14ac:dyDescent="0.2">
      <c r="A61" t="s">
        <v>207</v>
      </c>
      <c r="B61">
        <v>2165.1192999999998</v>
      </c>
      <c r="C61">
        <v>123.123</v>
      </c>
      <c r="D61">
        <v>202.84200000000001</v>
      </c>
      <c r="E61">
        <v>246.78800000000001</v>
      </c>
      <c r="F61">
        <v>10.673920095443743</v>
      </c>
      <c r="G61">
        <v>8.7731952120848646</v>
      </c>
      <c r="H61">
        <v>0.64747447674276948</v>
      </c>
      <c r="I61">
        <v>0.21665138383569471</v>
      </c>
      <c r="J61">
        <v>157.49099987792968</v>
      </c>
      <c r="K61">
        <v>0.77642204217040689</v>
      </c>
      <c r="L61">
        <v>23.873999999999999</v>
      </c>
      <c r="M61">
        <v>0.11769751826544797</v>
      </c>
      <c r="N61">
        <v>109.77500000000001</v>
      </c>
      <c r="O61">
        <v>0.54118476449650466</v>
      </c>
      <c r="P61">
        <v>36.956000000000003</v>
      </c>
      <c r="Q61">
        <v>0.18219106496682147</v>
      </c>
      <c r="R61">
        <v>-13.472000000000001</v>
      </c>
      <c r="S61">
        <v>-6.6416225436546669E-2</v>
      </c>
      <c r="T61">
        <v>9.2060000000000013</v>
      </c>
      <c r="U61">
        <v>31.103999999999999</v>
      </c>
      <c r="V61">
        <v>0.15334102404827402</v>
      </c>
      <c r="W61">
        <v>-33.920332731689001</v>
      </c>
      <c r="X61">
        <v>-0.16722539085440391</v>
      </c>
    </row>
    <row r="62" spans="1:24" x14ac:dyDescent="0.2">
      <c r="A62" t="s">
        <v>211</v>
      </c>
      <c r="B62">
        <v>2527.3155999999999</v>
      </c>
      <c r="C62">
        <v>167.42599999999999</v>
      </c>
      <c r="D62">
        <v>213.15899999999999</v>
      </c>
      <c r="E62">
        <v>282.81</v>
      </c>
      <c r="F62">
        <v>11.85648084293884</v>
      </c>
      <c r="G62">
        <v>8.9364435486722531</v>
      </c>
      <c r="H62">
        <v>0.27315351259660992</v>
      </c>
      <c r="I62">
        <v>0.32675608348697449</v>
      </c>
      <c r="J62">
        <v>155.18199999999999</v>
      </c>
      <c r="K62">
        <v>0.72801054611815585</v>
      </c>
      <c r="L62">
        <v>41.263999999999996</v>
      </c>
      <c r="M62">
        <v>0.19358319376615576</v>
      </c>
      <c r="N62">
        <v>133.79400000000001</v>
      </c>
      <c r="O62">
        <v>0.62767230095843951</v>
      </c>
      <c r="P62">
        <v>34.286000000000001</v>
      </c>
      <c r="Q62">
        <v>0.16084706721273792</v>
      </c>
      <c r="R62">
        <v>-43.302999999999997</v>
      </c>
      <c r="S62">
        <v>-0.20314882317894153</v>
      </c>
      <c r="T62">
        <v>-17.495999999999999</v>
      </c>
      <c r="U62">
        <v>14.074999999999999</v>
      </c>
      <c r="V62">
        <v>6.6030521817047369E-2</v>
      </c>
      <c r="W62">
        <v>-55.233550000000001</v>
      </c>
      <c r="X62">
        <v>-0.25911901444461649</v>
      </c>
    </row>
    <row r="63" spans="1:24" x14ac:dyDescent="0.2">
      <c r="A63" t="s">
        <v>213</v>
      </c>
      <c r="B63">
        <v>2086.6887999999999</v>
      </c>
      <c r="C63">
        <v>261.10599999999999</v>
      </c>
      <c r="D63">
        <v>375.99900000000002</v>
      </c>
      <c r="E63">
        <v>410.81200000000001</v>
      </c>
      <c r="F63">
        <v>5.5497190152101465</v>
      </c>
      <c r="G63">
        <v>5.0794251385061777</v>
      </c>
      <c r="H63">
        <v>0.44002435792360201</v>
      </c>
      <c r="I63">
        <v>9.2588012202160064E-2</v>
      </c>
      <c r="J63">
        <v>251.41600036621094</v>
      </c>
      <c r="K63">
        <v>0.66866135379671465</v>
      </c>
      <c r="L63">
        <v>72.754999999999995</v>
      </c>
      <c r="M63">
        <v>0.19349785504748682</v>
      </c>
      <c r="N63">
        <v>43.49</v>
      </c>
      <c r="O63">
        <v>0.11566520123723734</v>
      </c>
      <c r="P63">
        <v>55.396000000000001</v>
      </c>
      <c r="Q63">
        <v>0.14733017906962517</v>
      </c>
      <c r="R63">
        <v>78.801000000000002</v>
      </c>
      <c r="S63">
        <v>0.2095776850470347</v>
      </c>
      <c r="T63">
        <v>41.491</v>
      </c>
      <c r="U63">
        <v>96.328999999999994</v>
      </c>
      <c r="V63">
        <v>0.25619483030539969</v>
      </c>
      <c r="W63">
        <v>54.195191958732003</v>
      </c>
      <c r="X63">
        <v>0.14413653216825575</v>
      </c>
    </row>
    <row r="64" spans="1:24" x14ac:dyDescent="0.2">
      <c r="A64" t="s">
        <v>215</v>
      </c>
      <c r="B64">
        <v>1642.0148999999999</v>
      </c>
      <c r="C64">
        <v>166.048</v>
      </c>
      <c r="D64">
        <v>411.06400000000002</v>
      </c>
      <c r="E64">
        <v>487.03300000000002</v>
      </c>
      <c r="F64">
        <v>3.9945480509117797</v>
      </c>
      <c r="G64">
        <v>3.3714653832491841</v>
      </c>
      <c r="H64">
        <v>1.4755733281942571</v>
      </c>
      <c r="I64">
        <v>0.18481063775957018</v>
      </c>
      <c r="J64">
        <v>279.62800469970705</v>
      </c>
      <c r="K64">
        <v>0.68025418110004043</v>
      </c>
      <c r="L64">
        <v>215.69499999999999</v>
      </c>
      <c r="M64">
        <v>0.52472364400677263</v>
      </c>
      <c r="N64">
        <v>298.46699999999998</v>
      </c>
      <c r="O64">
        <v>0.72608401611427897</v>
      </c>
      <c r="P64">
        <v>85.539000000000001</v>
      </c>
      <c r="Q64">
        <v>0.20809168402000661</v>
      </c>
      <c r="R64">
        <v>-176.494</v>
      </c>
      <c r="S64">
        <v>-0.42935893194247121</v>
      </c>
      <c r="T64">
        <v>-42.265000000000001</v>
      </c>
      <c r="U64">
        <v>43.247</v>
      </c>
      <c r="V64">
        <v>0.10520746161181713</v>
      </c>
      <c r="W64">
        <v>-184.54894999999999</v>
      </c>
      <c r="X64">
        <v>-0.44895429908724671</v>
      </c>
    </row>
    <row r="65" spans="1:24" x14ac:dyDescent="0.2">
      <c r="A65" t="s">
        <v>217</v>
      </c>
      <c r="B65">
        <v>2066.1927000000001</v>
      </c>
      <c r="C65">
        <v>162.09</v>
      </c>
      <c r="D65">
        <v>225.50900000000001</v>
      </c>
      <c r="E65">
        <v>266.108</v>
      </c>
      <c r="F65">
        <v>9.1623513917404615</v>
      </c>
      <c r="G65">
        <v>7.7644892299367179</v>
      </c>
      <c r="H65">
        <v>0.39125794311802092</v>
      </c>
      <c r="I65">
        <v>0.18003272596659103</v>
      </c>
      <c r="J65">
        <v>133.13299966430662</v>
      </c>
      <c r="K65">
        <v>0.59036668010725346</v>
      </c>
      <c r="L65">
        <v>27.119999999999997</v>
      </c>
      <c r="M65">
        <v>0.12026127560319098</v>
      </c>
      <c r="N65">
        <v>66.569999999999993</v>
      </c>
      <c r="O65">
        <v>0.29519886124278849</v>
      </c>
      <c r="P65">
        <v>29.151</v>
      </c>
      <c r="Q65">
        <v>0.12926756803497863</v>
      </c>
      <c r="R65">
        <v>10.643000000000001</v>
      </c>
      <c r="S65">
        <v>4.7195455613744906E-2</v>
      </c>
      <c r="T65">
        <v>20.688000000000002</v>
      </c>
      <c r="U65">
        <v>68.947000000000003</v>
      </c>
      <c r="V65">
        <v>0.30573946050933665</v>
      </c>
      <c r="W65">
        <v>-2.3560000000000003</v>
      </c>
      <c r="X65">
        <v>-1.0447476597386358E-2</v>
      </c>
    </row>
    <row r="66" spans="1:24" x14ac:dyDescent="0.2">
      <c r="A66" t="s">
        <v>219</v>
      </c>
      <c r="B66">
        <v>2059.2656000000002</v>
      </c>
      <c r="C66">
        <v>150.22399999999999</v>
      </c>
      <c r="D66">
        <v>215.20100000000002</v>
      </c>
      <c r="E66">
        <v>265.75200000000001</v>
      </c>
      <c r="F66">
        <v>9.5690336011449766</v>
      </c>
      <c r="G66">
        <v>7.7488244679249831</v>
      </c>
      <c r="H66">
        <v>0.43253408243689451</v>
      </c>
      <c r="I66">
        <v>0.2349013248079701</v>
      </c>
      <c r="J66">
        <v>106.53599938964844</v>
      </c>
      <c r="K66">
        <v>0.49505345881129004</v>
      </c>
      <c r="L66">
        <v>40.338000000000001</v>
      </c>
      <c r="M66">
        <v>0.18744336689885269</v>
      </c>
      <c r="N66">
        <v>41.17</v>
      </c>
      <c r="O66">
        <v>0.19130951993717502</v>
      </c>
      <c r="P66">
        <v>37.179000000000002</v>
      </c>
      <c r="Q66">
        <v>0.17276406708147266</v>
      </c>
      <c r="R66">
        <v>-7.5960000000000001</v>
      </c>
      <c r="S66">
        <v>-3.5297233748913803E-2</v>
      </c>
      <c r="T66">
        <v>-8.8409999999999993</v>
      </c>
      <c r="U66">
        <v>57.960999999999999</v>
      </c>
      <c r="V66">
        <v>0.26933425030552827</v>
      </c>
      <c r="W66">
        <v>-24.3462</v>
      </c>
      <c r="X66">
        <v>-0.11313237392019553</v>
      </c>
    </row>
    <row r="67" spans="1:24" x14ac:dyDescent="0.2">
      <c r="A67" t="s">
        <v>223</v>
      </c>
      <c r="B67">
        <v>1905.4384</v>
      </c>
      <c r="C67">
        <v>141.84100000000001</v>
      </c>
      <c r="D67">
        <v>282.14300000000003</v>
      </c>
      <c r="E67">
        <v>349.18299999999999</v>
      </c>
      <c r="F67">
        <v>6.7534491374941066</v>
      </c>
      <c r="G67">
        <v>5.4568475555797393</v>
      </c>
      <c r="H67">
        <v>0.98914982268878537</v>
      </c>
      <c r="I67">
        <v>0.23761000627341433</v>
      </c>
      <c r="J67">
        <v>206.71999600219726</v>
      </c>
      <c r="K67">
        <v>0.73267809586697963</v>
      </c>
      <c r="L67">
        <v>38.372999999999998</v>
      </c>
      <c r="M67">
        <v>0.13600550075670845</v>
      </c>
      <c r="N67">
        <v>121.246</v>
      </c>
      <c r="O67">
        <v>0.42973244064180216</v>
      </c>
      <c r="P67">
        <v>36.988999999999997</v>
      </c>
      <c r="Q67">
        <v>0.13110018678471552</v>
      </c>
      <c r="R67">
        <v>17.619</v>
      </c>
      <c r="S67">
        <v>6.2447056988831899E-2</v>
      </c>
      <c r="T67">
        <v>19.605</v>
      </c>
      <c r="U67">
        <v>78.338999999999999</v>
      </c>
      <c r="V67">
        <v>0.27765707460401284</v>
      </c>
      <c r="W67">
        <v>-11.200076829023001</v>
      </c>
      <c r="X67">
        <v>-3.9696454737572787E-2</v>
      </c>
    </row>
    <row r="68" spans="1:24" x14ac:dyDescent="0.2">
      <c r="A68" t="s">
        <v>225</v>
      </c>
      <c r="B68">
        <v>2014.3187</v>
      </c>
      <c r="C68">
        <v>105.586</v>
      </c>
      <c r="D68">
        <v>165.38</v>
      </c>
      <c r="E68">
        <v>205.85</v>
      </c>
      <c r="F68">
        <v>12.179941347200387</v>
      </c>
      <c r="G68">
        <v>9.7853713869322334</v>
      </c>
      <c r="H68">
        <v>0.56630613907146776</v>
      </c>
      <c r="I68">
        <v>0.24470915467408383</v>
      </c>
      <c r="J68">
        <v>102.44899972534179</v>
      </c>
      <c r="K68">
        <v>0.6194763558189732</v>
      </c>
      <c r="L68">
        <v>16.577999999999999</v>
      </c>
      <c r="M68">
        <v>0.10024186721489901</v>
      </c>
      <c r="N68">
        <v>28.709</v>
      </c>
      <c r="O68">
        <v>0.17359414681339944</v>
      </c>
      <c r="P68">
        <v>21.199000000000002</v>
      </c>
      <c r="Q68">
        <v>0.12818357721610837</v>
      </c>
      <c r="R68">
        <v>31.149000000000001</v>
      </c>
      <c r="S68">
        <v>0.18834804692223969</v>
      </c>
      <c r="T68">
        <v>30.143000000000001</v>
      </c>
      <c r="U68">
        <v>16.109000000000002</v>
      </c>
      <c r="V68">
        <v>9.7405974120208016E-2</v>
      </c>
      <c r="W68">
        <v>18.071339999999999</v>
      </c>
      <c r="X68">
        <v>0.1092716168823316</v>
      </c>
    </row>
    <row r="69" spans="1:24" x14ac:dyDescent="0.2">
      <c r="A69" t="s">
        <v>227</v>
      </c>
      <c r="B69">
        <v>2202.7654000000002</v>
      </c>
      <c r="C69">
        <v>92.183999999999997</v>
      </c>
      <c r="D69">
        <v>167.92599999999999</v>
      </c>
      <c r="E69">
        <v>255.9</v>
      </c>
      <c r="F69">
        <v>13.117476745709421</v>
      </c>
      <c r="G69">
        <v>8.6079148104728418</v>
      </c>
      <c r="H69">
        <v>0.82163933003558087</v>
      </c>
      <c r="I69">
        <v>0.52388552100329933</v>
      </c>
      <c r="J69">
        <v>88.019999999999982</v>
      </c>
      <c r="K69">
        <v>0.52415945118683227</v>
      </c>
      <c r="L69">
        <v>38.638999999999996</v>
      </c>
      <c r="M69">
        <v>0.23009539916391744</v>
      </c>
      <c r="N69">
        <v>73.087000000000003</v>
      </c>
      <c r="O69">
        <v>0.43523337660636235</v>
      </c>
      <c r="P69">
        <v>22.571999999999999</v>
      </c>
      <c r="Q69">
        <v>0.13441635005895455</v>
      </c>
      <c r="R69">
        <v>-39.728000000000002</v>
      </c>
      <c r="S69">
        <v>-0.23658039850886703</v>
      </c>
      <c r="T69">
        <v>-29.518000000000001</v>
      </c>
      <c r="U69">
        <v>48.207999999999998</v>
      </c>
      <c r="V69">
        <v>0.28707883234281767</v>
      </c>
      <c r="W69">
        <v>-47.155000000000001</v>
      </c>
      <c r="X69">
        <v>-0.28080821314150284</v>
      </c>
    </row>
    <row r="70" spans="1:24" x14ac:dyDescent="0.2">
      <c r="A70" t="s">
        <v>229</v>
      </c>
      <c r="B70">
        <v>1544.9141</v>
      </c>
      <c r="C70">
        <v>264.45499999999998</v>
      </c>
      <c r="D70">
        <v>344.017</v>
      </c>
      <c r="E70">
        <v>369.76900000000001</v>
      </c>
      <c r="F70">
        <v>4.4908074310281174</v>
      </c>
      <c r="G70">
        <v>4.1780519729885413</v>
      </c>
      <c r="H70">
        <v>0.30085269705620998</v>
      </c>
      <c r="I70">
        <v>7.4856765799364622E-2</v>
      </c>
      <c r="J70">
        <v>274.43599694824218</v>
      </c>
      <c r="K70">
        <v>0.79773963771628198</v>
      </c>
      <c r="L70">
        <v>63.451999999999998</v>
      </c>
      <c r="M70">
        <v>0.1844443733885244</v>
      </c>
      <c r="N70">
        <v>152.178</v>
      </c>
      <c r="O70">
        <v>0.44235604635817416</v>
      </c>
      <c r="P70">
        <v>54.435000000000002</v>
      </c>
      <c r="Q70">
        <v>0.15823345939299513</v>
      </c>
      <c r="R70">
        <v>7.0558987341769992</v>
      </c>
      <c r="S70">
        <v>2.0510319938192006E-2</v>
      </c>
      <c r="T70">
        <v>76.452000000000012</v>
      </c>
      <c r="U70">
        <v>192.53799999999998</v>
      </c>
      <c r="V70">
        <v>0.55967582997351872</v>
      </c>
      <c r="W70">
        <v>-22.831899999999997</v>
      </c>
      <c r="X70">
        <v>-6.636852248580738E-2</v>
      </c>
    </row>
    <row r="71" spans="1:24" x14ac:dyDescent="0.2">
      <c r="A71" t="s">
        <v>241</v>
      </c>
      <c r="B71">
        <v>1637.1987999999999</v>
      </c>
      <c r="C71">
        <v>164.45599999999999</v>
      </c>
      <c r="D71">
        <v>242.52799999999999</v>
      </c>
      <c r="E71">
        <v>285.279</v>
      </c>
      <c r="F71">
        <v>6.7505558121124158</v>
      </c>
      <c r="G71">
        <v>5.7389390736787496</v>
      </c>
      <c r="H71">
        <v>0.47472880284088148</v>
      </c>
      <c r="I71">
        <v>0.1762724303997889</v>
      </c>
      <c r="J71">
        <v>218.322998046875</v>
      </c>
      <c r="K71">
        <v>0.90019708259201003</v>
      </c>
      <c r="L71">
        <v>47.369</v>
      </c>
      <c r="M71">
        <v>0.19531353080881383</v>
      </c>
      <c r="N71">
        <v>135.89599999999999</v>
      </c>
      <c r="O71">
        <v>0.56033117825570655</v>
      </c>
      <c r="P71">
        <v>26.823</v>
      </c>
      <c r="Q71">
        <v>0.11059753925319964</v>
      </c>
      <c r="R71">
        <v>-20.379999999999995</v>
      </c>
      <c r="S71">
        <v>-8.4031534503232599E-2</v>
      </c>
      <c r="T71">
        <v>16.852999999999998</v>
      </c>
      <c r="U71">
        <v>56.689</v>
      </c>
      <c r="V71">
        <v>0.23374208338830982</v>
      </c>
      <c r="W71">
        <v>-25.522279999999999</v>
      </c>
      <c r="X71">
        <v>-0.10523436469191186</v>
      </c>
    </row>
    <row r="72" spans="1:24" x14ac:dyDescent="0.2">
      <c r="A72" t="s">
        <v>243</v>
      </c>
      <c r="B72">
        <v>1797.1029000000001</v>
      </c>
      <c r="C72">
        <v>89.724000000000004</v>
      </c>
      <c r="D72">
        <v>198.54300000000001</v>
      </c>
      <c r="E72">
        <v>249.18700000000001</v>
      </c>
      <c r="F72">
        <v>9.0514543449026164</v>
      </c>
      <c r="G72">
        <v>7.2118645836259514</v>
      </c>
      <c r="H72">
        <v>1.2128193125585127</v>
      </c>
      <c r="I72">
        <v>0.25507824501493381</v>
      </c>
      <c r="J72">
        <v>147.79099822998046</v>
      </c>
      <c r="K72">
        <v>0.74437778330125193</v>
      </c>
      <c r="L72">
        <v>25.686999999999998</v>
      </c>
      <c r="M72">
        <v>0.12937751519821902</v>
      </c>
      <c r="N72">
        <v>126.98</v>
      </c>
      <c r="O72">
        <v>0.63955918868960371</v>
      </c>
      <c r="P72">
        <v>40.079000000000001</v>
      </c>
      <c r="Q72">
        <v>0.20186559082919064</v>
      </c>
      <c r="R72">
        <v>-68.009</v>
      </c>
      <c r="S72">
        <v>-0.34254040686400428</v>
      </c>
      <c r="T72">
        <v>-32.906999999999996</v>
      </c>
      <c r="U72">
        <v>34.366999999999997</v>
      </c>
      <c r="V72">
        <v>0.17309600439199566</v>
      </c>
      <c r="W72">
        <v>-73.292000000000002</v>
      </c>
      <c r="X72">
        <v>-0.36914925230302753</v>
      </c>
    </row>
    <row r="73" spans="1:24" x14ac:dyDescent="0.2">
      <c r="A73" t="s">
        <v>245</v>
      </c>
      <c r="B73">
        <v>1708.3059000000001</v>
      </c>
      <c r="C73">
        <v>105.98399999999999</v>
      </c>
      <c r="D73">
        <v>176.48500000000001</v>
      </c>
      <c r="E73">
        <v>232.17500000000001</v>
      </c>
      <c r="F73">
        <v>9.679609598549451</v>
      </c>
      <c r="G73">
        <v>7.357837407128244</v>
      </c>
      <c r="H73">
        <v>0.66520418176328522</v>
      </c>
      <c r="I73">
        <v>0.31555089667677128</v>
      </c>
      <c r="J73">
        <v>135.33699801635743</v>
      </c>
      <c r="K73">
        <v>0.76684702958527584</v>
      </c>
      <c r="L73">
        <v>26.834999999999997</v>
      </c>
      <c r="M73">
        <v>0.15205258237243957</v>
      </c>
      <c r="N73">
        <v>86.891999999999996</v>
      </c>
      <c r="O73">
        <v>0.49234779159701952</v>
      </c>
      <c r="P73">
        <v>29.446000000000002</v>
      </c>
      <c r="Q73">
        <v>0.16684704082499929</v>
      </c>
      <c r="R73">
        <v>-30.723999999999997</v>
      </c>
      <c r="S73">
        <v>-0.17408844944329543</v>
      </c>
      <c r="T73">
        <v>-5.52</v>
      </c>
      <c r="U73">
        <v>87.024000000000001</v>
      </c>
      <c r="V73">
        <v>0.49309573051534122</v>
      </c>
      <c r="W73">
        <v>-34.695</v>
      </c>
      <c r="X73">
        <v>-0.19658894523613904</v>
      </c>
    </row>
    <row r="74" spans="1:24" x14ac:dyDescent="0.2">
      <c r="A74" t="s">
        <v>247</v>
      </c>
      <c r="B74">
        <v>2277.1129999999998</v>
      </c>
      <c r="C74">
        <v>298.29399999999998</v>
      </c>
      <c r="D74">
        <v>430.33699999999999</v>
      </c>
      <c r="E74">
        <v>547.33299999999997</v>
      </c>
      <c r="F74">
        <v>5.291464596351231</v>
      </c>
      <c r="G74">
        <v>4.16037951302041</v>
      </c>
      <c r="H74">
        <v>0.44266059659262341</v>
      </c>
      <c r="I74">
        <v>0.27187065021134593</v>
      </c>
      <c r="J74">
        <v>273.81199511718751</v>
      </c>
      <c r="K74">
        <v>0.63627342087059102</v>
      </c>
      <c r="L74">
        <v>33.853999999999999</v>
      </c>
      <c r="M74">
        <v>7.8668578346737558E-2</v>
      </c>
      <c r="N74">
        <v>16.303000000000001</v>
      </c>
      <c r="O74">
        <v>3.7884262798690331E-2</v>
      </c>
      <c r="P74">
        <v>59.975999999999999</v>
      </c>
      <c r="Q74">
        <v>0.13936984270467098</v>
      </c>
      <c r="R74">
        <v>145.13300000000001</v>
      </c>
      <c r="S74">
        <v>0.33725429140417862</v>
      </c>
      <c r="T74">
        <v>94.004999999999995</v>
      </c>
      <c r="U74">
        <v>63.894999999999996</v>
      </c>
      <c r="V74">
        <v>0.14847665899051207</v>
      </c>
      <c r="W74">
        <v>106.145</v>
      </c>
      <c r="X74">
        <v>0.24665552810936545</v>
      </c>
    </row>
    <row r="75" spans="1:24" x14ac:dyDescent="0.2">
      <c r="A75" t="s">
        <v>251</v>
      </c>
      <c r="B75">
        <v>1563.4879000000001</v>
      </c>
      <c r="C75">
        <v>115.95099999999999</v>
      </c>
      <c r="D75">
        <v>143.75199999999998</v>
      </c>
      <c r="E75">
        <v>169.75800000000001</v>
      </c>
      <c r="F75">
        <v>10.876286242974013</v>
      </c>
      <c r="G75">
        <v>9.2100984931490704</v>
      </c>
      <c r="H75">
        <v>0.23976507317746279</v>
      </c>
      <c r="I75">
        <v>0.18090878735600224</v>
      </c>
      <c r="J75">
        <v>101.70600183105469</v>
      </c>
      <c r="K75">
        <v>0.70751016911802767</v>
      </c>
      <c r="L75">
        <v>23.690999999999999</v>
      </c>
      <c r="M75">
        <v>0.16480466358728924</v>
      </c>
      <c r="N75">
        <v>29.28</v>
      </c>
      <c r="O75">
        <v>0.20368412265568483</v>
      </c>
      <c r="P75">
        <v>13.855</v>
      </c>
      <c r="Q75">
        <v>9.6381267738883655E-2</v>
      </c>
      <c r="R75">
        <v>35.331999999999994</v>
      </c>
      <c r="S75">
        <v>0.2457844064778229</v>
      </c>
      <c r="T75">
        <v>17.315999999999999</v>
      </c>
      <c r="U75">
        <v>158.398</v>
      </c>
      <c r="V75">
        <v>1.101883799877567</v>
      </c>
      <c r="W75">
        <v>20.335000000000001</v>
      </c>
      <c r="X75">
        <v>0.14145890144137127</v>
      </c>
    </row>
    <row r="76" spans="1:24" x14ac:dyDescent="0.2">
      <c r="A76" t="s">
        <v>253</v>
      </c>
      <c r="B76">
        <v>1478.7066</v>
      </c>
      <c r="C76">
        <v>209.33600000000001</v>
      </c>
      <c r="D76">
        <v>310.62700000000001</v>
      </c>
      <c r="E76">
        <v>366.35300000000001</v>
      </c>
      <c r="F76">
        <v>4.7603930115540498</v>
      </c>
      <c r="G76">
        <v>4.0362890436273213</v>
      </c>
      <c r="H76">
        <v>0.48386803989758087</v>
      </c>
      <c r="I76">
        <v>0.17939844250499792</v>
      </c>
      <c r="J76">
        <v>234.64100097656251</v>
      </c>
      <c r="K76">
        <v>0.75537864054497039</v>
      </c>
      <c r="L76">
        <v>34.796999999999997</v>
      </c>
      <c r="M76">
        <v>0.11202181394405508</v>
      </c>
      <c r="N76">
        <v>184.04400000000001</v>
      </c>
      <c r="O76">
        <v>0.5924919598103191</v>
      </c>
      <c r="P76">
        <v>38.914999999999999</v>
      </c>
      <c r="Q76">
        <v>0.12527887144388608</v>
      </c>
      <c r="R76">
        <v>-13.42</v>
      </c>
      <c r="S76">
        <v>-4.3202941148065041E-2</v>
      </c>
      <c r="T76">
        <v>-20.387</v>
      </c>
      <c r="U76">
        <v>31.702999999999999</v>
      </c>
      <c r="V76">
        <v>0.1020613146957605</v>
      </c>
      <c r="W76">
        <v>42.356312490929</v>
      </c>
      <c r="X76">
        <v>0.13635747211584634</v>
      </c>
    </row>
    <row r="77" spans="1:24" x14ac:dyDescent="0.2">
      <c r="A77" t="s">
        <v>257</v>
      </c>
      <c r="B77">
        <v>1454.999</v>
      </c>
      <c r="C77">
        <v>139.02099999999999</v>
      </c>
      <c r="D77">
        <v>211.739</v>
      </c>
      <c r="E77">
        <v>279.25700000000001</v>
      </c>
      <c r="F77">
        <v>6.8716627546177129</v>
      </c>
      <c r="G77">
        <v>5.2102507725858258</v>
      </c>
      <c r="H77">
        <v>0.52307205386236633</v>
      </c>
      <c r="I77">
        <v>0.31887370772507673</v>
      </c>
      <c r="J77">
        <v>149.78799795532225</v>
      </c>
      <c r="K77">
        <v>0.70741808526214944</v>
      </c>
      <c r="L77">
        <v>35.809999999999995</v>
      </c>
      <c r="M77">
        <v>0.16912330746815651</v>
      </c>
      <c r="N77">
        <v>71.825000000000003</v>
      </c>
      <c r="O77">
        <v>0.33921478801732324</v>
      </c>
      <c r="P77">
        <v>37.470999999999997</v>
      </c>
      <c r="Q77">
        <v>0.176967870822097</v>
      </c>
      <c r="R77">
        <v>-11.435911392404998</v>
      </c>
      <c r="S77">
        <v>-5.4009471058260393E-2</v>
      </c>
      <c r="T77">
        <v>-8.91</v>
      </c>
      <c r="U77">
        <v>232.01899999999998</v>
      </c>
      <c r="V77">
        <v>1.0957782930872442</v>
      </c>
      <c r="W77">
        <v>-22.763379999999998</v>
      </c>
      <c r="X77">
        <v>-0.10750678901855586</v>
      </c>
    </row>
    <row r="78" spans="1:24" x14ac:dyDescent="0.2">
      <c r="A78" t="s">
        <v>259</v>
      </c>
      <c r="B78">
        <v>1346.6967</v>
      </c>
      <c r="C78">
        <v>79.929000000000002</v>
      </c>
      <c r="D78">
        <v>128.28899999999999</v>
      </c>
      <c r="E78">
        <v>156.166</v>
      </c>
      <c r="F78">
        <v>10.497366882585414</v>
      </c>
      <c r="G78">
        <v>8.6234948708425652</v>
      </c>
      <c r="H78">
        <v>0.605036970311151</v>
      </c>
      <c r="I78">
        <v>0.21729844335835513</v>
      </c>
      <c r="J78">
        <v>95.234000320434575</v>
      </c>
      <c r="K78">
        <v>0.74233956395664935</v>
      </c>
      <c r="L78">
        <v>29.642999999999997</v>
      </c>
      <c r="M78">
        <v>0.23106423777564716</v>
      </c>
      <c r="N78">
        <v>28.184999999999999</v>
      </c>
      <c r="O78">
        <v>0.21969927273577627</v>
      </c>
      <c r="P78">
        <v>30.100999999999999</v>
      </c>
      <c r="Q78">
        <v>0.23463430223947496</v>
      </c>
      <c r="R78">
        <v>4.5019999999999998</v>
      </c>
      <c r="S78">
        <v>3.5092642393346273E-2</v>
      </c>
      <c r="T78">
        <v>6.2230000000000008</v>
      </c>
      <c r="U78">
        <v>175.49599999999998</v>
      </c>
      <c r="V78">
        <v>1.367973871493269</v>
      </c>
      <c r="W78">
        <v>-4.702</v>
      </c>
      <c r="X78">
        <v>-3.6651622508554908E-2</v>
      </c>
    </row>
    <row r="79" spans="1:24" x14ac:dyDescent="0.2">
      <c r="A79" t="s">
        <v>263</v>
      </c>
      <c r="B79">
        <v>1443.3649</v>
      </c>
      <c r="C79">
        <v>157.43700000000001</v>
      </c>
      <c r="D79">
        <v>221.20800000000003</v>
      </c>
      <c r="E79">
        <v>260.59699999999998</v>
      </c>
      <c r="F79">
        <v>6.524921793063541</v>
      </c>
      <c r="G79">
        <v>5.5386857868663117</v>
      </c>
      <c r="H79">
        <v>0.40505726099963801</v>
      </c>
      <c r="I79">
        <v>0.17806318035514068</v>
      </c>
      <c r="J79">
        <v>155.65399899291992</v>
      </c>
      <c r="K79">
        <v>0.70365447448971064</v>
      </c>
      <c r="L79">
        <v>50.937999999999995</v>
      </c>
      <c r="M79">
        <v>0.2302719612310585</v>
      </c>
      <c r="N79">
        <v>111.593</v>
      </c>
      <c r="O79">
        <v>0.50447090521138471</v>
      </c>
      <c r="P79">
        <v>30.292999999999999</v>
      </c>
      <c r="Q79">
        <v>0.13694351018046361</v>
      </c>
      <c r="R79">
        <v>-47.295392405064</v>
      </c>
      <c r="S79">
        <v>-0.21380507217218181</v>
      </c>
      <c r="T79">
        <v>-7.3879999999999981</v>
      </c>
      <c r="U79">
        <v>51.561999999999998</v>
      </c>
      <c r="V79">
        <v>0.23309283570214454</v>
      </c>
      <c r="W79">
        <v>-53.869</v>
      </c>
      <c r="X79">
        <v>-0.24352193410726553</v>
      </c>
    </row>
    <row r="80" spans="1:24" x14ac:dyDescent="0.2">
      <c r="A80" t="s">
        <v>265</v>
      </c>
      <c r="B80">
        <v>1409.3098</v>
      </c>
      <c r="C80">
        <v>132.923</v>
      </c>
      <c r="D80">
        <v>206.78900000000002</v>
      </c>
      <c r="E80">
        <v>220.108</v>
      </c>
      <c r="F80">
        <v>6.8152068050041343</v>
      </c>
      <c r="G80">
        <v>6.4028104385120033</v>
      </c>
      <c r="H80">
        <v>0.55570518269975855</v>
      </c>
      <c r="I80">
        <v>6.44086484290749E-2</v>
      </c>
      <c r="J80">
        <v>128.89599989318847</v>
      </c>
      <c r="K80">
        <v>0.62332135603532324</v>
      </c>
      <c r="L80">
        <v>34.835000000000001</v>
      </c>
      <c r="M80">
        <v>0.16845673609331249</v>
      </c>
      <c r="N80">
        <v>81.965999999999994</v>
      </c>
      <c r="O80">
        <v>0.3963750489629525</v>
      </c>
      <c r="P80">
        <v>27.15</v>
      </c>
      <c r="Q80">
        <v>0.13129325060810776</v>
      </c>
      <c r="R80">
        <v>-30.616</v>
      </c>
      <c r="S80">
        <v>-0.148054296892001</v>
      </c>
      <c r="T80">
        <v>-25.271000000000001</v>
      </c>
      <c r="U80">
        <v>73.757999999999996</v>
      </c>
      <c r="V80">
        <v>0.35668241540894335</v>
      </c>
      <c r="W80">
        <v>-33.673000000000002</v>
      </c>
      <c r="X80">
        <v>-0.16283748168422885</v>
      </c>
    </row>
    <row r="81" spans="1:24" x14ac:dyDescent="0.2">
      <c r="A81" t="s">
        <v>267</v>
      </c>
      <c r="B81">
        <v>1375.7365</v>
      </c>
      <c r="C81">
        <v>184.46100000000001</v>
      </c>
      <c r="D81">
        <v>309.411</v>
      </c>
      <c r="E81">
        <v>376.04599999999999</v>
      </c>
      <c r="F81">
        <v>4.4463076619771114</v>
      </c>
      <c r="G81">
        <v>3.6584260968073057</v>
      </c>
      <c r="H81">
        <v>0.67737895815375593</v>
      </c>
      <c r="I81">
        <v>0.21536079842022415</v>
      </c>
      <c r="J81">
        <v>220.4609998474121</v>
      </c>
      <c r="K81">
        <v>0.71251830040758768</v>
      </c>
      <c r="L81">
        <v>101.09399999999999</v>
      </c>
      <c r="M81">
        <v>0.32673046530343136</v>
      </c>
      <c r="N81">
        <v>200.18799999999999</v>
      </c>
      <c r="O81">
        <v>0.64699703630446226</v>
      </c>
      <c r="P81">
        <v>78.281999999999996</v>
      </c>
      <c r="Q81">
        <v>0.25300328689025275</v>
      </c>
      <c r="R81">
        <v>-163.124</v>
      </c>
      <c r="S81">
        <v>-0.52720814709237873</v>
      </c>
      <c r="T81">
        <v>19.364999999999998</v>
      </c>
      <c r="U81">
        <v>62.738999999999997</v>
      </c>
      <c r="V81">
        <v>0.20276913231914831</v>
      </c>
      <c r="W81">
        <v>-176.84800000000001</v>
      </c>
      <c r="X81">
        <v>-0.57156338979545007</v>
      </c>
    </row>
    <row r="82" spans="1:24" x14ac:dyDescent="0.2">
      <c r="A82" t="s">
        <v>269</v>
      </c>
      <c r="B82">
        <v>1455.3159000000001</v>
      </c>
      <c r="C82">
        <v>76.846000000000004</v>
      </c>
      <c r="D82">
        <v>122.828</v>
      </c>
      <c r="E82">
        <v>163.084</v>
      </c>
      <c r="F82">
        <v>11.848405086788029</v>
      </c>
      <c r="G82">
        <v>8.9237196782026444</v>
      </c>
      <c r="H82">
        <v>0.59836556229341797</v>
      </c>
      <c r="I82">
        <v>0.32774285993421692</v>
      </c>
      <c r="J82">
        <v>85.026000061035163</v>
      </c>
      <c r="K82">
        <v>0.69223629840944378</v>
      </c>
      <c r="L82">
        <v>22.241</v>
      </c>
      <c r="M82">
        <v>0.18107434786856416</v>
      </c>
      <c r="N82">
        <v>46.997999999999998</v>
      </c>
      <c r="O82">
        <v>0.38263262448301688</v>
      </c>
      <c r="P82">
        <v>22.895</v>
      </c>
      <c r="Q82">
        <v>0.18639886670791675</v>
      </c>
      <c r="R82">
        <v>-24.664999999999999</v>
      </c>
      <c r="S82">
        <v>-0.20080926173185265</v>
      </c>
      <c r="T82">
        <v>-5.0739999999999998</v>
      </c>
      <c r="U82">
        <v>102.75399999999999</v>
      </c>
      <c r="V82">
        <v>0.83656820920311326</v>
      </c>
      <c r="W82">
        <v>-39.188639999999999</v>
      </c>
      <c r="X82">
        <v>-0.3190529846614778</v>
      </c>
    </row>
    <row r="83" spans="1:24" x14ac:dyDescent="0.2">
      <c r="A83" t="s">
        <v>271</v>
      </c>
      <c r="B83">
        <v>1335.0657000000001</v>
      </c>
      <c r="C83">
        <v>193.29499999999999</v>
      </c>
      <c r="D83">
        <v>234.53299999999999</v>
      </c>
      <c r="E83">
        <v>255.227</v>
      </c>
      <c r="F83">
        <v>5.6924428545236712</v>
      </c>
      <c r="G83">
        <v>5.2308952422745243</v>
      </c>
      <c r="H83">
        <v>0.21334230062857293</v>
      </c>
      <c r="I83">
        <v>8.8234917900679388E-2</v>
      </c>
      <c r="J83">
        <v>156.26900183105468</v>
      </c>
      <c r="K83">
        <v>0.666298567071818</v>
      </c>
      <c r="L83">
        <v>23.183</v>
      </c>
      <c r="M83">
        <v>9.8847496940729029E-2</v>
      </c>
      <c r="N83">
        <v>73.295000000000002</v>
      </c>
      <c r="O83">
        <v>0.31251465678603868</v>
      </c>
      <c r="P83">
        <v>37.460999999999999</v>
      </c>
      <c r="Q83">
        <v>0.15972592343081785</v>
      </c>
      <c r="R83">
        <v>24.942</v>
      </c>
      <c r="S83">
        <v>0.10634750760020978</v>
      </c>
      <c r="T83">
        <v>34.721000000000004</v>
      </c>
      <c r="U83">
        <v>123.127</v>
      </c>
      <c r="V83">
        <v>0.52498795478674642</v>
      </c>
      <c r="W83">
        <v>10.046000000000001</v>
      </c>
      <c r="X83">
        <v>4.2834057467392654E-2</v>
      </c>
    </row>
    <row r="84" spans="1:24" x14ac:dyDescent="0.2">
      <c r="A84" t="s">
        <v>275</v>
      </c>
      <c r="B84">
        <v>719.44939999999997</v>
      </c>
      <c r="C84">
        <v>512.16099999999994</v>
      </c>
      <c r="D84">
        <v>506.92600000000004</v>
      </c>
      <c r="E84">
        <v>514</v>
      </c>
      <c r="F84">
        <v>1.4192394945218827</v>
      </c>
      <c r="G84">
        <v>1.3997070038910506</v>
      </c>
      <c r="H84">
        <v>-1.0221395225329341E-2</v>
      </c>
      <c r="I84">
        <v>1.3954699502491508E-2</v>
      </c>
      <c r="J84">
        <v>407.5589940185547</v>
      </c>
      <c r="K84">
        <v>0.803981239901987</v>
      </c>
      <c r="L84">
        <v>78.765999999999991</v>
      </c>
      <c r="M84">
        <v>0.15537968066344987</v>
      </c>
      <c r="N84">
        <v>174.61199999999999</v>
      </c>
      <c r="O84">
        <v>0.34445264200297476</v>
      </c>
      <c r="P84">
        <v>80.161000000000001</v>
      </c>
      <c r="Q84">
        <v>0.1581315616085977</v>
      </c>
      <c r="R84">
        <v>47.558000000000007</v>
      </c>
      <c r="S84">
        <v>9.3816454472644931E-2</v>
      </c>
      <c r="T84">
        <v>46.129999999999995</v>
      </c>
      <c r="U84">
        <v>420.24399999999997</v>
      </c>
      <c r="V84">
        <v>0.82900462789440654</v>
      </c>
      <c r="W84">
        <v>42.201000000000001</v>
      </c>
      <c r="X84">
        <v>8.3248837108374787E-2</v>
      </c>
    </row>
    <row r="85" spans="1:24" x14ac:dyDescent="0.2">
      <c r="A85" t="s">
        <v>277</v>
      </c>
      <c r="B85">
        <v>1403.5246</v>
      </c>
      <c r="C85">
        <v>405.34100000000001</v>
      </c>
      <c r="D85">
        <v>401.911</v>
      </c>
      <c r="E85">
        <v>396.25</v>
      </c>
      <c r="F85">
        <v>3.4921278591528968</v>
      </c>
      <c r="G85">
        <v>3.5420179179810725</v>
      </c>
      <c r="H85">
        <v>-8.4620109981472548E-3</v>
      </c>
      <c r="I85">
        <v>-1.4085207919166232E-2</v>
      </c>
      <c r="J85">
        <v>333.70999957275393</v>
      </c>
      <c r="K85">
        <v>0.83030820149922224</v>
      </c>
      <c r="L85">
        <v>76.988</v>
      </c>
      <c r="M85">
        <v>0.19155484671979617</v>
      </c>
      <c r="N85">
        <v>96.344999999999999</v>
      </c>
      <c r="O85">
        <v>0.23971725083413989</v>
      </c>
      <c r="P85">
        <v>45.738999999999997</v>
      </c>
      <c r="Q85">
        <v>0.11380380233434764</v>
      </c>
      <c r="R85">
        <v>142.37699999999998</v>
      </c>
      <c r="S85">
        <v>0.35425007028919331</v>
      </c>
      <c r="T85">
        <v>121.06</v>
      </c>
      <c r="U85">
        <v>133.464</v>
      </c>
      <c r="V85">
        <v>0.33207351876410451</v>
      </c>
      <c r="W85">
        <v>65.876939999999991</v>
      </c>
      <c r="X85">
        <v>0.16390927344611117</v>
      </c>
    </row>
    <row r="86" spans="1:24" x14ac:dyDescent="0.2">
      <c r="A86" t="s">
        <v>279</v>
      </c>
      <c r="B86">
        <v>1360.3652</v>
      </c>
      <c r="C86">
        <v>178.64599999999999</v>
      </c>
      <c r="D86">
        <v>225.61</v>
      </c>
      <c r="E86">
        <v>255.92000000000002</v>
      </c>
      <c r="F86">
        <v>6.0297203138158766</v>
      </c>
      <c r="G86">
        <v>5.3155876836511409</v>
      </c>
      <c r="H86">
        <v>0.26288861771324312</v>
      </c>
      <c r="I86">
        <v>0.13434688178715493</v>
      </c>
      <c r="J86">
        <v>161.06200064086914</v>
      </c>
      <c r="K86">
        <v>0.71389566349394595</v>
      </c>
      <c r="L86">
        <v>68.171999999999997</v>
      </c>
      <c r="M86">
        <v>0.30216745711626253</v>
      </c>
      <c r="N86">
        <v>84.161000000000001</v>
      </c>
      <c r="O86">
        <v>0.37303754266211603</v>
      </c>
      <c r="P86">
        <v>39.594000000000001</v>
      </c>
      <c r="Q86">
        <v>0.17549754000265946</v>
      </c>
      <c r="R86">
        <v>-48.74664556962</v>
      </c>
      <c r="S86">
        <v>-0.21606597921023002</v>
      </c>
      <c r="T86">
        <v>-0.20499999999999918</v>
      </c>
      <c r="U86">
        <v>60.332999999999998</v>
      </c>
      <c r="V86">
        <v>0.26742165684145203</v>
      </c>
      <c r="W86">
        <v>-53.88</v>
      </c>
      <c r="X86">
        <v>-0.23881920127653916</v>
      </c>
    </row>
    <row r="87" spans="1:24" x14ac:dyDescent="0.2">
      <c r="A87" t="s">
        <v>287</v>
      </c>
      <c r="B87">
        <v>1214.4014</v>
      </c>
      <c r="C87">
        <v>222.779</v>
      </c>
      <c r="D87">
        <v>233.78399999999999</v>
      </c>
      <c r="E87">
        <v>258.85399999999998</v>
      </c>
      <c r="F87">
        <v>5.194544536837423</v>
      </c>
      <c r="G87">
        <v>4.6914530971126585</v>
      </c>
      <c r="H87">
        <v>4.9398731478281145E-2</v>
      </c>
      <c r="I87">
        <v>0.10723573897272698</v>
      </c>
      <c r="J87">
        <v>174.50399725341796</v>
      </c>
      <c r="K87">
        <v>0.74643259270702</v>
      </c>
      <c r="L87">
        <v>40.033999999999999</v>
      </c>
      <c r="M87">
        <v>0.17124354104643602</v>
      </c>
      <c r="N87">
        <v>90.905000000000001</v>
      </c>
      <c r="O87">
        <v>0.38884183690928381</v>
      </c>
      <c r="P87">
        <v>43.124000000000002</v>
      </c>
      <c r="Q87">
        <v>0.18446086986277935</v>
      </c>
      <c r="R87">
        <v>9.7840000000000007</v>
      </c>
      <c r="S87">
        <v>4.1850597132395723E-2</v>
      </c>
      <c r="T87">
        <v>-19.381999999999998</v>
      </c>
      <c r="U87">
        <v>56.114999999999995</v>
      </c>
      <c r="V87">
        <v>0.24002925777640899</v>
      </c>
      <c r="W87">
        <v>-8.9980586626340013</v>
      </c>
      <c r="X87">
        <v>-3.8488770243618048E-2</v>
      </c>
    </row>
    <row r="88" spans="1:24" x14ac:dyDescent="0.2">
      <c r="A88" t="s">
        <v>289</v>
      </c>
      <c r="B88">
        <v>1444.5420999999999</v>
      </c>
      <c r="C88">
        <v>116.239</v>
      </c>
      <c r="D88">
        <v>162.01400000000001</v>
      </c>
      <c r="E88">
        <v>226.63</v>
      </c>
      <c r="F88">
        <v>8.9161560112089067</v>
      </c>
      <c r="G88">
        <v>6.3740109429466525</v>
      </c>
      <c r="H88">
        <v>0.39380070372250281</v>
      </c>
      <c r="I88">
        <v>0.39882973076400785</v>
      </c>
      <c r="J88">
        <v>126.376</v>
      </c>
      <c r="K88">
        <v>0.78003135531497281</v>
      </c>
      <c r="L88">
        <v>52.046999999999997</v>
      </c>
      <c r="M88">
        <v>0.3212500154307652</v>
      </c>
      <c r="N88">
        <v>107.19</v>
      </c>
      <c r="O88">
        <v>0.66160949053785467</v>
      </c>
      <c r="P88">
        <v>22.337</v>
      </c>
      <c r="Q88">
        <v>0.13787080128877749</v>
      </c>
      <c r="R88">
        <v>-48.109000000000002</v>
      </c>
      <c r="S88">
        <v>-0.29694347402076365</v>
      </c>
      <c r="T88">
        <v>-12.823</v>
      </c>
      <c r="U88">
        <v>36.073</v>
      </c>
      <c r="V88">
        <v>0.22265359783722394</v>
      </c>
      <c r="W88">
        <v>-55.826999999999998</v>
      </c>
      <c r="X88">
        <v>-0.34458133247744022</v>
      </c>
    </row>
    <row r="89" spans="1:24" x14ac:dyDescent="0.2">
      <c r="A89" t="s">
        <v>291</v>
      </c>
      <c r="B89">
        <v>1016.1319</v>
      </c>
      <c r="C89">
        <v>160.56899999999999</v>
      </c>
      <c r="D89">
        <v>212.47800000000001</v>
      </c>
      <c r="E89">
        <v>249.06300000000002</v>
      </c>
      <c r="F89">
        <v>4.7822922843776761</v>
      </c>
      <c r="G89">
        <v>4.0798187607151597</v>
      </c>
      <c r="H89">
        <v>0.32328157988154638</v>
      </c>
      <c r="I89">
        <v>0.17218253183859034</v>
      </c>
      <c r="J89">
        <v>147.23399932861327</v>
      </c>
      <c r="K89">
        <v>0.69293761861751924</v>
      </c>
      <c r="L89">
        <v>40.549999999999997</v>
      </c>
      <c r="M89">
        <v>0.19084328730503861</v>
      </c>
      <c r="N89">
        <v>87.948999999999998</v>
      </c>
      <c r="O89">
        <v>0.41392050000470637</v>
      </c>
      <c r="P89">
        <v>27.706</v>
      </c>
      <c r="Q89">
        <v>0.13039467615470776</v>
      </c>
      <c r="R89">
        <v>-14.339075949367</v>
      </c>
      <c r="S89">
        <v>-6.748499114904602E-2</v>
      </c>
      <c r="T89">
        <v>3.3149999999999999</v>
      </c>
      <c r="U89">
        <v>55.068999999999996</v>
      </c>
      <c r="V89">
        <v>0.25917506753640374</v>
      </c>
      <c r="W89">
        <v>-23.346969999999999</v>
      </c>
      <c r="X89">
        <v>-0.10987946987452818</v>
      </c>
    </row>
    <row r="90" spans="1:24" x14ac:dyDescent="0.2">
      <c r="A90" t="s">
        <v>293</v>
      </c>
      <c r="B90">
        <v>1118.7239</v>
      </c>
      <c r="C90">
        <v>339.52199999999999</v>
      </c>
      <c r="D90">
        <v>493.41899999999998</v>
      </c>
      <c r="E90">
        <v>540.76700000000005</v>
      </c>
      <c r="F90">
        <v>2.2672898692591894</v>
      </c>
      <c r="G90">
        <v>2.0687725027599684</v>
      </c>
      <c r="H90">
        <v>0.45327548730273737</v>
      </c>
      <c r="I90">
        <v>9.5959012522825571E-2</v>
      </c>
      <c r="J90">
        <v>254.20199630737304</v>
      </c>
      <c r="K90">
        <v>0.51518485568527572</v>
      </c>
      <c r="L90">
        <v>80.164000000000001</v>
      </c>
      <c r="M90">
        <v>0.162466382526818</v>
      </c>
      <c r="N90">
        <v>151.34100000000001</v>
      </c>
      <c r="O90">
        <v>0.3067190359511896</v>
      </c>
      <c r="P90">
        <v>92.725999999999999</v>
      </c>
      <c r="Q90">
        <v>0.18792547510330976</v>
      </c>
      <c r="R90">
        <v>-32.902000000000001</v>
      </c>
      <c r="S90">
        <v>-6.6681664062389165E-2</v>
      </c>
      <c r="T90">
        <v>9.2789999999999999</v>
      </c>
      <c r="U90">
        <v>101.539</v>
      </c>
      <c r="V90">
        <v>0.20578656273876766</v>
      </c>
      <c r="W90">
        <v>-51.781127336844001</v>
      </c>
      <c r="X90">
        <v>-0.10494352130105246</v>
      </c>
    </row>
    <row r="91" spans="1:24" x14ac:dyDescent="0.2">
      <c r="A91" t="s">
        <v>299</v>
      </c>
      <c r="B91">
        <v>949.03020000000004</v>
      </c>
      <c r="C91">
        <v>166.84100000000001</v>
      </c>
      <c r="D91">
        <v>257.60300000000001</v>
      </c>
      <c r="E91">
        <v>302.613</v>
      </c>
      <c r="F91">
        <v>3.6840805425402654</v>
      </c>
      <c r="G91">
        <v>3.1361184086605665</v>
      </c>
      <c r="H91">
        <v>0.54400297289035671</v>
      </c>
      <c r="I91">
        <v>0.17472622601444865</v>
      </c>
      <c r="J91">
        <v>194.42499871826172</v>
      </c>
      <c r="K91">
        <v>0.75474664005567371</v>
      </c>
      <c r="L91">
        <v>47.434999999999995</v>
      </c>
      <c r="M91">
        <v>0.18413993625850628</v>
      </c>
      <c r="N91">
        <v>151.09299999999999</v>
      </c>
      <c r="O91">
        <v>0.58653431831151026</v>
      </c>
      <c r="P91">
        <v>51.206000000000003</v>
      </c>
      <c r="Q91">
        <v>0.19877874093081216</v>
      </c>
      <c r="R91">
        <v>-82.965000000000003</v>
      </c>
      <c r="S91">
        <v>-0.32206534861783442</v>
      </c>
      <c r="T91">
        <v>-6.802999999999999</v>
      </c>
      <c r="U91">
        <v>63.009</v>
      </c>
      <c r="V91">
        <v>0.24459730670838459</v>
      </c>
      <c r="W91">
        <v>-92.112000000000009</v>
      </c>
      <c r="X91">
        <v>-0.35757347546418328</v>
      </c>
    </row>
    <row r="92" spans="1:24" x14ac:dyDescent="0.2">
      <c r="A92" t="s">
        <v>303</v>
      </c>
      <c r="B92">
        <v>1209.0925</v>
      </c>
      <c r="C92">
        <v>153.27600000000001</v>
      </c>
      <c r="D92">
        <v>183.61700000000002</v>
      </c>
      <c r="E92">
        <v>205.86799999999999</v>
      </c>
      <c r="F92">
        <v>6.5848614235065375</v>
      </c>
      <c r="G92">
        <v>5.8731444420696759</v>
      </c>
      <c r="H92">
        <v>0.19795010308202202</v>
      </c>
      <c r="I92">
        <v>0.12118158993992911</v>
      </c>
      <c r="J92">
        <v>109.50099978637695</v>
      </c>
      <c r="K92">
        <v>0.59635545611995044</v>
      </c>
      <c r="L92">
        <v>56.021000000000001</v>
      </c>
      <c r="M92">
        <v>0.30509702260683919</v>
      </c>
      <c r="N92">
        <v>68.116</v>
      </c>
      <c r="O92">
        <v>0.37096782977611004</v>
      </c>
      <c r="P92">
        <v>40.335999999999999</v>
      </c>
      <c r="Q92">
        <v>0.21967464886148882</v>
      </c>
      <c r="R92">
        <v>-44.247999999999998</v>
      </c>
      <c r="S92">
        <v>-0.24097986569870977</v>
      </c>
      <c r="T92">
        <v>-6.407</v>
      </c>
      <c r="U92">
        <v>160.505</v>
      </c>
      <c r="V92">
        <v>0.87412930175310555</v>
      </c>
      <c r="W92">
        <v>-63.304550127549</v>
      </c>
      <c r="X92">
        <v>-0.3447641020578105</v>
      </c>
    </row>
    <row r="93" spans="1:24" x14ac:dyDescent="0.2">
      <c r="A93" t="s">
        <v>305</v>
      </c>
      <c r="B93">
        <v>1011.2338999999999</v>
      </c>
      <c r="C93">
        <v>110.88</v>
      </c>
      <c r="D93">
        <v>184.83700000000002</v>
      </c>
      <c r="E93">
        <v>231.28900000000002</v>
      </c>
      <c r="F93">
        <v>5.4709495393238363</v>
      </c>
      <c r="G93">
        <v>4.3721659914652227</v>
      </c>
      <c r="H93">
        <v>0.66700036075036095</v>
      </c>
      <c r="I93">
        <v>0.25131331930295331</v>
      </c>
      <c r="J93">
        <v>130.4860018157959</v>
      </c>
      <c r="K93">
        <v>0.70595174026734853</v>
      </c>
      <c r="L93">
        <v>48.292999999999999</v>
      </c>
      <c r="M93">
        <v>0.26127344633379679</v>
      </c>
      <c r="N93">
        <v>83.715999999999994</v>
      </c>
      <c r="O93">
        <v>0.45291797637918807</v>
      </c>
      <c r="P93">
        <v>31.196000000000002</v>
      </c>
      <c r="Q93">
        <v>0.16877573213155375</v>
      </c>
      <c r="R93">
        <v>-40.238</v>
      </c>
      <c r="S93">
        <v>-0.21769450921622832</v>
      </c>
      <c r="T93">
        <v>-18.588999999999992</v>
      </c>
      <c r="U93">
        <v>35.692999999999998</v>
      </c>
      <c r="V93">
        <v>0.19310527654095228</v>
      </c>
      <c r="W93">
        <v>-49.079000000000001</v>
      </c>
      <c r="X93">
        <v>-0.2655258416875409</v>
      </c>
    </row>
    <row r="94" spans="1:24" x14ac:dyDescent="0.2">
      <c r="A94" t="s">
        <v>307</v>
      </c>
      <c r="B94">
        <v>1106.0070000000001</v>
      </c>
      <c r="C94">
        <v>233.33500000000001</v>
      </c>
      <c r="D94">
        <v>252.16</v>
      </c>
      <c r="E94">
        <v>269.78399999999999</v>
      </c>
      <c r="F94">
        <v>4.3861318210659901</v>
      </c>
      <c r="G94">
        <v>4.0996019037452189</v>
      </c>
      <c r="H94">
        <v>8.0677995157177398E-2</v>
      </c>
      <c r="I94">
        <v>6.989213197969546E-2</v>
      </c>
      <c r="J94">
        <v>126.30899749755859</v>
      </c>
      <c r="K94">
        <v>0.50090814362927738</v>
      </c>
      <c r="L94">
        <v>49.548999999999999</v>
      </c>
      <c r="M94">
        <v>0.19649825507614213</v>
      </c>
      <c r="N94">
        <v>69.28</v>
      </c>
      <c r="O94">
        <v>0.27474619289340102</v>
      </c>
      <c r="P94">
        <v>27.268000000000001</v>
      </c>
      <c r="Q94">
        <v>0.10813769035532995</v>
      </c>
      <c r="R94">
        <v>-11.269886075949</v>
      </c>
      <c r="S94">
        <v>-4.4693393384950028E-2</v>
      </c>
      <c r="T94">
        <v>-2.8339999999999996</v>
      </c>
      <c r="U94">
        <v>55.335000000000001</v>
      </c>
      <c r="V94">
        <v>0.2194440038071066</v>
      </c>
      <c r="W94">
        <v>-40.211799999999997</v>
      </c>
      <c r="X94">
        <v>-0.15946938451776649</v>
      </c>
    </row>
    <row r="95" spans="1:24" x14ac:dyDescent="0.2">
      <c r="A95" t="s">
        <v>313</v>
      </c>
      <c r="B95">
        <v>684.58810000000005</v>
      </c>
      <c r="C95">
        <v>277.85199999999998</v>
      </c>
      <c r="D95">
        <v>328.411</v>
      </c>
      <c r="E95">
        <v>339.733</v>
      </c>
      <c r="F95">
        <v>2.0845468026345038</v>
      </c>
      <c r="G95">
        <v>2.0150768397535712</v>
      </c>
      <c r="H95">
        <v>0.18196377927817697</v>
      </c>
      <c r="I95">
        <v>3.4475093708797866E-2</v>
      </c>
      <c r="J95">
        <v>169.04300082397461</v>
      </c>
      <c r="K95">
        <v>0.51473002068741491</v>
      </c>
      <c r="L95">
        <v>47.661000000000001</v>
      </c>
      <c r="M95">
        <v>0.14512607677574746</v>
      </c>
      <c r="N95">
        <v>75.367999999999995</v>
      </c>
      <c r="O95">
        <v>0.22949292197886184</v>
      </c>
      <c r="P95">
        <v>35.222000000000001</v>
      </c>
      <c r="Q95">
        <v>0.10724975716404141</v>
      </c>
      <c r="R95">
        <v>6.7769999999999992</v>
      </c>
      <c r="S95">
        <v>2.0635727792309023E-2</v>
      </c>
      <c r="T95">
        <v>18.332999999999998</v>
      </c>
      <c r="U95">
        <v>147.023</v>
      </c>
      <c r="V95">
        <v>0.44767988891967686</v>
      </c>
      <c r="W95">
        <v>-1.2028757999999999</v>
      </c>
      <c r="X95">
        <v>-3.6627147080944304E-3</v>
      </c>
    </row>
    <row r="96" spans="1:24" x14ac:dyDescent="0.2">
      <c r="A96" t="s">
        <v>325</v>
      </c>
      <c r="B96">
        <v>599.29819999999995</v>
      </c>
      <c r="C96">
        <v>192.304</v>
      </c>
      <c r="D96">
        <v>200.61800000000002</v>
      </c>
      <c r="E96">
        <v>222.86700000000002</v>
      </c>
      <c r="F96">
        <v>2.9872603654706951</v>
      </c>
      <c r="G96">
        <v>2.6890396514513135</v>
      </c>
      <c r="H96">
        <v>4.3233630085697757E-2</v>
      </c>
      <c r="I96">
        <v>0.1109023118563639</v>
      </c>
      <c r="J96">
        <v>143.23199945068359</v>
      </c>
      <c r="K96">
        <v>0.71395387976494418</v>
      </c>
      <c r="L96">
        <v>23.119</v>
      </c>
      <c r="M96">
        <v>0.11523891176265338</v>
      </c>
      <c r="N96">
        <v>58.994</v>
      </c>
      <c r="O96">
        <v>0.29406135042717996</v>
      </c>
      <c r="P96">
        <v>37.4</v>
      </c>
      <c r="Q96">
        <v>0.18642394999451692</v>
      </c>
      <c r="R96">
        <v>18.504999999999999</v>
      </c>
      <c r="S96">
        <v>9.2239978466538378E-2</v>
      </c>
      <c r="T96">
        <v>-11.802</v>
      </c>
      <c r="U96">
        <v>78.661000000000001</v>
      </c>
      <c r="V96">
        <v>0.39209343129729135</v>
      </c>
      <c r="W96">
        <v>7.2605520712620004</v>
      </c>
      <c r="X96">
        <v>3.6190930381431376E-2</v>
      </c>
    </row>
    <row r="97" spans="1:24" x14ac:dyDescent="0.2">
      <c r="A97" t="s">
        <v>331</v>
      </c>
      <c r="B97">
        <v>789.97940000000006</v>
      </c>
      <c r="C97">
        <v>74.766999999999996</v>
      </c>
      <c r="D97">
        <v>121.47999999999999</v>
      </c>
      <c r="E97">
        <v>163.429</v>
      </c>
      <c r="F97">
        <v>6.5029585116891679</v>
      </c>
      <c r="G97">
        <v>4.8337773589754578</v>
      </c>
      <c r="H97">
        <v>0.62478098626399348</v>
      </c>
      <c r="I97">
        <v>0.34531610141587099</v>
      </c>
      <c r="J97">
        <v>81.369998809814447</v>
      </c>
      <c r="K97">
        <v>0.66982218315619402</v>
      </c>
      <c r="L97">
        <v>15.253</v>
      </c>
      <c r="M97">
        <v>0.12555976292393811</v>
      </c>
      <c r="N97">
        <v>15.307</v>
      </c>
      <c r="O97">
        <v>0.12600428054000659</v>
      </c>
      <c r="P97">
        <v>23.291</v>
      </c>
      <c r="Q97">
        <v>0.19172703325650314</v>
      </c>
      <c r="R97">
        <v>25.582999999999998</v>
      </c>
      <c r="S97">
        <v>0.210594336516299</v>
      </c>
      <c r="T97">
        <v>5.1309999999999993</v>
      </c>
      <c r="U97">
        <v>22.326000000000001</v>
      </c>
      <c r="V97">
        <v>0.18378333882120515</v>
      </c>
      <c r="W97">
        <v>-2.0403708767979998</v>
      </c>
      <c r="X97">
        <v>-1.6795940704626276E-2</v>
      </c>
    </row>
    <row r="98" spans="1:24" x14ac:dyDescent="0.2">
      <c r="A98" t="s">
        <v>339</v>
      </c>
      <c r="B98">
        <v>471.51530000000002</v>
      </c>
      <c r="C98">
        <v>106.971</v>
      </c>
      <c r="D98">
        <v>155.49099999999999</v>
      </c>
      <c r="E98">
        <v>150.45000000000002</v>
      </c>
      <c r="F98">
        <v>3.0324282434353118</v>
      </c>
      <c r="G98">
        <v>3.1340332336324357</v>
      </c>
      <c r="H98">
        <v>0.45358087706013761</v>
      </c>
      <c r="I98">
        <v>-3.2419882822799839E-2</v>
      </c>
      <c r="J98">
        <v>91.647999832153317</v>
      </c>
      <c r="K98">
        <v>0.58941031848887282</v>
      </c>
      <c r="L98">
        <v>31.064</v>
      </c>
      <c r="M98">
        <v>0.19978005157854797</v>
      </c>
      <c r="N98">
        <v>41.338999999999999</v>
      </c>
      <c r="O98">
        <v>0.2658610466200616</v>
      </c>
      <c r="P98">
        <v>36.280999999999999</v>
      </c>
      <c r="Q98">
        <v>0.23333183271057489</v>
      </c>
      <c r="R98">
        <v>-12.936999999999999</v>
      </c>
      <c r="S98">
        <v>-8.3200956968570536E-2</v>
      </c>
      <c r="T98">
        <v>2.270999999999999</v>
      </c>
      <c r="U98">
        <v>56.704000000000001</v>
      </c>
      <c r="V98">
        <v>0.36467705526364874</v>
      </c>
      <c r="W98">
        <v>-30.891449999999999</v>
      </c>
      <c r="X98">
        <v>-0.19867034104867806</v>
      </c>
    </row>
    <row r="99" spans="1:24" x14ac:dyDescent="0.2">
      <c r="A99" t="s">
        <v>343</v>
      </c>
      <c r="B99">
        <v>343.18979999999999</v>
      </c>
      <c r="C99">
        <v>163.92599999999999</v>
      </c>
      <c r="D99">
        <v>181.369</v>
      </c>
      <c r="E99">
        <v>204.3</v>
      </c>
      <c r="F99">
        <v>1.8922186261158191</v>
      </c>
      <c r="G99">
        <v>1.6798325991189427</v>
      </c>
      <c r="H99">
        <v>0.10640776935934515</v>
      </c>
      <c r="I99">
        <v>0.12643285236175972</v>
      </c>
      <c r="J99">
        <v>150.5580012512207</v>
      </c>
      <c r="K99">
        <v>0.83011981789181555</v>
      </c>
      <c r="L99">
        <v>75.349999999999994</v>
      </c>
      <c r="M99">
        <v>0.41545137261604792</v>
      </c>
      <c r="N99">
        <v>96.477000000000004</v>
      </c>
      <c r="O99">
        <v>0.53193765196918985</v>
      </c>
      <c r="P99">
        <v>28.091000000000001</v>
      </c>
      <c r="Q99">
        <v>0.15488313879439156</v>
      </c>
      <c r="R99">
        <v>-47.040999999999997</v>
      </c>
      <c r="S99">
        <v>-0.25936626435609172</v>
      </c>
      <c r="T99">
        <v>14.708</v>
      </c>
      <c r="U99">
        <v>85.832999999999998</v>
      </c>
      <c r="V99">
        <v>0.47325066576978425</v>
      </c>
      <c r="W99">
        <v>-51.76737</v>
      </c>
      <c r="X99">
        <v>-0.28542567914031614</v>
      </c>
    </row>
    <row r="100" spans="1:24" x14ac:dyDescent="0.2">
      <c r="A100" t="s">
        <v>353</v>
      </c>
      <c r="B100">
        <v>388.22890000000001</v>
      </c>
      <c r="C100">
        <v>15.507</v>
      </c>
      <c r="D100">
        <v>29.199000000000002</v>
      </c>
      <c r="E100">
        <v>39.658999999999999</v>
      </c>
      <c r="F100">
        <v>13.295965615260796</v>
      </c>
      <c r="G100">
        <v>9.7891752187397572</v>
      </c>
      <c r="H100">
        <v>0.88295608434900386</v>
      </c>
      <c r="I100">
        <v>0.35823144628240677</v>
      </c>
      <c r="J100">
        <v>15.933999778747559</v>
      </c>
      <c r="K100">
        <v>0.54570361240958798</v>
      </c>
      <c r="L100">
        <v>4.1589999999999998</v>
      </c>
      <c r="M100">
        <v>0.14243638480769888</v>
      </c>
      <c r="N100">
        <v>6.1790000000000003</v>
      </c>
      <c r="O100">
        <v>0.2116168361930203</v>
      </c>
      <c r="P100">
        <v>5.5949999999999998</v>
      </c>
      <c r="Q100">
        <v>0.19161615123805609</v>
      </c>
      <c r="R100">
        <v>0.91400000000000003</v>
      </c>
      <c r="S100">
        <v>3.130244186444741E-2</v>
      </c>
      <c r="T100">
        <v>-10.175999999999998</v>
      </c>
      <c r="U100">
        <v>19.567</v>
      </c>
      <c r="V100">
        <v>0.67012568923593274</v>
      </c>
      <c r="W100">
        <v>-4.5880099999999997</v>
      </c>
      <c r="X100">
        <v>-0.15712901126750914</v>
      </c>
    </row>
    <row r="101" spans="1:24" x14ac:dyDescent="0.2">
      <c r="A101" t="s">
        <v>355</v>
      </c>
      <c r="B101">
        <v>374.9058</v>
      </c>
      <c r="C101">
        <v>201.64599999999999</v>
      </c>
      <c r="D101">
        <v>271.697</v>
      </c>
      <c r="E101">
        <v>301</v>
      </c>
      <c r="F101">
        <v>1.3798672786228776</v>
      </c>
      <c r="G101">
        <v>1.245534219269103</v>
      </c>
      <c r="H101">
        <v>0.3473959314838877</v>
      </c>
      <c r="I101">
        <v>0.10785176133707775</v>
      </c>
      <c r="J101">
        <v>87.58700073242187</v>
      </c>
      <c r="K101">
        <v>0.32237014296227734</v>
      </c>
      <c r="L101">
        <v>6.9419999999999993</v>
      </c>
      <c r="M101">
        <v>2.5550521352830539E-2</v>
      </c>
      <c r="N101">
        <v>27.244</v>
      </c>
      <c r="O101">
        <v>0.10027346639823038</v>
      </c>
      <c r="P101">
        <v>22.837</v>
      </c>
      <c r="Q101">
        <v>8.4053191606826727E-2</v>
      </c>
      <c r="R101">
        <v>41.933999999999997</v>
      </c>
      <c r="S101">
        <v>0.15434104903624257</v>
      </c>
      <c r="T101">
        <v>23.638000000000002</v>
      </c>
      <c r="U101">
        <v>76.075999999999993</v>
      </c>
      <c r="V101">
        <v>0.28000309167933396</v>
      </c>
      <c r="W101">
        <v>18.194142797403998</v>
      </c>
      <c r="X101">
        <v>6.6964827721336634E-2</v>
      </c>
    </row>
    <row r="102" spans="1:24" x14ac:dyDescent="0.2">
      <c r="A102" t="s">
        <v>361</v>
      </c>
      <c r="B102">
        <v>328.06920000000002</v>
      </c>
      <c r="C102">
        <v>120.366</v>
      </c>
      <c r="D102">
        <v>127.502</v>
      </c>
      <c r="E102">
        <v>144.80000000000001</v>
      </c>
      <c r="F102">
        <v>2.5730514031152456</v>
      </c>
      <c r="G102">
        <v>2.265671270718232</v>
      </c>
      <c r="H102">
        <v>5.9285844839904921E-2</v>
      </c>
      <c r="I102">
        <v>0.13566846010258682</v>
      </c>
      <c r="J102">
        <v>65.636000694274898</v>
      </c>
      <c r="K102">
        <v>0.51478408726353231</v>
      </c>
      <c r="L102">
        <v>27.936</v>
      </c>
      <c r="M102">
        <v>0.21910244545183605</v>
      </c>
      <c r="N102">
        <v>18.074999999999999</v>
      </c>
      <c r="O102">
        <v>0.14176248215714263</v>
      </c>
      <c r="P102">
        <v>24.027999999999999</v>
      </c>
      <c r="Q102">
        <v>0.18845194585182978</v>
      </c>
      <c r="R102">
        <v>6.6750000000000007</v>
      </c>
      <c r="S102">
        <v>5.2352119966745631E-2</v>
      </c>
      <c r="T102">
        <v>-4.2229999999999999</v>
      </c>
      <c r="U102">
        <v>39.942999999999998</v>
      </c>
      <c r="V102">
        <v>0.31327351727816033</v>
      </c>
      <c r="W102">
        <v>-5.3883799999999997</v>
      </c>
      <c r="X102">
        <v>-4.2261141001709773E-2</v>
      </c>
    </row>
    <row r="103" spans="1:24" x14ac:dyDescent="0.2">
      <c r="A103" t="s">
        <v>363</v>
      </c>
      <c r="B103">
        <v>265.0127</v>
      </c>
      <c r="C103">
        <v>113.889</v>
      </c>
      <c r="D103">
        <v>113.21600000000001</v>
      </c>
      <c r="E103">
        <v>120.10000000000001</v>
      </c>
      <c r="F103">
        <v>2.3407707391181458</v>
      </c>
      <c r="G103">
        <v>2.2066003330557868</v>
      </c>
      <c r="H103">
        <v>-5.9092625275486447E-3</v>
      </c>
      <c r="I103">
        <v>6.0804126625211952E-2</v>
      </c>
      <c r="J103">
        <v>61.229999687194827</v>
      </c>
      <c r="K103">
        <v>0.5408246156655846</v>
      </c>
      <c r="L103">
        <v>11.876999999999999</v>
      </c>
      <c r="M103">
        <v>0.1049056670435274</v>
      </c>
      <c r="N103">
        <v>20.658000000000001</v>
      </c>
      <c r="O103">
        <v>0.18246537591859807</v>
      </c>
      <c r="P103">
        <v>16.056999999999999</v>
      </c>
      <c r="Q103">
        <v>0.14182624364047483</v>
      </c>
      <c r="R103">
        <v>16.959000000000003</v>
      </c>
      <c r="S103">
        <v>0.14979331543244773</v>
      </c>
      <c r="T103">
        <v>8.9260000000000019</v>
      </c>
      <c r="U103">
        <v>52.793999999999997</v>
      </c>
      <c r="V103">
        <v>0.46631218202374214</v>
      </c>
      <c r="W103">
        <v>9.6010000000000009</v>
      </c>
      <c r="X103">
        <v>8.4802501413227815E-2</v>
      </c>
    </row>
    <row r="104" spans="1:24" x14ac:dyDescent="0.2">
      <c r="A104" t="s">
        <v>365</v>
      </c>
      <c r="B104">
        <v>304.52499999999998</v>
      </c>
      <c r="C104">
        <v>54.494</v>
      </c>
      <c r="D104">
        <v>72.800999999999988</v>
      </c>
      <c r="E104">
        <v>86.84</v>
      </c>
      <c r="F104">
        <v>4.1829782557931896</v>
      </c>
      <c r="G104">
        <v>3.5067365269461073</v>
      </c>
      <c r="H104">
        <v>0.33594524167798268</v>
      </c>
      <c r="I104">
        <v>0.19284075768190023</v>
      </c>
      <c r="J104">
        <v>62.064999832153319</v>
      </c>
      <c r="K104">
        <v>0.85252949591562377</v>
      </c>
      <c r="L104">
        <v>14.01</v>
      </c>
      <c r="M104">
        <v>0.1924424115053365</v>
      </c>
      <c r="N104">
        <v>35.893000000000001</v>
      </c>
      <c r="O104">
        <v>0.49302894191013868</v>
      </c>
      <c r="P104">
        <v>5.1959999999999997</v>
      </c>
      <c r="Q104">
        <v>7.137264598013765E-2</v>
      </c>
      <c r="R104">
        <v>3.6139999999999999</v>
      </c>
      <c r="S104">
        <v>4.9642175244845543E-2</v>
      </c>
      <c r="T104">
        <v>6.4489999999999998</v>
      </c>
      <c r="U104">
        <v>29.087</v>
      </c>
      <c r="V104">
        <v>0.39954121509319934</v>
      </c>
      <c r="W104">
        <v>-1.5870000000000002</v>
      </c>
      <c r="X104">
        <v>-2.1799151110561674E-2</v>
      </c>
    </row>
    <row r="105" spans="1:24" x14ac:dyDescent="0.2">
      <c r="A105" t="s">
        <v>367</v>
      </c>
      <c r="B105">
        <v>268.75810000000001</v>
      </c>
      <c r="C105">
        <v>113.2</v>
      </c>
      <c r="D105">
        <v>128.30699999999999</v>
      </c>
      <c r="E105">
        <v>134.50399999999999</v>
      </c>
      <c r="F105">
        <v>2.094648772085701</v>
      </c>
      <c r="G105">
        <v>1.9981420626895856</v>
      </c>
      <c r="H105">
        <v>0.13345406360424014</v>
      </c>
      <c r="I105">
        <v>4.8298222232614041E-2</v>
      </c>
      <c r="J105">
        <v>101.39099937438965</v>
      </c>
      <c r="K105">
        <v>0.79022188481056888</v>
      </c>
      <c r="L105">
        <v>21.867999999999999</v>
      </c>
      <c r="M105">
        <v>0.17043497237095404</v>
      </c>
      <c r="N105">
        <v>63.494999999999997</v>
      </c>
      <c r="O105">
        <v>0.49486777806355076</v>
      </c>
      <c r="P105">
        <v>27.8</v>
      </c>
      <c r="Q105">
        <v>0.21666783573772283</v>
      </c>
      <c r="R105">
        <v>-4.3410000000000002</v>
      </c>
      <c r="S105">
        <v>-3.383291636465665E-2</v>
      </c>
      <c r="T105">
        <v>-1.6390000000000005</v>
      </c>
      <c r="U105">
        <v>53.421999999999997</v>
      </c>
      <c r="V105">
        <v>0.41636075974031034</v>
      </c>
      <c r="W105">
        <v>-10.436999999999999</v>
      </c>
      <c r="X105">
        <v>-8.1343964086137158E-2</v>
      </c>
    </row>
    <row r="106" spans="1:24" x14ac:dyDescent="0.2">
      <c r="A106" t="s">
        <v>369</v>
      </c>
      <c r="B106">
        <v>305.15159999999997</v>
      </c>
      <c r="C106">
        <v>34.701000000000001</v>
      </c>
      <c r="D106">
        <v>55.426000000000002</v>
      </c>
      <c r="E106">
        <v>77.417000000000002</v>
      </c>
      <c r="F106">
        <v>5.505567784072456</v>
      </c>
      <c r="G106">
        <v>3.9416613922006789</v>
      </c>
      <c r="H106">
        <v>0.5972450361661048</v>
      </c>
      <c r="I106">
        <v>0.39676325190343875</v>
      </c>
      <c r="J106">
        <v>48.276000267028806</v>
      </c>
      <c r="K106">
        <v>0.87099917488234413</v>
      </c>
      <c r="L106">
        <v>10.43</v>
      </c>
      <c r="M106">
        <v>0.1881788330386461</v>
      </c>
      <c r="N106">
        <v>14.484</v>
      </c>
      <c r="O106">
        <v>0.2613214015083174</v>
      </c>
      <c r="P106">
        <v>11.31</v>
      </c>
      <c r="Q106">
        <v>0.20405585826146574</v>
      </c>
      <c r="R106">
        <v>6.4513846153849999</v>
      </c>
      <c r="S106">
        <v>0.11639635938702053</v>
      </c>
      <c r="T106">
        <v>4.0730000000000004</v>
      </c>
      <c r="U106">
        <v>9.0860000000000003</v>
      </c>
      <c r="V106">
        <v>0.16393028542561253</v>
      </c>
      <c r="W106">
        <v>2.9750000000000001</v>
      </c>
      <c r="X106">
        <v>5.3675170497600407E-2</v>
      </c>
    </row>
    <row r="107" spans="1:24" x14ac:dyDescent="0.2">
      <c r="A107" t="s">
        <v>371</v>
      </c>
      <c r="B107">
        <v>255.0078</v>
      </c>
      <c r="C107">
        <v>21.792999999999999</v>
      </c>
      <c r="D107">
        <v>24.585999999999999</v>
      </c>
      <c r="E107">
        <v>25.216999999999999</v>
      </c>
      <c r="F107">
        <v>10.372073537785733</v>
      </c>
      <c r="G107">
        <v>10.11253519451164</v>
      </c>
      <c r="H107">
        <v>0.12816041848299911</v>
      </c>
      <c r="I107">
        <v>2.5665012608801829E-2</v>
      </c>
      <c r="J107">
        <v>16.067000110626221</v>
      </c>
      <c r="K107">
        <v>0.6535019975037103</v>
      </c>
      <c r="L107">
        <v>15.434999999999999</v>
      </c>
      <c r="M107">
        <v>0.62779630684129173</v>
      </c>
      <c r="N107">
        <v>16.635999999999999</v>
      </c>
      <c r="O107">
        <v>0.67664524526153091</v>
      </c>
      <c r="P107">
        <v>9.68</v>
      </c>
      <c r="Q107">
        <v>0.39372000325388434</v>
      </c>
      <c r="R107">
        <v>-27.398</v>
      </c>
      <c r="S107">
        <v>-1.1143740340030912</v>
      </c>
      <c r="T107">
        <v>-21.484000000000002</v>
      </c>
      <c r="U107">
        <v>40.823</v>
      </c>
      <c r="V107">
        <v>1.6604164971935249</v>
      </c>
      <c r="W107">
        <v>-28.759999999999998</v>
      </c>
      <c r="X107">
        <v>-1.1697714146262099</v>
      </c>
    </row>
    <row r="108" spans="1:24" x14ac:dyDescent="0.2">
      <c r="A108" t="s">
        <v>383</v>
      </c>
      <c r="B108">
        <v>259.96980000000002</v>
      </c>
      <c r="C108">
        <v>73.161190000000005</v>
      </c>
      <c r="D108">
        <v>81.967006999999995</v>
      </c>
      <c r="E108">
        <v>89.275000000000006</v>
      </c>
      <c r="F108">
        <v>3.1716395354047759</v>
      </c>
      <c r="G108">
        <v>2.9120112013441615</v>
      </c>
      <c r="H108">
        <v>0.12036186125458033</v>
      </c>
      <c r="I108">
        <v>8.9157738796050046E-2</v>
      </c>
      <c r="J108">
        <v>44.329346749023436</v>
      </c>
      <c r="K108">
        <v>0.54081939028252479</v>
      </c>
      <c r="L108">
        <v>14.941393999999999</v>
      </c>
      <c r="M108">
        <v>0.18228546517503072</v>
      </c>
      <c r="N108">
        <v>22.526534999999999</v>
      </c>
      <c r="O108">
        <v>0.27482441807348168</v>
      </c>
      <c r="P108">
        <v>15.263297</v>
      </c>
      <c r="Q108">
        <v>0.18621269165043444</v>
      </c>
      <c r="R108">
        <v>-4.3256870000000003</v>
      </c>
      <c r="S108">
        <v>-5.2773514104278572E-2</v>
      </c>
      <c r="T108">
        <v>3.9441799999999998</v>
      </c>
      <c r="U108">
        <v>9.3606009999999991</v>
      </c>
      <c r="V108">
        <v>0.11419961936636286</v>
      </c>
      <c r="W108">
        <v>-10.418129</v>
      </c>
      <c r="X108">
        <v>-0.12710149340941534</v>
      </c>
    </row>
    <row r="109" spans="1:24" x14ac:dyDescent="0.2">
      <c r="A109" t="s">
        <v>385</v>
      </c>
      <c r="B109">
        <v>205.81890000000001</v>
      </c>
      <c r="C109">
        <v>88.798507999999998</v>
      </c>
      <c r="D109">
        <v>93.621832000000012</v>
      </c>
      <c r="E109">
        <v>97.92</v>
      </c>
      <c r="F109">
        <v>2.1984070980367059</v>
      </c>
      <c r="G109">
        <v>2.1019087009803923</v>
      </c>
      <c r="H109">
        <v>5.4317624345670466E-2</v>
      </c>
      <c r="I109">
        <v>4.5909889906875501E-2</v>
      </c>
      <c r="J109">
        <v>79.795185569702141</v>
      </c>
      <c r="K109">
        <v>0.85231386595492098</v>
      </c>
      <c r="L109">
        <v>20.054991999999999</v>
      </c>
      <c r="M109">
        <v>0.21421277037176539</v>
      </c>
      <c r="N109">
        <v>40.912472999999999</v>
      </c>
      <c r="O109">
        <v>0.43699714186323541</v>
      </c>
      <c r="P109">
        <v>12.358472000000001</v>
      </c>
      <c r="Q109">
        <v>0.13200416757493058</v>
      </c>
      <c r="R109">
        <v>18.034611999999999</v>
      </c>
      <c r="S109">
        <v>0.19263254750238168</v>
      </c>
      <c r="T109">
        <v>11.063756</v>
      </c>
      <c r="U109">
        <v>33.956987999999996</v>
      </c>
      <c r="V109">
        <v>0.36270373346251111</v>
      </c>
      <c r="W109">
        <v>5.1388267800000005</v>
      </c>
      <c r="X109">
        <v>5.4889192725901793E-2</v>
      </c>
    </row>
    <row r="110" spans="1:24" x14ac:dyDescent="0.2">
      <c r="A110" t="s">
        <v>391</v>
      </c>
      <c r="B110">
        <v>117.0865</v>
      </c>
      <c r="C110">
        <v>90.369</v>
      </c>
      <c r="D110">
        <v>88.789999999999992</v>
      </c>
      <c r="E110">
        <v>99.167000000000002</v>
      </c>
      <c r="F110">
        <v>1.3186901678116907</v>
      </c>
      <c r="G110">
        <v>1.1807002329403935</v>
      </c>
      <c r="H110">
        <v>-1.7472805940090159E-2</v>
      </c>
      <c r="I110">
        <v>0.11687126928708191</v>
      </c>
      <c r="J110">
        <v>60.490999809265134</v>
      </c>
      <c r="K110">
        <v>0.68128167371624215</v>
      </c>
      <c r="L110">
        <v>21.852</v>
      </c>
      <c r="M110">
        <v>0.24610879603558961</v>
      </c>
      <c r="N110">
        <v>38.316000000000003</v>
      </c>
      <c r="O110">
        <v>0.43153508277959235</v>
      </c>
      <c r="P110">
        <v>10.696</v>
      </c>
      <c r="Q110">
        <v>0.12046401621804258</v>
      </c>
      <c r="R110">
        <v>-8.6230000000000011</v>
      </c>
      <c r="S110">
        <v>-9.7116792431580154E-2</v>
      </c>
      <c r="T110">
        <v>-1.4709999999999999</v>
      </c>
      <c r="U110">
        <v>15.341999999999999</v>
      </c>
      <c r="V110">
        <v>0.17278972857303751</v>
      </c>
      <c r="W110">
        <v>-12.355</v>
      </c>
      <c r="X110">
        <v>-0.13914855276495103</v>
      </c>
    </row>
    <row r="111" spans="1:24" x14ac:dyDescent="0.2">
      <c r="A111" t="s">
        <v>395</v>
      </c>
      <c r="B111">
        <v>198.11580000000001</v>
      </c>
      <c r="C111">
        <v>69.375</v>
      </c>
      <c r="D111">
        <v>61.307000000000002</v>
      </c>
      <c r="E111">
        <v>66.075000000000003</v>
      </c>
      <c r="F111">
        <v>3.2315363661572087</v>
      </c>
      <c r="G111">
        <v>2.9983473325766177</v>
      </c>
      <c r="H111">
        <v>-0.11629549549549546</v>
      </c>
      <c r="I111">
        <v>7.7772521897988778E-2</v>
      </c>
      <c r="J111">
        <v>38.971000602722171</v>
      </c>
      <c r="K111">
        <v>0.63566967234935934</v>
      </c>
      <c r="L111">
        <v>14.710999999999999</v>
      </c>
      <c r="M111">
        <v>0.23995628557913448</v>
      </c>
      <c r="N111">
        <v>17.681000000000001</v>
      </c>
      <c r="O111">
        <v>0.28840099825468546</v>
      </c>
      <c r="P111">
        <v>7.5670000000000002</v>
      </c>
      <c r="Q111">
        <v>0.12342799354070498</v>
      </c>
      <c r="R111">
        <v>1.6520000000000001</v>
      </c>
      <c r="S111">
        <v>2.6946351966333371E-2</v>
      </c>
      <c r="T111">
        <v>3.7540000000000004</v>
      </c>
      <c r="U111">
        <v>11.497999999999999</v>
      </c>
      <c r="V111">
        <v>0.1875479145937658</v>
      </c>
      <c r="W111">
        <v>-1.9897</v>
      </c>
      <c r="X111">
        <v>-3.2454695222405273E-2</v>
      </c>
    </row>
    <row r="112" spans="1:24" x14ac:dyDescent="0.2">
      <c r="A112" t="s">
        <v>397</v>
      </c>
      <c r="B112">
        <v>128.17080000000001</v>
      </c>
      <c r="C112">
        <v>183.346</v>
      </c>
      <c r="D112">
        <v>106.17999999999999</v>
      </c>
      <c r="E112">
        <v>222.333</v>
      </c>
      <c r="F112">
        <v>1.2071086833678661</v>
      </c>
      <c r="G112">
        <v>0.57648122410978131</v>
      </c>
      <c r="H112">
        <v>-0.4208763758140347</v>
      </c>
      <c r="I112">
        <v>1.0939254096816726</v>
      </c>
      <c r="J112">
        <v>43.949999134063717</v>
      </c>
      <c r="K112">
        <v>0.41391975074461967</v>
      </c>
      <c r="L112">
        <v>87.488</v>
      </c>
      <c r="M112">
        <v>0.82395931437182146</v>
      </c>
      <c r="N112">
        <v>20.748000000000001</v>
      </c>
      <c r="O112">
        <v>0.19540403089093994</v>
      </c>
      <c r="P112">
        <v>21.562000000000001</v>
      </c>
      <c r="Q112">
        <v>0.20307025805236392</v>
      </c>
      <c r="R112">
        <v>-82.265000000000001</v>
      </c>
      <c r="S112">
        <v>-0.77476925974759847</v>
      </c>
      <c r="T112">
        <v>-7.963000000000001</v>
      </c>
      <c r="U112">
        <v>17.117000000000001</v>
      </c>
      <c r="V112">
        <v>0.16120738368807688</v>
      </c>
      <c r="W112">
        <v>-86.175290000000004</v>
      </c>
      <c r="X112">
        <v>-0.81159625164814475</v>
      </c>
    </row>
    <row r="113" spans="1:24" x14ac:dyDescent="0.2">
      <c r="A113" t="s">
        <v>409</v>
      </c>
      <c r="B113">
        <v>124.41030000000001</v>
      </c>
      <c r="C113">
        <v>171.0899</v>
      </c>
      <c r="D113">
        <v>128.101112</v>
      </c>
      <c r="E113">
        <v>123</v>
      </c>
      <c r="F113">
        <v>0.97118829069961554</v>
      </c>
      <c r="G113">
        <v>1.0114658536585366</v>
      </c>
      <c r="H113">
        <v>-0.25126432360998513</v>
      </c>
      <c r="I113">
        <v>-3.982098141349466E-2</v>
      </c>
      <c r="J113">
        <v>72.534188598388667</v>
      </c>
      <c r="K113">
        <v>0.56622606522251473</v>
      </c>
      <c r="L113">
        <v>41.944024999999996</v>
      </c>
      <c r="M113">
        <v>0.32742904682981983</v>
      </c>
      <c r="N113">
        <v>19.221935999999999</v>
      </c>
      <c r="O113">
        <v>0.15005284263262289</v>
      </c>
      <c r="P113">
        <v>36.027413000000003</v>
      </c>
      <c r="Q113">
        <v>0.28124200045976183</v>
      </c>
      <c r="R113">
        <v>-23.433501</v>
      </c>
      <c r="S113">
        <v>-0.18292972351403164</v>
      </c>
      <c r="T113">
        <v>-57.896322999999995</v>
      </c>
      <c r="U113">
        <v>110.89174399999999</v>
      </c>
      <c r="V113">
        <v>0.86565793433549576</v>
      </c>
      <c r="W113">
        <v>-50.694046620000002</v>
      </c>
      <c r="X113">
        <v>-0.39573463359162725</v>
      </c>
    </row>
    <row r="114" spans="1:24" x14ac:dyDescent="0.2">
      <c r="A114" t="s">
        <v>411</v>
      </c>
      <c r="B114">
        <v>69.755799999999994</v>
      </c>
      <c r="C114">
        <v>278.221</v>
      </c>
      <c r="D114">
        <v>120.13199999999999</v>
      </c>
      <c r="E114">
        <v>124.5</v>
      </c>
      <c r="F114">
        <v>0.58065960776479209</v>
      </c>
      <c r="G114">
        <v>0.56028755020080312</v>
      </c>
      <c r="H114">
        <v>-0.56821375812753172</v>
      </c>
      <c r="I114">
        <v>3.6360003995604906E-2</v>
      </c>
      <c r="J114">
        <v>61.855000404357909</v>
      </c>
      <c r="K114">
        <v>0.5148919555518755</v>
      </c>
      <c r="L114">
        <v>47.5</v>
      </c>
      <c r="M114">
        <v>0.39539839509872476</v>
      </c>
      <c r="N114">
        <v>51.793999999999997</v>
      </c>
      <c r="O114">
        <v>0.43114241001564946</v>
      </c>
      <c r="P114">
        <v>55.595999999999997</v>
      </c>
      <c r="Q114">
        <v>0.46279092997702526</v>
      </c>
      <c r="R114">
        <v>-43.578000000000003</v>
      </c>
      <c r="S114">
        <v>-0.3627509739286785</v>
      </c>
      <c r="T114">
        <v>-42.018000000000001</v>
      </c>
      <c r="U114">
        <v>76.641999999999996</v>
      </c>
      <c r="V114">
        <v>0.63798155362434661</v>
      </c>
      <c r="W114">
        <v>-75.318597068339997</v>
      </c>
      <c r="X114">
        <v>-0.62696531372440323</v>
      </c>
    </row>
    <row r="115" spans="1:24" x14ac:dyDescent="0.2">
      <c r="A115" t="s">
        <v>413</v>
      </c>
      <c r="B115">
        <v>151.4391</v>
      </c>
      <c r="C115">
        <v>30.983000000000001</v>
      </c>
      <c r="D115">
        <v>31.908999999999999</v>
      </c>
      <c r="E115">
        <v>38.61</v>
      </c>
      <c r="F115">
        <v>4.7459682221316868</v>
      </c>
      <c r="G115">
        <v>3.9222766122766122</v>
      </c>
      <c r="H115">
        <v>2.9887357583190728E-2</v>
      </c>
      <c r="I115">
        <v>0.21000344730326859</v>
      </c>
      <c r="J115">
        <v>19.025000007629394</v>
      </c>
      <c r="K115">
        <v>0.59622677011593583</v>
      </c>
      <c r="L115">
        <v>9.8249999999999993</v>
      </c>
      <c r="M115">
        <v>0.30790686013350466</v>
      </c>
      <c r="N115">
        <v>15.551</v>
      </c>
      <c r="O115">
        <v>0.48735466482810497</v>
      </c>
      <c r="P115">
        <v>7.2859999999999996</v>
      </c>
      <c r="Q115">
        <v>0.2283368328684697</v>
      </c>
      <c r="R115">
        <v>-12.440999999999999</v>
      </c>
      <c r="S115">
        <v>-0.38988999968660876</v>
      </c>
      <c r="T115">
        <v>-13.39</v>
      </c>
      <c r="U115">
        <v>23.980999999999998</v>
      </c>
      <c r="V115">
        <v>0.75154345169074555</v>
      </c>
      <c r="W115">
        <v>-20.875574530000002</v>
      </c>
      <c r="X115">
        <v>-0.65422214829671888</v>
      </c>
    </row>
    <row r="116" spans="1:24" x14ac:dyDescent="0.2">
      <c r="A116" t="s">
        <v>557</v>
      </c>
      <c r="B116">
        <v>11763.517900000001</v>
      </c>
      <c r="C116">
        <v>389.33</v>
      </c>
      <c r="D116">
        <v>853.57299999999998</v>
      </c>
      <c r="E116">
        <v>1210.8910000000001</v>
      </c>
      <c r="F116">
        <v>13.781501875059311</v>
      </c>
      <c r="G116">
        <v>9.7147620223455284</v>
      </c>
      <c r="H116">
        <v>1.1924151747874554</v>
      </c>
      <c r="I116">
        <v>0.41861445945455178</v>
      </c>
      <c r="J116">
        <v>481.96899993896483</v>
      </c>
      <c r="K116">
        <v>0.56464883488461426</v>
      </c>
      <c r="L116">
        <v>135.99699999999999</v>
      </c>
      <c r="M116">
        <v>0.15932673596751537</v>
      </c>
      <c r="N116">
        <v>225.69399999999999</v>
      </c>
      <c r="O116">
        <v>0.26441089397157597</v>
      </c>
      <c r="P116">
        <v>67.718999999999994</v>
      </c>
      <c r="Q116">
        <v>7.9335920887844386E-2</v>
      </c>
      <c r="R116">
        <v>-41.38</v>
      </c>
      <c r="S116">
        <v>-4.8478571838612518E-2</v>
      </c>
      <c r="T116">
        <v>-12.155000000000001</v>
      </c>
      <c r="U116">
        <v>141.67699999999999</v>
      </c>
      <c r="V116">
        <v>0.16598111702221133</v>
      </c>
      <c r="W116">
        <v>-52.222000000000001</v>
      </c>
      <c r="X116">
        <v>-6.1180473140551542E-2</v>
      </c>
    </row>
    <row r="117" spans="1:24" x14ac:dyDescent="0.2">
      <c r="A117" t="s">
        <v>558</v>
      </c>
      <c r="B117">
        <v>3220.2809999999999</v>
      </c>
      <c r="C117">
        <v>65.271000000000001</v>
      </c>
      <c r="D117">
        <v>192.24099999999999</v>
      </c>
      <c r="E117">
        <v>271.53800000000001</v>
      </c>
      <c r="F117">
        <v>16.751270540623491</v>
      </c>
      <c r="G117">
        <v>11.859411942343245</v>
      </c>
      <c r="H117">
        <v>1.9452743178440652</v>
      </c>
      <c r="I117">
        <v>0.41248745064788483</v>
      </c>
      <c r="J117">
        <v>138.52599877929688</v>
      </c>
      <c r="K117">
        <v>0.72058509256244452</v>
      </c>
      <c r="L117">
        <v>62.201999999999998</v>
      </c>
      <c r="M117">
        <v>0.32356261151367294</v>
      </c>
      <c r="N117">
        <v>109.95</v>
      </c>
      <c r="O117">
        <v>0.57193834821916245</v>
      </c>
      <c r="P117">
        <v>36.774999999999999</v>
      </c>
      <c r="Q117">
        <v>0.19129634157125691</v>
      </c>
      <c r="R117">
        <v>-107.69300000000001</v>
      </c>
      <c r="S117">
        <v>-0.5601978766236132</v>
      </c>
      <c r="T117">
        <v>-44.982999999999997</v>
      </c>
      <c r="U117">
        <v>61.901999999999994</v>
      </c>
      <c r="V117">
        <v>0.32200207031798628</v>
      </c>
      <c r="W117">
        <v>-111</v>
      </c>
      <c r="X117">
        <v>-0.57740024240406573</v>
      </c>
    </row>
    <row r="118" spans="1:24" x14ac:dyDescent="0.2">
      <c r="A118" t="s">
        <v>559</v>
      </c>
      <c r="B118">
        <v>6079.7704000000003</v>
      </c>
      <c r="C118">
        <v>277.33499999999998</v>
      </c>
      <c r="D118">
        <v>492.64800000000002</v>
      </c>
      <c r="E118">
        <v>667.76099999999997</v>
      </c>
      <c r="F118">
        <v>12.341002906740716</v>
      </c>
      <c r="G118">
        <v>9.104710218176864</v>
      </c>
      <c r="H118">
        <v>0.7763643247336256</v>
      </c>
      <c r="I118">
        <v>0.35545257465776769</v>
      </c>
      <c r="J118">
        <v>261.8499954833984</v>
      </c>
      <c r="K118">
        <v>0.5315153933100274</v>
      </c>
      <c r="L118">
        <v>120.73899999999999</v>
      </c>
      <c r="M118">
        <v>0.24508168103798247</v>
      </c>
      <c r="N118">
        <v>100.669</v>
      </c>
      <c r="O118">
        <v>0.20434265439015278</v>
      </c>
      <c r="P118">
        <v>59.619</v>
      </c>
      <c r="Q118">
        <v>0.12101744044429287</v>
      </c>
      <c r="R118">
        <v>-68.85692307692301</v>
      </c>
      <c r="S118">
        <v>-0.13976900967206404</v>
      </c>
      <c r="T118">
        <v>12.943999999999999</v>
      </c>
      <c r="U118">
        <v>115.286</v>
      </c>
      <c r="V118">
        <v>0.23401292606485766</v>
      </c>
      <c r="W118">
        <v>-90.092929999999996</v>
      </c>
      <c r="X118">
        <v>-0.1828748518211786</v>
      </c>
    </row>
    <row r="119" spans="1:24" x14ac:dyDescent="0.2">
      <c r="A119" t="s">
        <v>561</v>
      </c>
      <c r="B119">
        <v>2404.9515999999999</v>
      </c>
      <c r="C119">
        <v>427.58800000000002</v>
      </c>
      <c r="D119">
        <v>476.02700000000004</v>
      </c>
      <c r="E119">
        <v>635.75</v>
      </c>
      <c r="F119">
        <v>5.0521327571755377</v>
      </c>
      <c r="G119">
        <v>3.7828574125049155</v>
      </c>
      <c r="H119">
        <v>0.11328428300139391</v>
      </c>
      <c r="I119">
        <v>0.33553348864665233</v>
      </c>
      <c r="J119">
        <v>327.95800305175783</v>
      </c>
      <c r="K119">
        <v>0.68894832236776027</v>
      </c>
      <c r="L119">
        <v>27.382999999999999</v>
      </c>
      <c r="M119">
        <v>5.7524048005680346E-2</v>
      </c>
      <c r="N119">
        <v>34.103000000000002</v>
      </c>
      <c r="O119">
        <v>7.164089431901971E-2</v>
      </c>
      <c r="P119">
        <v>149.94800000000001</v>
      </c>
      <c r="Q119">
        <v>0.31499893913580529</v>
      </c>
      <c r="R119">
        <v>100.64099999999999</v>
      </c>
      <c r="S119">
        <v>0.21141868003285524</v>
      </c>
      <c r="T119">
        <v>3.2039999999999935</v>
      </c>
      <c r="U119">
        <v>208.94399999999999</v>
      </c>
      <c r="V119">
        <v>0.43893308572833045</v>
      </c>
      <c r="W119">
        <v>7.2179362649929981</v>
      </c>
      <c r="X119">
        <v>1.5162871570295377E-2</v>
      </c>
    </row>
    <row r="120" spans="1:24" x14ac:dyDescent="0.2">
      <c r="A120" t="s">
        <v>563</v>
      </c>
      <c r="B120">
        <v>4154.2816999999995</v>
      </c>
      <c r="C120">
        <v>290.10300000000001</v>
      </c>
      <c r="D120">
        <v>513.48300000000006</v>
      </c>
      <c r="E120">
        <v>674.78300000000002</v>
      </c>
      <c r="F120">
        <v>8.0903977346864426</v>
      </c>
      <c r="G120">
        <v>6.1564705986961723</v>
      </c>
      <c r="H120">
        <v>0.77000237846557962</v>
      </c>
      <c r="I120">
        <v>0.31412919220305247</v>
      </c>
      <c r="J120">
        <v>418.44500848388674</v>
      </c>
      <c r="K120">
        <v>0.81491501857683057</v>
      </c>
      <c r="L120">
        <v>153.63499999999999</v>
      </c>
      <c r="M120">
        <v>0.29920172624994396</v>
      </c>
      <c r="N120">
        <v>204.435</v>
      </c>
      <c r="O120">
        <v>0.39813392069455072</v>
      </c>
      <c r="P120">
        <v>48.186</v>
      </c>
      <c r="Q120">
        <v>9.3841470895823217E-2</v>
      </c>
      <c r="R120">
        <v>-27.757000000000005</v>
      </c>
      <c r="S120">
        <v>-5.4056317346436011E-2</v>
      </c>
      <c r="T120">
        <v>88.836999999999989</v>
      </c>
      <c r="U120">
        <v>85.22999999999999</v>
      </c>
      <c r="V120">
        <v>0.16598407347468169</v>
      </c>
      <c r="W120">
        <v>-41.129518560316001</v>
      </c>
      <c r="X120">
        <v>-8.0099085189414249E-2</v>
      </c>
    </row>
    <row r="121" spans="1:24" x14ac:dyDescent="0.2">
      <c r="A121" t="s">
        <v>564</v>
      </c>
      <c r="B121">
        <v>5590.6315999999997</v>
      </c>
      <c r="C121">
        <v>85.906999999999996</v>
      </c>
      <c r="D121">
        <v>324.19499999999999</v>
      </c>
      <c r="E121">
        <v>424.09399999999999</v>
      </c>
      <c r="F121">
        <v>17.244657073674794</v>
      </c>
      <c r="G121">
        <v>13.182529344909383</v>
      </c>
      <c r="H121">
        <v>2.7737902615619219</v>
      </c>
      <c r="I121">
        <v>0.30814478940144041</v>
      </c>
      <c r="J121">
        <v>228.25000210571289</v>
      </c>
      <c r="K121">
        <v>0.70405158039363003</v>
      </c>
      <c r="L121">
        <v>70.820999999999998</v>
      </c>
      <c r="M121">
        <v>0.21845185767824921</v>
      </c>
      <c r="N121">
        <v>172.97300000000001</v>
      </c>
      <c r="O121">
        <v>0.53354616820123701</v>
      </c>
      <c r="P121">
        <v>51.802999999999997</v>
      </c>
      <c r="Q121">
        <v>0.15978963278273878</v>
      </c>
      <c r="R121">
        <v>-116.569</v>
      </c>
      <c r="S121">
        <v>-0.35956445966162343</v>
      </c>
      <c r="T121">
        <v>-21.870999999999999</v>
      </c>
      <c r="U121">
        <v>127.949</v>
      </c>
      <c r="V121">
        <v>0.3946667900491988</v>
      </c>
      <c r="W121">
        <v>-123.625</v>
      </c>
      <c r="X121">
        <v>-0.3813291383272413</v>
      </c>
    </row>
    <row r="122" spans="1:24" x14ac:dyDescent="0.2">
      <c r="A122" t="s">
        <v>577</v>
      </c>
      <c r="B122">
        <v>1234.2756999999999</v>
      </c>
      <c r="C122">
        <v>206.98599999999999</v>
      </c>
      <c r="D122">
        <v>265.089</v>
      </c>
      <c r="E122">
        <v>329.13800000000003</v>
      </c>
      <c r="F122">
        <v>4.6560804107299809</v>
      </c>
      <c r="G122">
        <v>3.750024913562092</v>
      </c>
      <c r="H122">
        <v>0.28070980646034038</v>
      </c>
      <c r="I122">
        <v>0.24161319405935378</v>
      </c>
      <c r="J122">
        <v>189.59500091552735</v>
      </c>
      <c r="K122">
        <v>0.71521263015639036</v>
      </c>
      <c r="L122">
        <v>46.16</v>
      </c>
      <c r="M122">
        <v>0.17413019778263147</v>
      </c>
      <c r="N122">
        <v>90.921999999999997</v>
      </c>
      <c r="O122">
        <v>0.34298669503449786</v>
      </c>
      <c r="P122">
        <v>43.331000000000003</v>
      </c>
      <c r="Q122">
        <v>0.16345831022788573</v>
      </c>
      <c r="R122">
        <v>35.430999999999997</v>
      </c>
      <c r="S122">
        <v>0.1336569982156936</v>
      </c>
      <c r="T122">
        <v>32.344000000000001</v>
      </c>
      <c r="U122">
        <v>128.23099999999999</v>
      </c>
      <c r="V122">
        <v>0.48372810640954544</v>
      </c>
      <c r="W122">
        <v>-1.8899511748109996</v>
      </c>
      <c r="X122">
        <v>-7.1294967909305918E-3</v>
      </c>
    </row>
    <row r="123" spans="1:24" x14ac:dyDescent="0.2">
      <c r="A123" t="s">
        <v>587</v>
      </c>
      <c r="B123">
        <v>28442.0455</v>
      </c>
      <c r="C123">
        <v>1708.721</v>
      </c>
      <c r="D123">
        <v>2684.7350000000001</v>
      </c>
      <c r="E123">
        <v>1858.0640000000001</v>
      </c>
      <c r="F123">
        <v>10.593986184856233</v>
      </c>
      <c r="G123">
        <v>15.307355128779202</v>
      </c>
      <c r="H123">
        <v>0.57119564867523731</v>
      </c>
      <c r="I123">
        <v>-0.30791530635239606</v>
      </c>
      <c r="J123">
        <v>1029.4319973144532</v>
      </c>
      <c r="K123">
        <v>0.38343896038694808</v>
      </c>
      <c r="L123">
        <v>321.88799999999998</v>
      </c>
      <c r="M123">
        <v>0.11989563215736375</v>
      </c>
      <c r="N123">
        <v>253.17</v>
      </c>
      <c r="O123">
        <v>9.4299809850879129E-2</v>
      </c>
      <c r="P123">
        <v>250.553</v>
      </c>
      <c r="Q123">
        <v>9.3325039529041032E-2</v>
      </c>
      <c r="R123">
        <v>-3.8120000000000012</v>
      </c>
      <c r="S123">
        <v>-1.4198794294408949E-3</v>
      </c>
      <c r="T123">
        <v>72.408999999999992</v>
      </c>
      <c r="U123">
        <v>696.47399999999993</v>
      </c>
      <c r="V123">
        <v>0.25942001724564989</v>
      </c>
      <c r="W123">
        <v>-55.131</v>
      </c>
      <c r="X123">
        <v>-2.0534987624476902E-2</v>
      </c>
    </row>
    <row r="124" spans="1:24" x14ac:dyDescent="0.2">
      <c r="A124" t="s">
        <v>588</v>
      </c>
      <c r="B124">
        <v>11492.5267</v>
      </c>
      <c r="C124">
        <v>409.221</v>
      </c>
      <c r="D124">
        <v>766.22400000000005</v>
      </c>
      <c r="E124">
        <v>912.07100000000003</v>
      </c>
      <c r="F124">
        <v>14.998912459019817</v>
      </c>
      <c r="G124">
        <v>12.600473756977253</v>
      </c>
      <c r="H124">
        <v>0.87239657788823166</v>
      </c>
      <c r="I124">
        <v>0.19034512100899992</v>
      </c>
      <c r="J124">
        <v>534.71100567626956</v>
      </c>
      <c r="K124">
        <v>0.69785207155645024</v>
      </c>
      <c r="L124">
        <v>132.05099999999999</v>
      </c>
      <c r="M124">
        <v>0.17233994236672301</v>
      </c>
      <c r="N124">
        <v>130.898</v>
      </c>
      <c r="O124">
        <v>0.1708351604752657</v>
      </c>
      <c r="P124">
        <v>60.390999999999998</v>
      </c>
      <c r="Q124">
        <v>7.8816377456200792E-2</v>
      </c>
      <c r="R124">
        <v>188.203</v>
      </c>
      <c r="S124">
        <v>0.24562399507193719</v>
      </c>
      <c r="T124">
        <v>274.41300000000001</v>
      </c>
      <c r="U124">
        <v>320.18299999999999</v>
      </c>
      <c r="V124">
        <v>0.41787127524066064</v>
      </c>
      <c r="W124">
        <v>162.85600955123999</v>
      </c>
      <c r="X124">
        <v>0.21254360285143767</v>
      </c>
    </row>
    <row r="125" spans="1:24" x14ac:dyDescent="0.2">
      <c r="A125" t="s">
        <v>590</v>
      </c>
      <c r="B125">
        <v>4083.6496999999999</v>
      </c>
      <c r="C125">
        <v>463.38099999999997</v>
      </c>
      <c r="D125">
        <v>609.726</v>
      </c>
      <c r="E125">
        <v>719.86699999999996</v>
      </c>
      <c r="F125">
        <v>6.6975160973945673</v>
      </c>
      <c r="G125">
        <v>5.6727835836341995</v>
      </c>
      <c r="H125">
        <v>0.31582002714828628</v>
      </c>
      <c r="I125">
        <v>0.1806401563981197</v>
      </c>
      <c r="J125">
        <v>460.99100408935544</v>
      </c>
      <c r="K125">
        <v>0.75606256595479848</v>
      </c>
      <c r="L125">
        <v>138.56399999999999</v>
      </c>
      <c r="M125">
        <v>0.22725617736491471</v>
      </c>
      <c r="N125">
        <v>126.273</v>
      </c>
      <c r="O125">
        <v>0.2070979423544346</v>
      </c>
      <c r="P125">
        <v>94.323999999999998</v>
      </c>
      <c r="Q125">
        <v>0.15469899594243972</v>
      </c>
      <c r="R125">
        <v>82.144000000000005</v>
      </c>
      <c r="S125">
        <v>0.13472280991789756</v>
      </c>
      <c r="T125">
        <v>44.370999999999995</v>
      </c>
      <c r="U125">
        <v>237.32499999999999</v>
      </c>
      <c r="V125">
        <v>0.38923221250200907</v>
      </c>
      <c r="W125">
        <v>48.942264632863001</v>
      </c>
      <c r="X125">
        <v>8.0269276089363087E-2</v>
      </c>
    </row>
    <row r="126" spans="1:24" x14ac:dyDescent="0.2">
      <c r="A126" t="s">
        <v>597</v>
      </c>
      <c r="B126">
        <v>498.00700000000001</v>
      </c>
      <c r="C126">
        <v>21.366</v>
      </c>
      <c r="D126">
        <v>45.913776851069429</v>
      </c>
      <c r="E126">
        <v>104.675</v>
      </c>
      <c r="F126">
        <v>10.846570118058157</v>
      </c>
      <c r="G126">
        <v>4.7576498686410318</v>
      </c>
      <c r="H126">
        <v>1.148917759574531</v>
      </c>
      <c r="I126">
        <v>1.2798168039962041</v>
      </c>
      <c r="J126">
        <v>32.362014866124603</v>
      </c>
      <c r="K126">
        <v>0.70484323193662135</v>
      </c>
      <c r="L126">
        <v>11.413988746902495</v>
      </c>
      <c r="M126">
        <v>0.24859616284510996</v>
      </c>
      <c r="N126">
        <v>8.1589877207270067</v>
      </c>
      <c r="O126">
        <v>0.17770238652316328</v>
      </c>
      <c r="P126">
        <v>9.0291365099026333</v>
      </c>
      <c r="Q126">
        <v>0.19665418811417876</v>
      </c>
      <c r="R126">
        <v>12.963605572070199</v>
      </c>
      <c r="S126">
        <v>0.28234674777725782</v>
      </c>
      <c r="T126">
        <v>5.6319999999999997</v>
      </c>
      <c r="U126">
        <v>24.123999999999999</v>
      </c>
      <c r="V126">
        <v>0.5254196377320699</v>
      </c>
      <c r="W126">
        <v>5.1382688847482347</v>
      </c>
      <c r="X126">
        <v>0.111911265793168</v>
      </c>
    </row>
    <row r="127" spans="1:24" x14ac:dyDescent="0.2">
      <c r="A127" t="s">
        <v>598</v>
      </c>
      <c r="B127">
        <v>11310.248799999999</v>
      </c>
      <c r="C127">
        <v>1413.6980000000001</v>
      </c>
      <c r="D127">
        <v>1762.6579999999999</v>
      </c>
      <c r="E127">
        <v>3002.8670000000002</v>
      </c>
      <c r="F127">
        <v>6.4165872222518496</v>
      </c>
      <c r="G127">
        <v>3.766483430668091</v>
      </c>
      <c r="H127">
        <v>0.24684197049157583</v>
      </c>
      <c r="I127">
        <v>0.70360160621062073</v>
      </c>
      <c r="J127">
        <v>927.55099047851559</v>
      </c>
      <c r="K127">
        <v>0.52622289206330197</v>
      </c>
      <c r="L127">
        <v>196.37299999999999</v>
      </c>
      <c r="M127">
        <v>0.11140731781207699</v>
      </c>
      <c r="N127">
        <v>256.09199999999998</v>
      </c>
      <c r="O127">
        <v>0.14528740118616318</v>
      </c>
      <c r="P127">
        <v>247.828</v>
      </c>
      <c r="Q127">
        <v>0.14059902715104122</v>
      </c>
      <c r="R127">
        <v>287.15600000000006</v>
      </c>
      <c r="S127">
        <v>0.16291078586997595</v>
      </c>
      <c r="T127">
        <v>128.85899999999998</v>
      </c>
      <c r="U127">
        <v>808.97299999999996</v>
      </c>
      <c r="V127">
        <v>0.45895063024137411</v>
      </c>
      <c r="W127">
        <v>192.85892999999999</v>
      </c>
      <c r="X127">
        <v>0.10941369794934695</v>
      </c>
    </row>
    <row r="128" spans="1:24" x14ac:dyDescent="0.2">
      <c r="A128" t="s">
        <v>599</v>
      </c>
      <c r="B128">
        <v>5116.1342000000004</v>
      </c>
      <c r="C128">
        <v>201.49100000000001</v>
      </c>
      <c r="D128">
        <v>662.16275290332658</v>
      </c>
      <c r="E128">
        <v>964.04100000000005</v>
      </c>
      <c r="F128">
        <v>7.7263998579922211</v>
      </c>
      <c r="G128">
        <v>5.3069674422560871</v>
      </c>
      <c r="H128">
        <v>2.2863142914736962</v>
      </c>
      <c r="I128">
        <v>0.4558973541973701</v>
      </c>
      <c r="J128">
        <v>462.07363936766961</v>
      </c>
      <c r="K128">
        <v>0.69782487363062351</v>
      </c>
      <c r="L128">
        <v>154.31598291557478</v>
      </c>
      <c r="M128">
        <v>0.23304841934850473</v>
      </c>
      <c r="N128">
        <v>169.76960474098371</v>
      </c>
      <c r="O128">
        <v>0.2563865212843971</v>
      </c>
      <c r="P128">
        <v>72.929738302088708</v>
      </c>
      <c r="Q128">
        <v>0.11013869019711563</v>
      </c>
      <c r="R128">
        <v>163.30981038419148</v>
      </c>
      <c r="S128">
        <v>0.24663092218361932</v>
      </c>
      <c r="T128">
        <v>65.210999999999999</v>
      </c>
      <c r="U128">
        <v>105.649</v>
      </c>
      <c r="V128">
        <v>0.15955140867825948</v>
      </c>
      <c r="W128">
        <v>77.683937329779184</v>
      </c>
      <c r="X128">
        <v>0.11731849456823912</v>
      </c>
    </row>
    <row r="129" spans="1:24" x14ac:dyDescent="0.2">
      <c r="A129" t="s">
        <v>602</v>
      </c>
      <c r="B129">
        <v>11136.6034</v>
      </c>
      <c r="C129">
        <v>1393.9970000000001</v>
      </c>
      <c r="D129">
        <v>2027.4701488016447</v>
      </c>
      <c r="E129">
        <v>2646.6010000000001</v>
      </c>
      <c r="F129">
        <v>5.4928569017809679</v>
      </c>
      <c r="G129">
        <v>4.2078890622349192</v>
      </c>
      <c r="H129">
        <v>0.45442934870135626</v>
      </c>
      <c r="I129">
        <v>0.30537113040322628</v>
      </c>
      <c r="J129">
        <v>1679.9929314420062</v>
      </c>
      <c r="K129">
        <v>0.82861537193777279</v>
      </c>
      <c r="L129">
        <v>808.46222965286324</v>
      </c>
      <c r="M129">
        <v>0.39875419627298209</v>
      </c>
      <c r="N129">
        <v>397.17667897950406</v>
      </c>
      <c r="O129">
        <v>0.19589767041169956</v>
      </c>
      <c r="P129">
        <v>169.33572698676082</v>
      </c>
      <c r="Q129">
        <v>8.3520700458573113E-2</v>
      </c>
      <c r="R129">
        <v>942.26823079258611</v>
      </c>
      <c r="S129">
        <v>0.46475072954811325</v>
      </c>
      <c r="T129">
        <v>809.69499999999994</v>
      </c>
      <c r="U129">
        <v>746.93899999999996</v>
      </c>
      <c r="V129">
        <v>0.36840936989453843</v>
      </c>
      <c r="W129">
        <v>205.69174478129477</v>
      </c>
      <c r="X129">
        <v>0.10145241590998064</v>
      </c>
    </row>
    <row r="130" spans="1:24" x14ac:dyDescent="0.2">
      <c r="A130" t="s">
        <v>603</v>
      </c>
      <c r="B130">
        <v>1498.6233999999999</v>
      </c>
      <c r="C130">
        <v>94.061999999999998</v>
      </c>
      <c r="D130">
        <v>169.74299999999999</v>
      </c>
      <c r="E130">
        <v>217.958</v>
      </c>
      <c r="F130">
        <v>8.8287788008931152</v>
      </c>
      <c r="G130">
        <v>6.8757439506693947</v>
      </c>
      <c r="H130">
        <v>0.8045863366715571</v>
      </c>
      <c r="I130">
        <v>0.2840470593780009</v>
      </c>
      <c r="J130">
        <v>52.637000358581545</v>
      </c>
      <c r="K130">
        <v>0.3100982094023409</v>
      </c>
      <c r="L130">
        <v>5.6280000000000001</v>
      </c>
      <c r="M130">
        <v>3.3156006433254982E-2</v>
      </c>
      <c r="N130">
        <v>5.5419999999999998</v>
      </c>
      <c r="O130">
        <v>3.2649358147316829E-2</v>
      </c>
      <c r="P130">
        <v>21.181000000000001</v>
      </c>
      <c r="Q130">
        <v>0.12478275981925618</v>
      </c>
      <c r="R130">
        <v>17.134</v>
      </c>
      <c r="S130">
        <v>0.10094083408446888</v>
      </c>
      <c r="T130">
        <v>7.0270000000000001</v>
      </c>
      <c r="U130">
        <v>10.43</v>
      </c>
      <c r="V130">
        <v>6.1445832817848156E-2</v>
      </c>
      <c r="W130">
        <v>8.8915167711629994</v>
      </c>
      <c r="X130">
        <v>5.2382229436047437E-2</v>
      </c>
    </row>
    <row r="131" spans="1:24" x14ac:dyDescent="0.2">
      <c r="A131" t="s">
        <v>605</v>
      </c>
      <c r="B131">
        <v>877.18060000000003</v>
      </c>
      <c r="C131">
        <v>49.845999999999997</v>
      </c>
      <c r="D131">
        <v>67.067000000000007</v>
      </c>
      <c r="E131">
        <v>79</v>
      </c>
      <c r="F131">
        <v>13.079168592601427</v>
      </c>
      <c r="G131">
        <v>11.103551898734178</v>
      </c>
      <c r="H131">
        <v>0.3454840910002811</v>
      </c>
      <c r="I131">
        <v>0.1779265510608794</v>
      </c>
      <c r="J131">
        <v>63.660000076293947</v>
      </c>
      <c r="K131">
        <v>0.94920005481524361</v>
      </c>
      <c r="L131">
        <v>13.173999999999999</v>
      </c>
      <c r="M131">
        <v>0.19643043523640535</v>
      </c>
      <c r="N131">
        <v>8.2569999999999997</v>
      </c>
      <c r="O131">
        <v>0.12311569027986936</v>
      </c>
      <c r="P131">
        <v>8.7360000000000007</v>
      </c>
      <c r="Q131">
        <v>0.13025780189959293</v>
      </c>
      <c r="R131">
        <v>20.859000000000002</v>
      </c>
      <c r="S131">
        <v>0.31101734086808713</v>
      </c>
      <c r="T131">
        <v>29.554000000000002</v>
      </c>
      <c r="U131">
        <v>52.832999999999998</v>
      </c>
      <c r="V131">
        <v>0.78776447433163843</v>
      </c>
      <c r="W131">
        <v>15.805099999999999</v>
      </c>
      <c r="X131">
        <v>0.23566135357180129</v>
      </c>
    </row>
    <row r="132" spans="1:24" x14ac:dyDescent="0.2">
      <c r="A132" t="s">
        <v>607</v>
      </c>
      <c r="B132">
        <v>25857.610499999999</v>
      </c>
      <c r="C132">
        <v>4396</v>
      </c>
      <c r="D132">
        <v>4838</v>
      </c>
      <c r="E132">
        <v>5394.9750000000004</v>
      </c>
      <c r="F132">
        <v>5.3446900578751544</v>
      </c>
      <c r="G132">
        <v>4.7929064546174907</v>
      </c>
      <c r="H132">
        <v>0.1005459508644222</v>
      </c>
      <c r="I132">
        <v>0.11512505167424569</v>
      </c>
      <c r="J132">
        <v>3503</v>
      </c>
      <c r="K132">
        <v>0.72405952873088053</v>
      </c>
      <c r="L132">
        <v>1320</v>
      </c>
      <c r="M132">
        <v>0.27284001653575857</v>
      </c>
      <c r="N132">
        <v>641</v>
      </c>
      <c r="O132">
        <v>0.13249276560562215</v>
      </c>
      <c r="P132">
        <v>469</v>
      </c>
      <c r="Q132">
        <v>9.6940884663083912E-2</v>
      </c>
      <c r="R132">
        <v>1151</v>
      </c>
      <c r="S132">
        <v>0.23790822653989252</v>
      </c>
      <c r="T132">
        <v>1351</v>
      </c>
      <c r="U132">
        <v>4258</v>
      </c>
      <c r="V132">
        <v>0.88011575031004552</v>
      </c>
      <c r="W132">
        <v>881.07999999999993</v>
      </c>
      <c r="X132">
        <v>0.18211657709797435</v>
      </c>
    </row>
    <row r="133" spans="1:24" x14ac:dyDescent="0.2">
      <c r="A133" t="s">
        <v>608</v>
      </c>
      <c r="B133">
        <v>2858.7084</v>
      </c>
      <c r="C133">
        <v>741.42</v>
      </c>
      <c r="D133">
        <v>883.15200000000004</v>
      </c>
      <c r="E133">
        <v>981.11099999999999</v>
      </c>
      <c r="F133">
        <v>3.2369381488124351</v>
      </c>
      <c r="G133">
        <v>2.9137461510471292</v>
      </c>
      <c r="H133">
        <v>0.19116290361738297</v>
      </c>
      <c r="I133">
        <v>0.11091975107342789</v>
      </c>
      <c r="J133">
        <v>610.00600537109381</v>
      </c>
      <c r="K133">
        <v>0.69071462825322683</v>
      </c>
      <c r="L133">
        <v>256.012</v>
      </c>
      <c r="M133">
        <v>0.28988441400800768</v>
      </c>
      <c r="N133">
        <v>212.03</v>
      </c>
      <c r="O133">
        <v>0.24008324727793176</v>
      </c>
      <c r="P133">
        <v>108.65300000000001</v>
      </c>
      <c r="Q133">
        <v>0.12302865191948838</v>
      </c>
      <c r="R133">
        <v>82.168000000000006</v>
      </c>
      <c r="S133">
        <v>9.3039476783158506E-2</v>
      </c>
      <c r="T133">
        <v>94.092000000000013</v>
      </c>
      <c r="U133">
        <v>372.87</v>
      </c>
      <c r="V133">
        <v>0.42220365237241153</v>
      </c>
      <c r="W133">
        <v>49.854209999999995</v>
      </c>
      <c r="X133">
        <v>5.6450316593293103E-2</v>
      </c>
    </row>
    <row r="134" spans="1:24" x14ac:dyDescent="0.2">
      <c r="A134" t="s">
        <v>610</v>
      </c>
      <c r="B134">
        <v>4868.8302000000003</v>
      </c>
      <c r="C134">
        <v>1082.9000000000001</v>
      </c>
      <c r="D134">
        <v>1286.5</v>
      </c>
      <c r="E134">
        <v>1414.836</v>
      </c>
      <c r="F134">
        <v>3.7845551496307817</v>
      </c>
      <c r="G134">
        <v>3.4412682459309774</v>
      </c>
      <c r="H134">
        <v>0.18801366700526354</v>
      </c>
      <c r="I134">
        <v>9.9755926933540628E-2</v>
      </c>
      <c r="J134">
        <v>696.89999084472652</v>
      </c>
      <c r="K134">
        <v>0.54170228592672098</v>
      </c>
      <c r="L134">
        <v>173.6</v>
      </c>
      <c r="M134">
        <v>0.13493975903614458</v>
      </c>
      <c r="N134">
        <v>252.2</v>
      </c>
      <c r="O134">
        <v>0.19603575592693354</v>
      </c>
      <c r="P134">
        <v>145.4</v>
      </c>
      <c r="Q134">
        <v>0.11301982122036534</v>
      </c>
      <c r="R134">
        <v>325.79999999999995</v>
      </c>
      <c r="S134">
        <v>0.25324523902059848</v>
      </c>
      <c r="T134">
        <v>297.59999999999997</v>
      </c>
      <c r="U134">
        <v>165.1</v>
      </c>
      <c r="V134">
        <v>0.12833268558103381</v>
      </c>
      <c r="W134">
        <v>132.49198895886499</v>
      </c>
      <c r="X134">
        <v>0.10298638861940536</v>
      </c>
    </row>
  </sheetData>
  <autoFilter ref="A1:X134" xr:uid="{D7732E78-9483-4441-974D-E94DC32681D4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BB0CA-6324-4A3D-B192-5F7965D5261D}">
  <dimension ref="A1:I129"/>
  <sheetViews>
    <sheetView topLeftCell="A46" zoomScale="85" zoomScaleNormal="85" workbookViewId="0">
      <selection activeCell="H41" sqref="H41"/>
    </sheetView>
  </sheetViews>
  <sheetFormatPr defaultRowHeight="12.75" x14ac:dyDescent="0.2"/>
  <cols>
    <col min="1" max="1" width="18.28515625" customWidth="1"/>
    <col min="2" max="3" width="9.7109375" style="174" customWidth="1"/>
    <col min="4" max="4" width="9.7109375" customWidth="1"/>
    <col min="5" max="5" width="14.85546875" style="181" bestFit="1" customWidth="1"/>
    <col min="6" max="6" width="13.5703125" style="177" bestFit="1" customWidth="1"/>
    <col min="7" max="8" width="12.28515625" style="184" customWidth="1"/>
    <col min="9" max="9" width="14.85546875" bestFit="1" customWidth="1"/>
    <col min="11" max="11" width="26.28515625" customWidth="1"/>
    <col min="12" max="18" width="16.28515625" customWidth="1"/>
  </cols>
  <sheetData>
    <row r="1" spans="1:9" ht="55.5" customHeight="1" x14ac:dyDescent="0.2">
      <c r="A1" t="s">
        <v>424</v>
      </c>
      <c r="B1" t="s">
        <v>902</v>
      </c>
      <c r="C1" t="s">
        <v>957</v>
      </c>
      <c r="D1" t="s">
        <v>965</v>
      </c>
      <c r="E1" t="s">
        <v>966</v>
      </c>
      <c r="F1" t="s">
        <v>967</v>
      </c>
      <c r="G1" t="s">
        <v>971</v>
      </c>
      <c r="H1" t="s">
        <v>974</v>
      </c>
      <c r="I1" t="s">
        <v>977</v>
      </c>
    </row>
    <row r="2" spans="1:9" x14ac:dyDescent="0.2">
      <c r="A2" t="s">
        <v>329</v>
      </c>
      <c r="B2">
        <v>17.748484580908862</v>
      </c>
      <c r="C2">
        <v>7.2610403592663362</v>
      </c>
      <c r="D2">
        <v>-0.40020780206952206</v>
      </c>
      <c r="E2">
        <v>1.4443445708518534</v>
      </c>
      <c r="F2">
        <v>0.25056812394409728</v>
      </c>
      <c r="G2">
        <v>0.20959295280444246</v>
      </c>
      <c r="H2">
        <v>-0.29354885163447586</v>
      </c>
      <c r="I2">
        <v>-0.31713433716531614</v>
      </c>
    </row>
    <row r="3" spans="1:9" x14ac:dyDescent="0.2">
      <c r="A3" t="s">
        <v>71</v>
      </c>
      <c r="B3">
        <v>8.405979501872979</v>
      </c>
      <c r="C3">
        <v>4.1965213012924441</v>
      </c>
      <c r="D3">
        <v>0.46772793424758136</v>
      </c>
      <c r="E3">
        <v>1.003082767454107</v>
      </c>
      <c r="F3">
        <v>0.4120739852790079</v>
      </c>
      <c r="G3">
        <v>5.4475715675295321E-2</v>
      </c>
      <c r="H3">
        <v>0.34420158714463439</v>
      </c>
      <c r="I3">
        <v>0.11994384890125027</v>
      </c>
    </row>
    <row r="4" spans="1:9" x14ac:dyDescent="0.2">
      <c r="A4" t="s">
        <v>201</v>
      </c>
      <c r="B4">
        <v>22.467830979838748</v>
      </c>
      <c r="C4">
        <v>12.764006066393305</v>
      </c>
      <c r="D4">
        <v>1.7300679737920546</v>
      </c>
      <c r="E4">
        <v>0.76024916182035529</v>
      </c>
      <c r="F4">
        <v>0.80511087341464949</v>
      </c>
      <c r="G4">
        <v>0.65548794189819592</v>
      </c>
      <c r="H4">
        <v>-0.40360259948046345</v>
      </c>
      <c r="I4">
        <v>-0.44139034453003517</v>
      </c>
    </row>
    <row r="5" spans="1:9" x14ac:dyDescent="0.2">
      <c r="A5" t="s">
        <v>81</v>
      </c>
      <c r="B5">
        <v>12.711549657216436</v>
      </c>
      <c r="C5">
        <v>7.3169712943917578</v>
      </c>
      <c r="D5">
        <v>-0.30553776015824852</v>
      </c>
      <c r="E5">
        <v>0.73726930799352219</v>
      </c>
      <c r="F5">
        <v>0.47515737788724272</v>
      </c>
      <c r="G5">
        <v>9.7392589715798408E-2</v>
      </c>
      <c r="H5">
        <v>0.3374990340356307</v>
      </c>
      <c r="I5">
        <v>0.1897375945406666</v>
      </c>
    </row>
    <row r="6" spans="1:9" x14ac:dyDescent="0.2">
      <c r="A6" t="s">
        <v>598</v>
      </c>
      <c r="B6">
        <v>6.4165872222518496</v>
      </c>
      <c r="C6">
        <v>3.766483430668091</v>
      </c>
      <c r="D6">
        <v>0.24684197049157583</v>
      </c>
      <c r="E6">
        <v>0.70360160621062073</v>
      </c>
      <c r="F6">
        <v>0.52622289206330197</v>
      </c>
      <c r="G6">
        <v>0.14528740118616318</v>
      </c>
      <c r="H6">
        <v>0.16291078586997595</v>
      </c>
      <c r="I6">
        <v>0.10941369794934695</v>
      </c>
    </row>
    <row r="7" spans="1:9" x14ac:dyDescent="0.2">
      <c r="A7" t="s">
        <v>193</v>
      </c>
      <c r="B7">
        <v>8.1780436163455441</v>
      </c>
      <c r="C7">
        <v>5.1677116680401376</v>
      </c>
      <c r="D7">
        <v>0.23505201523506333</v>
      </c>
      <c r="E7">
        <v>0.58252707226738099</v>
      </c>
      <c r="F7">
        <v>0.72472666906013439</v>
      </c>
      <c r="G7">
        <v>6.7446691644649833E-3</v>
      </c>
      <c r="H7">
        <v>0.46110768456550882</v>
      </c>
      <c r="I7">
        <v>0.42550945573158794</v>
      </c>
    </row>
    <row r="8" spans="1:9" x14ac:dyDescent="0.2">
      <c r="A8" t="s">
        <v>187</v>
      </c>
      <c r="B8">
        <v>15.777604713227186</v>
      </c>
      <c r="C8">
        <v>10.068368363264293</v>
      </c>
      <c r="D8">
        <v>0.50941135795322068</v>
      </c>
      <c r="E8">
        <v>0.56704682863946054</v>
      </c>
      <c r="F8">
        <v>0.86369568575644429</v>
      </c>
      <c r="G8">
        <v>0.61951131163870943</v>
      </c>
      <c r="H8">
        <v>-0.19213006120590004</v>
      </c>
      <c r="I8">
        <v>-0.21851944579096239</v>
      </c>
    </row>
    <row r="9" spans="1:9" x14ac:dyDescent="0.2">
      <c r="A9" t="s">
        <v>169</v>
      </c>
      <c r="B9">
        <v>22.136584064642975</v>
      </c>
      <c r="C9">
        <v>14.330281334885527</v>
      </c>
      <c r="D9">
        <v>0.26534234418731656</v>
      </c>
      <c r="E9">
        <v>0.54474176377499628</v>
      </c>
      <c r="F9">
        <v>0.70131395962211673</v>
      </c>
      <c r="G9">
        <v>0.62028245336402432</v>
      </c>
      <c r="H9">
        <v>-0.39612405888840929</v>
      </c>
      <c r="I9">
        <v>-0.57122404450199005</v>
      </c>
    </row>
    <row r="10" spans="1:9" x14ac:dyDescent="0.2">
      <c r="A10" t="s">
        <v>227</v>
      </c>
      <c r="B10">
        <v>13.117476745709421</v>
      </c>
      <c r="C10">
        <v>8.6079148104728418</v>
      </c>
      <c r="D10">
        <v>0.82163933003558087</v>
      </c>
      <c r="E10">
        <v>0.52388552100329933</v>
      </c>
      <c r="F10">
        <v>0.52415945118683227</v>
      </c>
      <c r="G10">
        <v>0.43523337660636235</v>
      </c>
      <c r="H10">
        <v>-0.23658039850886703</v>
      </c>
      <c r="I10">
        <v>-0.28080821314150284</v>
      </c>
    </row>
    <row r="11" spans="1:9" x14ac:dyDescent="0.2">
      <c r="A11" t="s">
        <v>139</v>
      </c>
      <c r="B11">
        <v>8.8058083841738704</v>
      </c>
      <c r="C11">
        <v>6.1000758770737011</v>
      </c>
      <c r="D11">
        <v>0.81375278594672318</v>
      </c>
      <c r="E11">
        <v>0.44355718873420802</v>
      </c>
      <c r="F11">
        <v>0.55167283034571557</v>
      </c>
      <c r="G11">
        <v>0.43418015216828026</v>
      </c>
      <c r="H11">
        <v>-0.2867072605783651</v>
      </c>
      <c r="I11">
        <v>-0.32097260499846886</v>
      </c>
    </row>
    <row r="12" spans="1:9" x14ac:dyDescent="0.2">
      <c r="A12" t="s">
        <v>557</v>
      </c>
      <c r="B12">
        <v>13.781501875059311</v>
      </c>
      <c r="C12">
        <v>9.7147620223455284</v>
      </c>
      <c r="D12">
        <v>1.1924151747874554</v>
      </c>
      <c r="E12">
        <v>0.41861445945455178</v>
      </c>
      <c r="F12">
        <v>0.56464883488461426</v>
      </c>
      <c r="G12">
        <v>0.26441089397157597</v>
      </c>
      <c r="H12">
        <v>-4.8478571838612518E-2</v>
      </c>
      <c r="I12">
        <v>-6.1180473140551542E-2</v>
      </c>
    </row>
    <row r="13" spans="1:9" x14ac:dyDescent="0.2">
      <c r="A13" t="s">
        <v>558</v>
      </c>
      <c r="B13">
        <v>16.751270540623491</v>
      </c>
      <c r="C13">
        <v>11.859411942343245</v>
      </c>
      <c r="D13">
        <v>1.9452743178440652</v>
      </c>
      <c r="E13">
        <v>0.41248745064788483</v>
      </c>
      <c r="F13">
        <v>0.72058509256244452</v>
      </c>
      <c r="G13">
        <v>0.57193834821916245</v>
      </c>
      <c r="H13">
        <v>-0.5601978766236132</v>
      </c>
      <c r="I13">
        <v>-0.57740024240406573</v>
      </c>
    </row>
    <row r="14" spans="1:9" x14ac:dyDescent="0.2">
      <c r="A14" t="s">
        <v>289</v>
      </c>
      <c r="B14">
        <v>8.9161560112089067</v>
      </c>
      <c r="C14">
        <v>6.3740109429466525</v>
      </c>
      <c r="D14">
        <v>0.39380070372250281</v>
      </c>
      <c r="E14">
        <v>0.39882973076400785</v>
      </c>
      <c r="F14">
        <v>0.78003135531497281</v>
      </c>
      <c r="G14">
        <v>0.66160949053785467</v>
      </c>
      <c r="H14">
        <v>-0.29694347402076365</v>
      </c>
      <c r="I14">
        <v>-0.34458133247744022</v>
      </c>
    </row>
    <row r="15" spans="1:9" x14ac:dyDescent="0.2">
      <c r="A15" t="s">
        <v>369</v>
      </c>
      <c r="B15">
        <v>5.505567784072456</v>
      </c>
      <c r="C15">
        <v>3.9416613922006789</v>
      </c>
      <c r="D15">
        <v>0.5972450361661048</v>
      </c>
      <c r="E15">
        <v>0.39676325190343875</v>
      </c>
      <c r="F15">
        <v>0.87099917488234413</v>
      </c>
      <c r="G15">
        <v>0.2613214015083174</v>
      </c>
      <c r="H15">
        <v>0.11639635938702053</v>
      </c>
      <c r="I15">
        <v>5.3675170497600407E-2</v>
      </c>
    </row>
    <row r="16" spans="1:9" x14ac:dyDescent="0.2">
      <c r="A16" t="s">
        <v>189</v>
      </c>
      <c r="B16">
        <v>14.554801675289482</v>
      </c>
      <c r="C16">
        <v>10.536085746896847</v>
      </c>
      <c r="D16">
        <v>0.89252826669774998</v>
      </c>
      <c r="E16">
        <v>0.3814239960581427</v>
      </c>
      <c r="F16">
        <v>0.86476966442513215</v>
      </c>
      <c r="G16">
        <v>0.40909090909090912</v>
      </c>
      <c r="H16">
        <v>-8.3431879773343209E-2</v>
      </c>
      <c r="I16">
        <v>-0.12112952697708795</v>
      </c>
    </row>
    <row r="17" spans="1:9" x14ac:dyDescent="0.2">
      <c r="A17" t="s">
        <v>161</v>
      </c>
      <c r="B17">
        <v>9.1242249141037206</v>
      </c>
      <c r="C17">
        <v>6.6749513014078792</v>
      </c>
      <c r="D17">
        <v>0.68382524385030896</v>
      </c>
      <c r="E17">
        <v>0.3669350534706135</v>
      </c>
      <c r="F17">
        <v>0.83004221347896434</v>
      </c>
      <c r="G17">
        <v>0.4353895551279573</v>
      </c>
      <c r="H17">
        <v>-7.7149426348448957E-2</v>
      </c>
      <c r="I17">
        <v>-0.13688015485851276</v>
      </c>
    </row>
    <row r="18" spans="1:9" x14ac:dyDescent="0.2">
      <c r="A18" t="s">
        <v>145</v>
      </c>
      <c r="B18">
        <v>19.979064961561519</v>
      </c>
      <c r="C18">
        <v>14.681783299200124</v>
      </c>
      <c r="D18">
        <v>1.3675568004979766</v>
      </c>
      <c r="E18">
        <v>0.36080641938435365</v>
      </c>
      <c r="F18">
        <v>0.80084028022065901</v>
      </c>
      <c r="G18">
        <v>0.61211837580321193</v>
      </c>
      <c r="H18">
        <v>-0.1545058735684163</v>
      </c>
      <c r="I18">
        <v>-0.1545058735684163</v>
      </c>
    </row>
    <row r="19" spans="1:9" x14ac:dyDescent="0.2">
      <c r="A19" t="s">
        <v>353</v>
      </c>
      <c r="B19">
        <v>13.295965615260796</v>
      </c>
      <c r="C19">
        <v>9.7891752187397572</v>
      </c>
      <c r="D19">
        <v>0.88295608434900386</v>
      </c>
      <c r="E19">
        <v>0.35823144628240677</v>
      </c>
      <c r="F19">
        <v>0.54570361240958798</v>
      </c>
      <c r="G19">
        <v>0.2116168361930203</v>
      </c>
      <c r="H19">
        <v>3.130244186444741E-2</v>
      </c>
      <c r="I19">
        <v>-0.15712901126750914</v>
      </c>
    </row>
    <row r="20" spans="1:9" x14ac:dyDescent="0.2">
      <c r="A20" t="s">
        <v>559</v>
      </c>
      <c r="B20">
        <v>12.341002906740716</v>
      </c>
      <c r="C20">
        <v>9.104710218176864</v>
      </c>
      <c r="D20">
        <v>0.7763643247336256</v>
      </c>
      <c r="E20">
        <v>0.35545257465776769</v>
      </c>
      <c r="F20">
        <v>0.5315153933100274</v>
      </c>
      <c r="G20">
        <v>0.20434265439015278</v>
      </c>
      <c r="H20">
        <v>-0.13976900967206404</v>
      </c>
      <c r="I20">
        <v>-0.1828748518211786</v>
      </c>
    </row>
    <row r="21" spans="1:9" x14ac:dyDescent="0.2">
      <c r="A21" t="s">
        <v>331</v>
      </c>
      <c r="B21">
        <v>6.5029585116891679</v>
      </c>
      <c r="C21">
        <v>4.8337773589754578</v>
      </c>
      <c r="D21">
        <v>0.62478098626399348</v>
      </c>
      <c r="E21">
        <v>0.34531610141587099</v>
      </c>
      <c r="F21">
        <v>0.66982218315619402</v>
      </c>
      <c r="G21">
        <v>0.12600428054000659</v>
      </c>
      <c r="H21">
        <v>0.210594336516299</v>
      </c>
      <c r="I21">
        <v>-1.6795940704626276E-2</v>
      </c>
    </row>
    <row r="22" spans="1:9" x14ac:dyDescent="0.2">
      <c r="A22" t="s">
        <v>83</v>
      </c>
      <c r="B22">
        <v>8.6317822551499823</v>
      </c>
      <c r="C22">
        <v>6.4523526539411495</v>
      </c>
      <c r="D22">
        <v>0.3101325757575758</v>
      </c>
      <c r="E22">
        <v>0.33777285869172391</v>
      </c>
      <c r="F22">
        <v>0.66669678352005779</v>
      </c>
      <c r="G22">
        <v>0.28370075894470548</v>
      </c>
      <c r="H22">
        <v>6.1528731478135174E-2</v>
      </c>
      <c r="I22">
        <v>-4.517528008673654E-2</v>
      </c>
    </row>
    <row r="23" spans="1:9" x14ac:dyDescent="0.2">
      <c r="A23" t="s">
        <v>561</v>
      </c>
      <c r="B23">
        <v>5.0521327571755377</v>
      </c>
      <c r="C23">
        <v>3.7828574125049155</v>
      </c>
      <c r="D23">
        <v>0.11328428300139391</v>
      </c>
      <c r="E23">
        <v>0.33553348864665233</v>
      </c>
      <c r="F23">
        <v>0.68894832236776027</v>
      </c>
      <c r="G23">
        <v>7.164089431901971E-2</v>
      </c>
      <c r="H23">
        <v>0.21141868003285524</v>
      </c>
      <c r="I23">
        <v>1.5162871570295377E-2</v>
      </c>
    </row>
    <row r="24" spans="1:9" x14ac:dyDescent="0.2">
      <c r="A24" t="s">
        <v>269</v>
      </c>
      <c r="B24">
        <v>11.848405086788029</v>
      </c>
      <c r="C24">
        <v>8.9237196782026444</v>
      </c>
      <c r="D24">
        <v>0.59836556229341797</v>
      </c>
      <c r="E24">
        <v>0.32774285993421692</v>
      </c>
      <c r="F24">
        <v>0.69223629840944378</v>
      </c>
      <c r="G24">
        <v>0.38263262448301688</v>
      </c>
      <c r="H24">
        <v>-0.20080926173185265</v>
      </c>
      <c r="I24">
        <v>-0.3190529846614778</v>
      </c>
    </row>
    <row r="25" spans="1:9" x14ac:dyDescent="0.2">
      <c r="A25" t="s">
        <v>211</v>
      </c>
      <c r="B25">
        <v>11.85648084293884</v>
      </c>
      <c r="C25">
        <v>8.9364435486722531</v>
      </c>
      <c r="D25">
        <v>0.27315351259660992</v>
      </c>
      <c r="E25">
        <v>0.32675608348697449</v>
      </c>
      <c r="F25">
        <v>0.72801054611815585</v>
      </c>
      <c r="G25">
        <v>0.62767230095843951</v>
      </c>
      <c r="H25">
        <v>-0.20314882317894153</v>
      </c>
      <c r="I25">
        <v>-0.25911901444461649</v>
      </c>
    </row>
    <row r="26" spans="1:9" x14ac:dyDescent="0.2">
      <c r="A26" t="s">
        <v>51</v>
      </c>
      <c r="B26">
        <v>16.244587217549903</v>
      </c>
      <c r="C26">
        <v>12.266786806509231</v>
      </c>
      <c r="D26">
        <v>1.0728747773805511</v>
      </c>
      <c r="E26">
        <v>0.32427403147904221</v>
      </c>
      <c r="F26">
        <v>0.81234907806795387</v>
      </c>
      <c r="G26">
        <v>0.19842224811699938</v>
      </c>
      <c r="H26">
        <v>4.5932971932313299E-2</v>
      </c>
      <c r="I26">
        <v>-0.31811310458675307</v>
      </c>
    </row>
    <row r="27" spans="1:9" x14ac:dyDescent="0.2">
      <c r="A27" t="s">
        <v>257</v>
      </c>
      <c r="B27">
        <v>6.8716627546177129</v>
      </c>
      <c r="C27">
        <v>5.2102507725858258</v>
      </c>
      <c r="D27">
        <v>0.52307205386236633</v>
      </c>
      <c r="E27">
        <v>0.31887370772507673</v>
      </c>
      <c r="F27">
        <v>0.70741808526214944</v>
      </c>
      <c r="G27">
        <v>0.33921478801732324</v>
      </c>
      <c r="H27">
        <v>-5.4009471058260393E-2</v>
      </c>
      <c r="I27">
        <v>-0.10750678901855586</v>
      </c>
    </row>
    <row r="28" spans="1:9" x14ac:dyDescent="0.2">
      <c r="A28" t="s">
        <v>113</v>
      </c>
      <c r="B28">
        <v>11.057836911899347</v>
      </c>
      <c r="C28">
        <v>8.4077397304365906</v>
      </c>
      <c r="D28">
        <v>0.62784175590306368</v>
      </c>
      <c r="E28">
        <v>0.31519733798005456</v>
      </c>
      <c r="F28">
        <v>0.70098153174246813</v>
      </c>
      <c r="G28">
        <v>0.43462988668694685</v>
      </c>
      <c r="H28">
        <v>-0.16941854797937722</v>
      </c>
      <c r="I28">
        <v>-0.22722663595105191</v>
      </c>
    </row>
    <row r="29" spans="1:9" x14ac:dyDescent="0.2">
      <c r="A29" t="s">
        <v>563</v>
      </c>
      <c r="B29">
        <v>8.0903977346864426</v>
      </c>
      <c r="C29">
        <v>6.1564705986961723</v>
      </c>
      <c r="D29">
        <v>0.77000237846557962</v>
      </c>
      <c r="E29">
        <v>0.31412919220305247</v>
      </c>
      <c r="F29">
        <v>0.81491501857683057</v>
      </c>
      <c r="G29">
        <v>0.39813392069455072</v>
      </c>
      <c r="H29">
        <v>-5.4056317346436011E-2</v>
      </c>
      <c r="I29">
        <v>-8.0099085189414249E-2</v>
      </c>
    </row>
    <row r="30" spans="1:9" x14ac:dyDescent="0.2">
      <c r="A30" t="s">
        <v>564</v>
      </c>
      <c r="B30">
        <v>17.244657073674794</v>
      </c>
      <c r="C30">
        <v>13.182529344909383</v>
      </c>
      <c r="D30">
        <v>2.7737902615619219</v>
      </c>
      <c r="E30">
        <v>0.30814478940144041</v>
      </c>
      <c r="F30">
        <v>0.70405158039363003</v>
      </c>
      <c r="G30">
        <v>0.53354616820123701</v>
      </c>
      <c r="H30">
        <v>-0.35956445966162343</v>
      </c>
      <c r="I30">
        <v>-0.3813291383272413</v>
      </c>
    </row>
    <row r="31" spans="1:9" x14ac:dyDescent="0.2">
      <c r="A31" t="s">
        <v>23</v>
      </c>
      <c r="B31">
        <v>13.27660805415711</v>
      </c>
      <c r="C31">
        <v>10.166276468778422</v>
      </c>
      <c r="D31">
        <v>0.62876434812188042</v>
      </c>
      <c r="E31">
        <v>0.30594599654365151</v>
      </c>
      <c r="F31">
        <v>0.75349984737580866</v>
      </c>
      <c r="G31">
        <v>0.41796603523991765</v>
      </c>
      <c r="H31">
        <v>2.6210494618110591E-2</v>
      </c>
      <c r="I31">
        <v>-3.9516806217013457E-2</v>
      </c>
    </row>
    <row r="32" spans="1:9" x14ac:dyDescent="0.2">
      <c r="A32" t="s">
        <v>602</v>
      </c>
      <c r="B32">
        <v>5.4928569017809679</v>
      </c>
      <c r="C32">
        <v>4.2078890622349192</v>
      </c>
      <c r="D32">
        <v>0.45442934870135626</v>
      </c>
      <c r="E32">
        <v>0.30537113040322628</v>
      </c>
      <c r="F32">
        <v>0.82861537193777279</v>
      </c>
      <c r="G32">
        <v>0.19589767041169956</v>
      </c>
      <c r="H32">
        <v>0.46475072954811325</v>
      </c>
      <c r="I32">
        <v>0.10145241590998064</v>
      </c>
    </row>
    <row r="33" spans="1:9" x14ac:dyDescent="0.2">
      <c r="A33" t="s">
        <v>127</v>
      </c>
      <c r="B33">
        <v>8.4313421144344218</v>
      </c>
      <c r="C33">
        <v>6.5353081442171996</v>
      </c>
      <c r="D33">
        <v>0.63529305238937317</v>
      </c>
      <c r="E33">
        <v>0.29012158698208257</v>
      </c>
      <c r="F33">
        <v>0.71608316536046746</v>
      </c>
      <c r="G33">
        <v>0.42152705171925225</v>
      </c>
      <c r="H33">
        <v>-3.7534647241411888E-2</v>
      </c>
      <c r="I33">
        <v>-0.12790277669230971</v>
      </c>
    </row>
    <row r="34" spans="1:9" x14ac:dyDescent="0.2">
      <c r="A34" t="s">
        <v>57</v>
      </c>
      <c r="B34">
        <v>8.8228827508875813</v>
      </c>
      <c r="C34">
        <v>6.8447533077898379</v>
      </c>
      <c r="D34">
        <v>1.1667297493398761</v>
      </c>
      <c r="E34">
        <v>0.28899937720859659</v>
      </c>
      <c r="F34">
        <v>0.79280240098719257</v>
      </c>
      <c r="G34">
        <v>0.55817645019947282</v>
      </c>
      <c r="H34">
        <v>-0.17765987856258086</v>
      </c>
      <c r="I34">
        <v>-0.22092738611271831</v>
      </c>
    </row>
    <row r="35" spans="1:9" x14ac:dyDescent="0.2">
      <c r="A35" t="s">
        <v>33</v>
      </c>
      <c r="B35">
        <v>10.483709258423414</v>
      </c>
      <c r="C35">
        <v>8.1596586177651069</v>
      </c>
      <c r="D35">
        <v>1.0992936741910104</v>
      </c>
      <c r="E35">
        <v>0.28482204336323713</v>
      </c>
      <c r="F35">
        <v>0.70649098895806062</v>
      </c>
      <c r="G35">
        <v>0.28142574515120466</v>
      </c>
      <c r="H35">
        <v>-4.4409677493748537E-2</v>
      </c>
      <c r="I35">
        <v>-0.137903072523548</v>
      </c>
    </row>
    <row r="36" spans="1:9" x14ac:dyDescent="0.2">
      <c r="A36" t="s">
        <v>603</v>
      </c>
      <c r="B36">
        <v>8.8287788008931152</v>
      </c>
      <c r="C36">
        <v>6.8757439506693947</v>
      </c>
      <c r="D36">
        <v>0.8045863366715571</v>
      </c>
      <c r="E36">
        <v>0.2840470593780009</v>
      </c>
      <c r="F36">
        <v>0.3100982094023409</v>
      </c>
      <c r="G36">
        <v>3.2649358147316829E-2</v>
      </c>
      <c r="H36">
        <v>0.10094083408446888</v>
      </c>
      <c r="I36">
        <v>5.2382229436047437E-2</v>
      </c>
    </row>
    <row r="37" spans="1:9" x14ac:dyDescent="0.2">
      <c r="A37" t="s">
        <v>137</v>
      </c>
      <c r="B37">
        <v>11.578912315589761</v>
      </c>
      <c r="C37">
        <v>9.0551950609724976</v>
      </c>
      <c r="D37">
        <v>1.1134141162325091</v>
      </c>
      <c r="E37">
        <v>0.27870379794405276</v>
      </c>
      <c r="F37">
        <v>0.83089453283393444</v>
      </c>
      <c r="G37">
        <v>0.54026948100245054</v>
      </c>
      <c r="H37">
        <v>-5.8953862534937762E-3</v>
      </c>
      <c r="I37">
        <v>-8.7178644035064382E-2</v>
      </c>
    </row>
    <row r="38" spans="1:9" x14ac:dyDescent="0.2">
      <c r="A38" t="s">
        <v>247</v>
      </c>
      <c r="B38">
        <v>5.291464596351231</v>
      </c>
      <c r="C38">
        <v>4.16037951302041</v>
      </c>
      <c r="D38">
        <v>0.44266059659262341</v>
      </c>
      <c r="E38">
        <v>0.27187065021134593</v>
      </c>
      <c r="F38">
        <v>0.63627342087059102</v>
      </c>
      <c r="G38">
        <v>3.7884262798690331E-2</v>
      </c>
      <c r="H38">
        <v>0.33725429140417862</v>
      </c>
      <c r="I38">
        <v>0.24665552810936545</v>
      </c>
    </row>
    <row r="39" spans="1:9" x14ac:dyDescent="0.2">
      <c r="A39" t="s">
        <v>570</v>
      </c>
      <c r="B39">
        <v>9.9784416791877995</v>
      </c>
      <c r="C39">
        <v>7.882183737704918</v>
      </c>
      <c r="D39">
        <v>1.4046334851745246</v>
      </c>
      <c r="E39">
        <v>0.26594888056913724</v>
      </c>
      <c r="F39">
        <v>0.73876460508669539</v>
      </c>
      <c r="G39">
        <v>0.46143629164141686</v>
      </c>
      <c r="H39">
        <v>-0.54499389854146074</v>
      </c>
      <c r="I39">
        <v>-0.54499389854146074</v>
      </c>
    </row>
    <row r="40" spans="1:9" x14ac:dyDescent="0.2">
      <c r="A40" t="s">
        <v>129</v>
      </c>
      <c r="B40">
        <v>10.734431432785303</v>
      </c>
      <c r="C40">
        <v>8.490319800310715</v>
      </c>
      <c r="D40">
        <v>0.62897696029405803</v>
      </c>
      <c r="E40">
        <v>0.26431414661111607</v>
      </c>
      <c r="F40">
        <v>0.80223336455862504</v>
      </c>
      <c r="G40">
        <v>0.48223715957670954</v>
      </c>
      <c r="H40">
        <v>-5.5513968374604379E-2</v>
      </c>
      <c r="I40">
        <v>-0.1265161452563327</v>
      </c>
    </row>
    <row r="41" spans="1:9" x14ac:dyDescent="0.2">
      <c r="A41" t="s">
        <v>243</v>
      </c>
      <c r="B41">
        <v>9.0514543449026164</v>
      </c>
      <c r="C41">
        <v>7.2118645836259514</v>
      </c>
      <c r="D41">
        <v>1.2128193125585127</v>
      </c>
      <c r="E41">
        <v>0.25507824501493381</v>
      </c>
      <c r="F41">
        <v>0.74437778330125193</v>
      </c>
      <c r="G41">
        <v>0.63955918868960371</v>
      </c>
      <c r="H41">
        <v>-0.34254040686400428</v>
      </c>
      <c r="I41">
        <v>-0.36914925230302753</v>
      </c>
    </row>
    <row r="42" spans="1:9" x14ac:dyDescent="0.2">
      <c r="A42" t="s">
        <v>31</v>
      </c>
      <c r="B42">
        <v>12.712227161154997</v>
      </c>
      <c r="C42">
        <v>10.146867839840409</v>
      </c>
      <c r="D42">
        <v>-0.10518749251227991</v>
      </c>
      <c r="E42">
        <v>0.25282277859597468</v>
      </c>
      <c r="F42">
        <v>0.87182577145691786</v>
      </c>
      <c r="G42">
        <v>0.48525014504395947</v>
      </c>
      <c r="H42">
        <v>-5.8508501807470879E-2</v>
      </c>
      <c r="I42">
        <v>-0.13449689685759542</v>
      </c>
    </row>
    <row r="43" spans="1:9" x14ac:dyDescent="0.2">
      <c r="A43" t="s">
        <v>305</v>
      </c>
      <c r="B43">
        <v>5.4709495393238363</v>
      </c>
      <c r="C43">
        <v>4.3721659914652227</v>
      </c>
      <c r="D43">
        <v>0.66700036075036095</v>
      </c>
      <c r="E43">
        <v>0.25131331930295331</v>
      </c>
      <c r="F43">
        <v>0.70595174026734853</v>
      </c>
      <c r="G43">
        <v>0.45291797637918807</v>
      </c>
      <c r="H43">
        <v>-0.21769450921622832</v>
      </c>
      <c r="I43">
        <v>-0.2655258416875409</v>
      </c>
    </row>
    <row r="44" spans="1:9" x14ac:dyDescent="0.2">
      <c r="A44" t="s">
        <v>97</v>
      </c>
      <c r="B44">
        <v>14.87319186873027</v>
      </c>
      <c r="C44">
        <v>11.913384585692228</v>
      </c>
      <c r="D44">
        <v>0.5131144403158524</v>
      </c>
      <c r="E44">
        <v>0.24844386259407103</v>
      </c>
      <c r="F44">
        <v>0.83627025868933325</v>
      </c>
      <c r="G44">
        <v>0.30221593966604288</v>
      </c>
      <c r="H44">
        <v>0.29743909980964922</v>
      </c>
      <c r="I44">
        <v>0.20995365661793713</v>
      </c>
    </row>
    <row r="45" spans="1:9" x14ac:dyDescent="0.2">
      <c r="A45" t="s">
        <v>115</v>
      </c>
      <c r="B45">
        <v>9.7835447500662127</v>
      </c>
      <c r="C45">
        <v>7.8507875107814389</v>
      </c>
      <c r="D45">
        <v>0.53130694925788191</v>
      </c>
      <c r="E45">
        <v>0.24618641590165691</v>
      </c>
      <c r="F45">
        <v>0.762424464362504</v>
      </c>
      <c r="G45">
        <v>0.44725817491409769</v>
      </c>
      <c r="H45">
        <v>3.4080313081651117E-3</v>
      </c>
      <c r="I45">
        <v>-3.8053292150637866E-2</v>
      </c>
    </row>
    <row r="46" spans="1:9" x14ac:dyDescent="0.2">
      <c r="A46" t="s">
        <v>225</v>
      </c>
      <c r="B46">
        <v>12.179941347200387</v>
      </c>
      <c r="C46">
        <v>9.7853713869322334</v>
      </c>
      <c r="D46">
        <v>0.56630613907146776</v>
      </c>
      <c r="E46">
        <v>0.24470915467408383</v>
      </c>
      <c r="F46">
        <v>0.6194763558189732</v>
      </c>
      <c r="G46">
        <v>0.17359414681339944</v>
      </c>
      <c r="H46">
        <v>0.18834804692223969</v>
      </c>
      <c r="I46">
        <v>0.1092716168823316</v>
      </c>
    </row>
    <row r="47" spans="1:9" x14ac:dyDescent="0.2">
      <c r="A47" t="s">
        <v>577</v>
      </c>
      <c r="B47">
        <v>4.6560804107299809</v>
      </c>
      <c r="C47">
        <v>3.750024913562092</v>
      </c>
      <c r="D47">
        <v>0.28070980646034038</v>
      </c>
      <c r="E47">
        <v>0.24161319405935378</v>
      </c>
      <c r="F47">
        <v>0.71521263015639036</v>
      </c>
      <c r="G47">
        <v>0.34298669503449786</v>
      </c>
      <c r="H47">
        <v>0.1336569982156936</v>
      </c>
      <c r="I47">
        <v>-7.1294967909305918E-3</v>
      </c>
    </row>
    <row r="48" spans="1:9" x14ac:dyDescent="0.2">
      <c r="A48" t="s">
        <v>223</v>
      </c>
      <c r="B48">
        <v>6.7534491374941066</v>
      </c>
      <c r="C48">
        <v>5.4568475555797393</v>
      </c>
      <c r="D48">
        <v>0.98914982268878537</v>
      </c>
      <c r="E48">
        <v>0.23761000627341433</v>
      </c>
      <c r="F48">
        <v>0.73267809586697963</v>
      </c>
      <c r="G48">
        <v>0.42973244064180216</v>
      </c>
      <c r="H48">
        <v>6.2447056988831899E-2</v>
      </c>
      <c r="I48">
        <v>-3.9696454737572787E-2</v>
      </c>
    </row>
    <row r="49" spans="1:9" x14ac:dyDescent="0.2">
      <c r="A49" t="s">
        <v>219</v>
      </c>
      <c r="B49">
        <v>9.5690336011449766</v>
      </c>
      <c r="C49">
        <v>7.7488244679249831</v>
      </c>
      <c r="D49">
        <v>0.43253408243689451</v>
      </c>
      <c r="E49">
        <v>0.2349013248079701</v>
      </c>
      <c r="F49">
        <v>0.49505345881129004</v>
      </c>
      <c r="G49">
        <v>0.19130951993717502</v>
      </c>
      <c r="H49">
        <v>-3.5297233748913803E-2</v>
      </c>
      <c r="I49">
        <v>-0.11313237392019553</v>
      </c>
    </row>
    <row r="50" spans="1:9" x14ac:dyDescent="0.2">
      <c r="A50" t="s">
        <v>11</v>
      </c>
      <c r="B50">
        <v>8.7912989797462213</v>
      </c>
      <c r="C50">
        <v>7.2125454410523382</v>
      </c>
      <c r="D50">
        <v>0.77253054348321704</v>
      </c>
      <c r="E50">
        <v>0.2188899261151187</v>
      </c>
      <c r="F50">
        <v>0.74036718925317502</v>
      </c>
      <c r="G50">
        <v>0.40864399631607928</v>
      </c>
      <c r="H50">
        <v>0.11068787166254691</v>
      </c>
      <c r="I50">
        <v>4.0826302631850615E-2</v>
      </c>
    </row>
    <row r="51" spans="1:9" x14ac:dyDescent="0.2">
      <c r="A51" t="s">
        <v>259</v>
      </c>
      <c r="B51">
        <v>10.497366882585414</v>
      </c>
      <c r="C51">
        <v>8.6234948708425652</v>
      </c>
      <c r="D51">
        <v>0.605036970311151</v>
      </c>
      <c r="E51">
        <v>0.21729844335835513</v>
      </c>
      <c r="F51">
        <v>0.74233956395664935</v>
      </c>
      <c r="G51">
        <v>0.21969927273577627</v>
      </c>
      <c r="H51">
        <v>3.5092642393346273E-2</v>
      </c>
      <c r="I51">
        <v>-3.6651622508554908E-2</v>
      </c>
    </row>
    <row r="52" spans="1:9" x14ac:dyDescent="0.2">
      <c r="A52" t="s">
        <v>207</v>
      </c>
      <c r="B52">
        <v>10.673920095443743</v>
      </c>
      <c r="C52">
        <v>8.7731952120848646</v>
      </c>
      <c r="D52">
        <v>0.64747447674276948</v>
      </c>
      <c r="E52">
        <v>0.21665138383569471</v>
      </c>
      <c r="F52">
        <v>0.77642204217040689</v>
      </c>
      <c r="G52">
        <v>0.54118476449650466</v>
      </c>
      <c r="H52">
        <v>-6.6416225436546669E-2</v>
      </c>
      <c r="I52">
        <v>-0.16722539085440391</v>
      </c>
    </row>
    <row r="53" spans="1:9" x14ac:dyDescent="0.2">
      <c r="A53" t="s">
        <v>267</v>
      </c>
      <c r="B53">
        <v>4.4463076619771114</v>
      </c>
      <c r="C53">
        <v>3.6584260968073057</v>
      </c>
      <c r="D53">
        <v>0.67737895815375593</v>
      </c>
      <c r="E53">
        <v>0.21536079842022415</v>
      </c>
      <c r="F53">
        <v>0.71251830040758768</v>
      </c>
      <c r="G53">
        <v>0.64699703630446226</v>
      </c>
      <c r="H53">
        <v>-0.52720814709237873</v>
      </c>
      <c r="I53">
        <v>-0.57156338979545007</v>
      </c>
    </row>
    <row r="54" spans="1:9" x14ac:dyDescent="0.2">
      <c r="A54" t="s">
        <v>123</v>
      </c>
      <c r="B54">
        <v>6.7995780656109917</v>
      </c>
      <c r="C54">
        <v>5.5983514970295474</v>
      </c>
      <c r="D54">
        <v>0.36288125211219985</v>
      </c>
      <c r="E54">
        <v>0.21456790793125591</v>
      </c>
      <c r="F54">
        <v>0.60719161055548021</v>
      </c>
      <c r="G54">
        <v>0.21320020509085089</v>
      </c>
      <c r="H54">
        <v>0.19625825432557015</v>
      </c>
      <c r="I54">
        <v>5.0853760092755822E-2</v>
      </c>
    </row>
    <row r="55" spans="1:9" x14ac:dyDescent="0.2">
      <c r="A55" t="s">
        <v>155</v>
      </c>
      <c r="B55">
        <v>14.861419475569958</v>
      </c>
      <c r="C55">
        <v>12.250370401026363</v>
      </c>
      <c r="D55">
        <v>1.6183106670809533</v>
      </c>
      <c r="E55">
        <v>0.21314041853990284</v>
      </c>
      <c r="F55">
        <v>0.68860084305431146</v>
      </c>
      <c r="G55">
        <v>0.40494762545927565</v>
      </c>
      <c r="H55">
        <v>-0.15957917798215387</v>
      </c>
      <c r="I55">
        <v>-0.22516716492845568</v>
      </c>
    </row>
    <row r="56" spans="1:9" x14ac:dyDescent="0.2">
      <c r="A56" t="s">
        <v>413</v>
      </c>
      <c r="B56">
        <v>4.7459682221316868</v>
      </c>
      <c r="C56">
        <v>3.9222766122766122</v>
      </c>
      <c r="D56">
        <v>2.9887357583190728E-2</v>
      </c>
      <c r="E56">
        <v>0.21000344730326859</v>
      </c>
      <c r="F56">
        <v>0.59622677011593583</v>
      </c>
      <c r="G56">
        <v>0.48735466482810497</v>
      </c>
      <c r="H56">
        <v>-0.38988999968660876</v>
      </c>
      <c r="I56">
        <v>-0.65422214829671888</v>
      </c>
    </row>
    <row r="57" spans="1:9" x14ac:dyDescent="0.2">
      <c r="A57" t="s">
        <v>399</v>
      </c>
      <c r="B57">
        <v>2.5160229501974896</v>
      </c>
      <c r="C57">
        <v>2.0835744808456407</v>
      </c>
      <c r="D57">
        <v>-0.80681445032914445</v>
      </c>
      <c r="E57">
        <v>0.20755124106546718</v>
      </c>
      <c r="F57">
        <v>0.8503453377377399</v>
      </c>
      <c r="G57">
        <v>0.28332800411495862</v>
      </c>
      <c r="H57">
        <v>-0.13064671777998982</v>
      </c>
      <c r="I57">
        <v>-0.27934203627576876</v>
      </c>
    </row>
    <row r="58" spans="1:9" x14ac:dyDescent="0.2">
      <c r="A58" t="s">
        <v>185</v>
      </c>
      <c r="B58">
        <v>4.6597305248887695</v>
      </c>
      <c r="C58">
        <v>3.8654935148642928</v>
      </c>
      <c r="D58">
        <v>0.83250964638723002</v>
      </c>
      <c r="E58">
        <v>0.20546846268667451</v>
      </c>
      <c r="F58">
        <v>0.72702756269789404</v>
      </c>
      <c r="G58">
        <v>0.54680841091168686</v>
      </c>
      <c r="H58">
        <v>-0.18767712021459937</v>
      </c>
      <c r="I58">
        <v>-0.27097319670889908</v>
      </c>
    </row>
    <row r="59" spans="1:9" x14ac:dyDescent="0.2">
      <c r="A59" t="s">
        <v>87</v>
      </c>
      <c r="B59">
        <v>8.4314404888257499</v>
      </c>
      <c r="C59">
        <v>7.0123354832491298</v>
      </c>
      <c r="D59">
        <v>0.32532052717873361</v>
      </c>
      <c r="E59">
        <v>0.20237266299744738</v>
      </c>
      <c r="F59">
        <v>0.62616458462270208</v>
      </c>
      <c r="G59">
        <v>0.26054192287300054</v>
      </c>
      <c r="H59">
        <v>0.11049378006511108</v>
      </c>
      <c r="I59">
        <v>4.5352465055309668E-2</v>
      </c>
    </row>
    <row r="60" spans="1:9" x14ac:dyDescent="0.2">
      <c r="A60" t="s">
        <v>167</v>
      </c>
      <c r="B60">
        <v>8.482147237151251</v>
      </c>
      <c r="C60">
        <v>7.0749901682228113</v>
      </c>
      <c r="D60">
        <v>0.63643417237029742</v>
      </c>
      <c r="E60">
        <v>0.19889173489578238</v>
      </c>
      <c r="F60">
        <v>0.60480442215913743</v>
      </c>
      <c r="G60">
        <v>0.25291965872639571</v>
      </c>
      <c r="H60">
        <v>0.12320178424324617</v>
      </c>
      <c r="I60">
        <v>1.0140546239076941E-2</v>
      </c>
    </row>
    <row r="61" spans="1:9" x14ac:dyDescent="0.2">
      <c r="A61" t="s">
        <v>365</v>
      </c>
      <c r="B61">
        <v>4.1829782557931896</v>
      </c>
      <c r="C61">
        <v>3.5067365269461073</v>
      </c>
      <c r="D61">
        <v>0.33594524167798268</v>
      </c>
      <c r="E61">
        <v>0.19284075768190023</v>
      </c>
      <c r="F61">
        <v>0.85252949591562377</v>
      </c>
      <c r="G61">
        <v>0.49302894191013868</v>
      </c>
      <c r="H61">
        <v>4.9642175244845543E-2</v>
      </c>
      <c r="I61">
        <v>-2.1799151110561674E-2</v>
      </c>
    </row>
    <row r="62" spans="1:9" x14ac:dyDescent="0.2">
      <c r="A62" t="s">
        <v>221</v>
      </c>
      <c r="B62">
        <v>2.4078956528201854</v>
      </c>
      <c r="C62">
        <v>2.0218337377542626</v>
      </c>
      <c r="D62">
        <v>0.17685003236208213</v>
      </c>
      <c r="E62">
        <v>0.19094642049782906</v>
      </c>
      <c r="F62">
        <v>0.34100618747945993</v>
      </c>
      <c r="G62">
        <v>6.6124946581527427E-2</v>
      </c>
      <c r="H62">
        <v>0.12581462043700831</v>
      </c>
      <c r="I62">
        <v>8.233101492001163E-2</v>
      </c>
    </row>
    <row r="63" spans="1:9" x14ac:dyDescent="0.2">
      <c r="A63" t="s">
        <v>588</v>
      </c>
      <c r="B63">
        <v>14.998912459019817</v>
      </c>
      <c r="C63">
        <v>12.600473756977253</v>
      </c>
      <c r="D63">
        <v>0.87239657788823166</v>
      </c>
      <c r="E63">
        <v>0.19034512100899992</v>
      </c>
      <c r="F63">
        <v>0.69785207155645024</v>
      </c>
      <c r="G63">
        <v>0.1708351604752657</v>
      </c>
      <c r="H63">
        <v>0.24562399507193719</v>
      </c>
      <c r="I63">
        <v>0.21254360285143767</v>
      </c>
    </row>
    <row r="64" spans="1:9" x14ac:dyDescent="0.2">
      <c r="A64" t="s">
        <v>173</v>
      </c>
      <c r="B64">
        <v>9.9139302995662302</v>
      </c>
      <c r="C64">
        <v>8.3344293965673266</v>
      </c>
      <c r="D64">
        <v>0.2905696602248326</v>
      </c>
      <c r="E64">
        <v>0.18951518188509064</v>
      </c>
      <c r="F64">
        <v>0.76791838483736197</v>
      </c>
      <c r="G64">
        <v>0.24998434050016441</v>
      </c>
      <c r="H64">
        <v>0.2628016411155828</v>
      </c>
      <c r="I64">
        <v>0.166605485032055</v>
      </c>
    </row>
    <row r="65" spans="1:9" x14ac:dyDescent="0.2">
      <c r="A65" t="s">
        <v>195</v>
      </c>
      <c r="B65">
        <v>7.2006525678528055</v>
      </c>
      <c r="C65">
        <v>6.0755460940922488</v>
      </c>
      <c r="D65">
        <v>0.36040773176125146</v>
      </c>
      <c r="E65">
        <v>0.1851860649785193</v>
      </c>
      <c r="F65">
        <v>0.84533496607909919</v>
      </c>
      <c r="G65">
        <v>0.43008734839589802</v>
      </c>
      <c r="H65">
        <v>0.11518518267148996</v>
      </c>
      <c r="I65">
        <v>9.1813351439375343E-2</v>
      </c>
    </row>
    <row r="66" spans="1:9" x14ac:dyDescent="0.2">
      <c r="A66" t="s">
        <v>215</v>
      </c>
      <c r="B66">
        <v>3.9945480509117797</v>
      </c>
      <c r="C66">
        <v>3.3714653832491841</v>
      </c>
      <c r="D66">
        <v>1.4755733281942571</v>
      </c>
      <c r="E66">
        <v>0.18481063775957018</v>
      </c>
      <c r="F66">
        <v>0.68025418110004043</v>
      </c>
      <c r="G66">
        <v>0.72608401611427897</v>
      </c>
      <c r="H66">
        <v>-0.42935893194247121</v>
      </c>
      <c r="I66">
        <v>-0.44895429908724671</v>
      </c>
    </row>
    <row r="67" spans="1:9" x14ac:dyDescent="0.2">
      <c r="A67" t="s">
        <v>107</v>
      </c>
      <c r="B67">
        <v>5.397203530724207</v>
      </c>
      <c r="C67">
        <v>4.5647688752546358</v>
      </c>
      <c r="D67">
        <v>1.2952603245863212</v>
      </c>
      <c r="E67">
        <v>0.18236074557512727</v>
      </c>
      <c r="F67">
        <v>0.66590708286343891</v>
      </c>
      <c r="G67">
        <v>0.56225112661050991</v>
      </c>
      <c r="H67">
        <v>-0.19213684348227064</v>
      </c>
      <c r="I67">
        <v>-0.25167377453250095</v>
      </c>
    </row>
    <row r="68" spans="1:9" x14ac:dyDescent="0.2">
      <c r="A68" t="s">
        <v>590</v>
      </c>
      <c r="B68">
        <v>6.6975160973945673</v>
      </c>
      <c r="C68">
        <v>5.6727835836341995</v>
      </c>
      <c r="D68">
        <v>0.31582002714828628</v>
      </c>
      <c r="E68">
        <v>0.1806401563981197</v>
      </c>
      <c r="F68">
        <v>0.75606256595479848</v>
      </c>
      <c r="G68">
        <v>0.2070979423544346</v>
      </c>
      <c r="H68">
        <v>0.13472280991789756</v>
      </c>
      <c r="I68">
        <v>8.0269276089363087E-2</v>
      </c>
    </row>
    <row r="69" spans="1:9" x14ac:dyDescent="0.2">
      <c r="A69" t="s">
        <v>217</v>
      </c>
      <c r="B69">
        <v>9.1623513917404615</v>
      </c>
      <c r="C69">
        <v>7.7644892299367179</v>
      </c>
      <c r="D69">
        <v>0.39125794311802092</v>
      </c>
      <c r="E69">
        <v>0.18003272596659103</v>
      </c>
      <c r="F69">
        <v>0.59036668010725346</v>
      </c>
      <c r="G69">
        <v>0.29519886124278849</v>
      </c>
      <c r="H69">
        <v>4.7195455613744906E-2</v>
      </c>
      <c r="I69">
        <v>-1.0447476597386358E-2</v>
      </c>
    </row>
    <row r="70" spans="1:9" x14ac:dyDescent="0.2">
      <c r="A70" t="s">
        <v>253</v>
      </c>
      <c r="B70">
        <v>4.7603930115540498</v>
      </c>
      <c r="C70">
        <v>4.0362890436273213</v>
      </c>
      <c r="D70">
        <v>0.48386803989758087</v>
      </c>
      <c r="E70">
        <v>0.17939844250499792</v>
      </c>
      <c r="F70">
        <v>0.75537864054497039</v>
      </c>
      <c r="G70">
        <v>0.5924919598103191</v>
      </c>
      <c r="H70">
        <v>-4.3202941148065041E-2</v>
      </c>
      <c r="I70">
        <v>0.13635747211584634</v>
      </c>
    </row>
    <row r="71" spans="1:9" x14ac:dyDescent="0.2">
      <c r="A71" t="s">
        <v>604</v>
      </c>
      <c r="B71">
        <v>2.2580376340856949</v>
      </c>
      <c r="C71">
        <v>1.9161039192701697</v>
      </c>
      <c r="D71">
        <v>0.66015724320847935</v>
      </c>
      <c r="E71">
        <v>0.17845259402515357</v>
      </c>
      <c r="F71">
        <v>0.54085333932219193</v>
      </c>
      <c r="G71">
        <v>0.31338514576751675</v>
      </c>
      <c r="H71">
        <v>-0.1280555922593665</v>
      </c>
      <c r="I71">
        <v>-7.820955807276965E-2</v>
      </c>
    </row>
    <row r="72" spans="1:9" x14ac:dyDescent="0.2">
      <c r="A72" t="s">
        <v>263</v>
      </c>
      <c r="B72">
        <v>6.524921793063541</v>
      </c>
      <c r="C72">
        <v>5.5386857868663117</v>
      </c>
      <c r="D72">
        <v>0.40505726099963801</v>
      </c>
      <c r="E72">
        <v>0.17806318035514068</v>
      </c>
      <c r="F72">
        <v>0.70365447448971064</v>
      </c>
      <c r="G72">
        <v>0.50447090521138471</v>
      </c>
      <c r="H72">
        <v>-0.21380507217218181</v>
      </c>
      <c r="I72">
        <v>-0.24352193410726553</v>
      </c>
    </row>
    <row r="73" spans="1:9" x14ac:dyDescent="0.2">
      <c r="A73" t="s">
        <v>241</v>
      </c>
      <c r="B73">
        <v>6.7505558121124158</v>
      </c>
      <c r="C73">
        <v>5.7389390736787496</v>
      </c>
      <c r="D73">
        <v>0.47472880284088148</v>
      </c>
      <c r="E73">
        <v>0.1762724303997889</v>
      </c>
      <c r="F73">
        <v>0.90019708259201003</v>
      </c>
      <c r="G73">
        <v>0.56033117825570655</v>
      </c>
      <c r="H73">
        <v>-8.4031534503232599E-2</v>
      </c>
      <c r="I73">
        <v>-0.10523436469191186</v>
      </c>
    </row>
    <row r="74" spans="1:9" x14ac:dyDescent="0.2">
      <c r="A74" t="s">
        <v>299</v>
      </c>
      <c r="B74">
        <v>3.6840805425402654</v>
      </c>
      <c r="C74">
        <v>3.1361184086605665</v>
      </c>
      <c r="D74">
        <v>0.54400297289035671</v>
      </c>
      <c r="E74">
        <v>0.17472622601444865</v>
      </c>
      <c r="F74">
        <v>0.75474664005567371</v>
      </c>
      <c r="G74">
        <v>0.58653431831151026</v>
      </c>
      <c r="H74">
        <v>-0.32206534861783442</v>
      </c>
      <c r="I74">
        <v>-0.35757347546418328</v>
      </c>
    </row>
    <row r="75" spans="1:9" x14ac:dyDescent="0.2">
      <c r="A75" t="s">
        <v>291</v>
      </c>
      <c r="B75">
        <v>4.7822922843776761</v>
      </c>
      <c r="C75">
        <v>4.0798187607151597</v>
      </c>
      <c r="D75">
        <v>0.32328157988154638</v>
      </c>
      <c r="E75">
        <v>0.17218253183859034</v>
      </c>
      <c r="F75">
        <v>0.69293761861751924</v>
      </c>
      <c r="G75">
        <v>0.41392050000470637</v>
      </c>
      <c r="H75">
        <v>-6.748499114904602E-2</v>
      </c>
      <c r="I75">
        <v>-0.10987946987452818</v>
      </c>
    </row>
    <row r="76" spans="1:9" x14ac:dyDescent="0.2">
      <c r="A76" t="s">
        <v>59</v>
      </c>
      <c r="B76">
        <v>7.5790309498922568</v>
      </c>
      <c r="C76">
        <v>6.4736606852984853</v>
      </c>
      <c r="D76">
        <v>0.27891642354852392</v>
      </c>
      <c r="E76">
        <v>0.17074887275201789</v>
      </c>
      <c r="F76">
        <v>0.74903642068615961</v>
      </c>
      <c r="G76">
        <v>0.42976486419382226</v>
      </c>
      <c r="H76">
        <v>0.1310568696990225</v>
      </c>
      <c r="I76">
        <v>8.3799201194223835E-2</v>
      </c>
    </row>
    <row r="77" spans="1:9" x14ac:dyDescent="0.2">
      <c r="A77" t="s">
        <v>183</v>
      </c>
      <c r="B77">
        <v>5.4855305487078994</v>
      </c>
      <c r="C77">
        <v>4.7479818606825619</v>
      </c>
      <c r="D77">
        <v>0.28468018374342524</v>
      </c>
      <c r="E77">
        <v>0.15533940728225715</v>
      </c>
      <c r="F77">
        <v>0.59195940671389624</v>
      </c>
      <c r="G77">
        <v>0.14052470449453497</v>
      </c>
      <c r="H77">
        <v>0.1855197460953957</v>
      </c>
      <c r="I77">
        <v>4.177908225325213E-2</v>
      </c>
    </row>
    <row r="78" spans="1:9" x14ac:dyDescent="0.2">
      <c r="A78" t="s">
        <v>37</v>
      </c>
      <c r="B78">
        <v>6.0739128685507477</v>
      </c>
      <c r="C78">
        <v>5.3269977455988604</v>
      </c>
      <c r="D78">
        <v>0.5381253563197107</v>
      </c>
      <c r="E78">
        <v>0.14021314793477901</v>
      </c>
      <c r="F78">
        <v>0.85236806652495634</v>
      </c>
      <c r="G78">
        <v>0.37970630937781852</v>
      </c>
      <c r="H78">
        <v>0.19092963381018804</v>
      </c>
      <c r="I78">
        <v>0.13211163371598883</v>
      </c>
    </row>
    <row r="79" spans="1:9" x14ac:dyDescent="0.2">
      <c r="A79" t="s">
        <v>361</v>
      </c>
      <c r="B79">
        <v>2.5730514031152456</v>
      </c>
      <c r="C79">
        <v>2.265671270718232</v>
      </c>
      <c r="D79">
        <v>5.9285844839904921E-2</v>
      </c>
      <c r="E79">
        <v>0.13566846010258682</v>
      </c>
      <c r="F79">
        <v>0.51478408726353231</v>
      </c>
      <c r="G79">
        <v>0.14176248215714263</v>
      </c>
      <c r="H79">
        <v>5.2352119966745631E-2</v>
      </c>
      <c r="I79">
        <v>-4.2261141001709773E-2</v>
      </c>
    </row>
    <row r="80" spans="1:9" x14ac:dyDescent="0.2">
      <c r="A80" t="s">
        <v>279</v>
      </c>
      <c r="B80">
        <v>6.0297203138158766</v>
      </c>
      <c r="C80">
        <v>5.3155876836511409</v>
      </c>
      <c r="D80">
        <v>0.26288861771324312</v>
      </c>
      <c r="E80">
        <v>0.13434688178715493</v>
      </c>
      <c r="F80">
        <v>0.71389566349394595</v>
      </c>
      <c r="G80">
        <v>0.37303754266211603</v>
      </c>
      <c r="H80">
        <v>-0.21606597921023002</v>
      </c>
      <c r="I80">
        <v>-0.23881920127653916</v>
      </c>
    </row>
    <row r="81" spans="1:9" x14ac:dyDescent="0.2">
      <c r="A81" t="s">
        <v>101</v>
      </c>
      <c r="B81">
        <v>9.6667303011646322</v>
      </c>
      <c r="C81">
        <v>8.5238847539015605</v>
      </c>
      <c r="D81">
        <v>0.55748198828590667</v>
      </c>
      <c r="E81">
        <v>0.13407566857822273</v>
      </c>
      <c r="F81">
        <v>0.55116954899297743</v>
      </c>
      <c r="G81">
        <v>0.18775252735350578</v>
      </c>
      <c r="H81">
        <v>4.2780837645805925E-2</v>
      </c>
      <c r="I81">
        <v>5.3461994018760582E-2</v>
      </c>
    </row>
    <row r="82" spans="1:9" x14ac:dyDescent="0.2">
      <c r="A82" t="s">
        <v>343</v>
      </c>
      <c r="B82">
        <v>1.8922186261158191</v>
      </c>
      <c r="C82">
        <v>1.6798325991189427</v>
      </c>
      <c r="D82">
        <v>0.10640776935934515</v>
      </c>
      <c r="E82">
        <v>0.12643285236175972</v>
      </c>
      <c r="F82">
        <v>0.83011981789181555</v>
      </c>
      <c r="G82">
        <v>0.53193765196918985</v>
      </c>
      <c r="H82">
        <v>-0.25936626435609172</v>
      </c>
      <c r="I82">
        <v>-0.28542567914031614</v>
      </c>
    </row>
    <row r="83" spans="1:9" x14ac:dyDescent="0.2">
      <c r="A83" t="s">
        <v>303</v>
      </c>
      <c r="B83">
        <v>6.5848614235065375</v>
      </c>
      <c r="C83">
        <v>5.8731444420696759</v>
      </c>
      <c r="D83">
        <v>0.19795010308202202</v>
      </c>
      <c r="E83">
        <v>0.12118158993992911</v>
      </c>
      <c r="F83">
        <v>0.59635545611995044</v>
      </c>
      <c r="G83">
        <v>0.37096782977611004</v>
      </c>
      <c r="H83">
        <v>-0.24097986569870977</v>
      </c>
      <c r="I83">
        <v>-0.3447641020578105</v>
      </c>
    </row>
    <row r="84" spans="1:9" x14ac:dyDescent="0.2">
      <c r="A84" t="s">
        <v>391</v>
      </c>
      <c r="B84">
        <v>1.3186901678116907</v>
      </c>
      <c r="C84">
        <v>1.1807002329403935</v>
      </c>
      <c r="D84">
        <v>-1.7472805940090159E-2</v>
      </c>
      <c r="E84">
        <v>0.11687126928708191</v>
      </c>
      <c r="F84">
        <v>0.68128167371624215</v>
      </c>
      <c r="G84">
        <v>0.43153508277959235</v>
      </c>
      <c r="H84">
        <v>-9.7116792431580154E-2</v>
      </c>
      <c r="I84">
        <v>-0.13914855276495103</v>
      </c>
    </row>
    <row r="85" spans="1:9" x14ac:dyDescent="0.2">
      <c r="A85" t="s">
        <v>607</v>
      </c>
      <c r="B85">
        <v>5.3446900578751544</v>
      </c>
      <c r="C85">
        <v>4.7929064546174907</v>
      </c>
      <c r="D85">
        <v>0.1005459508644222</v>
      </c>
      <c r="E85">
        <v>0.11512505167424569</v>
      </c>
      <c r="F85">
        <v>0.72405952873088053</v>
      </c>
      <c r="G85">
        <v>0.13249276560562215</v>
      </c>
      <c r="H85">
        <v>0.23790822653989252</v>
      </c>
      <c r="I85">
        <v>0.18211657709797435</v>
      </c>
    </row>
    <row r="86" spans="1:9" x14ac:dyDescent="0.2">
      <c r="A86" t="s">
        <v>197</v>
      </c>
      <c r="B86">
        <v>6.473576229902072</v>
      </c>
      <c r="C86">
        <v>5.8082102070701689</v>
      </c>
      <c r="D86">
        <v>0.15598901800536319</v>
      </c>
      <c r="E86">
        <v>0.11455611954642619</v>
      </c>
      <c r="F86">
        <v>0.69230493276187233</v>
      </c>
      <c r="G86">
        <v>0.22081623409978404</v>
      </c>
      <c r="H86">
        <v>-9.5939818062313938E-3</v>
      </c>
      <c r="I86">
        <v>-0.23347012720172772</v>
      </c>
    </row>
    <row r="87" spans="1:9" x14ac:dyDescent="0.2">
      <c r="A87" t="s">
        <v>608</v>
      </c>
      <c r="B87">
        <v>3.2369381488124351</v>
      </c>
      <c r="C87">
        <v>2.9137461510471292</v>
      </c>
      <c r="D87">
        <v>0.19116290361738297</v>
      </c>
      <c r="E87">
        <v>0.11091975107342789</v>
      </c>
      <c r="F87">
        <v>0.69071462825322683</v>
      </c>
      <c r="G87">
        <v>0.24008324727793176</v>
      </c>
      <c r="H87">
        <v>9.3039476783158506E-2</v>
      </c>
      <c r="I87">
        <v>5.6450316593293103E-2</v>
      </c>
    </row>
    <row r="88" spans="1:9" x14ac:dyDescent="0.2">
      <c r="A88" t="s">
        <v>325</v>
      </c>
      <c r="B88">
        <v>2.9872603654706951</v>
      </c>
      <c r="C88">
        <v>2.6890396514513135</v>
      </c>
      <c r="D88">
        <v>4.3233630085697757E-2</v>
      </c>
      <c r="E88">
        <v>0.1109023118563639</v>
      </c>
      <c r="F88">
        <v>0.71395387976494418</v>
      </c>
      <c r="G88">
        <v>0.29406135042717996</v>
      </c>
      <c r="H88">
        <v>9.2239978466538378E-2</v>
      </c>
      <c r="I88">
        <v>3.6190930381431376E-2</v>
      </c>
    </row>
    <row r="89" spans="1:9" x14ac:dyDescent="0.2">
      <c r="A89" t="s">
        <v>19</v>
      </c>
      <c r="B89">
        <v>8.7672232562038896</v>
      </c>
      <c r="C89">
        <v>7.9097525042591084</v>
      </c>
      <c r="D89">
        <v>0.27055815935236471</v>
      </c>
      <c r="E89">
        <v>0.10840677397719656</v>
      </c>
      <c r="F89">
        <v>0.83702213279678073</v>
      </c>
      <c r="G89">
        <v>0.27397719651240776</v>
      </c>
      <c r="H89">
        <v>0.3056673373574782</v>
      </c>
      <c r="I89">
        <v>0.21276932914404878</v>
      </c>
    </row>
    <row r="90" spans="1:9" x14ac:dyDescent="0.2">
      <c r="A90" t="s">
        <v>355</v>
      </c>
      <c r="B90">
        <v>1.3798672786228776</v>
      </c>
      <c r="C90">
        <v>1.245534219269103</v>
      </c>
      <c r="D90">
        <v>0.3473959314838877</v>
      </c>
      <c r="E90">
        <v>0.10785176133707775</v>
      </c>
      <c r="F90">
        <v>0.32237014296227734</v>
      </c>
      <c r="G90">
        <v>0.10027346639823038</v>
      </c>
      <c r="H90">
        <v>0.15434104903624257</v>
      </c>
      <c r="I90">
        <v>6.6964827721336634E-2</v>
      </c>
    </row>
    <row r="91" spans="1:9" x14ac:dyDescent="0.2">
      <c r="A91" t="s">
        <v>287</v>
      </c>
      <c r="B91">
        <v>5.194544536837423</v>
      </c>
      <c r="C91">
        <v>4.6914530971126585</v>
      </c>
      <c r="D91">
        <v>4.9398731478281145E-2</v>
      </c>
      <c r="E91">
        <v>0.10723573897272698</v>
      </c>
      <c r="F91">
        <v>0.74643259270702</v>
      </c>
      <c r="G91">
        <v>0.38884183690928381</v>
      </c>
      <c r="H91">
        <v>4.1850597132395723E-2</v>
      </c>
      <c r="I91">
        <v>-3.8488770243618048E-2</v>
      </c>
    </row>
    <row r="92" spans="1:9" x14ac:dyDescent="0.2">
      <c r="A92" t="s">
        <v>610</v>
      </c>
      <c r="B92">
        <v>3.7845551496307817</v>
      </c>
      <c r="C92">
        <v>3.4412682459309774</v>
      </c>
      <c r="D92">
        <v>0.18801366700526354</v>
      </c>
      <c r="E92">
        <v>9.9755926933540628E-2</v>
      </c>
      <c r="F92">
        <v>0.54170228592672098</v>
      </c>
      <c r="G92">
        <v>0.19603575592693354</v>
      </c>
      <c r="H92">
        <v>0.25324523902059848</v>
      </c>
      <c r="I92">
        <v>0.10298638861940536</v>
      </c>
    </row>
    <row r="93" spans="1:9" x14ac:dyDescent="0.2">
      <c r="A93" t="s">
        <v>611</v>
      </c>
      <c r="B93">
        <v>32.785671605247494</v>
      </c>
      <c r="C93">
        <v>29.846286223349125</v>
      </c>
      <c r="D93">
        <v>-0.81799265371790508</v>
      </c>
      <c r="E93">
        <v>9.8484124956184749E-2</v>
      </c>
      <c r="F93">
        <v>0.76667091650147257</v>
      </c>
      <c r="G93">
        <v>0.27648791818823526</v>
      </c>
      <c r="H93">
        <v>0.4342478914207763</v>
      </c>
      <c r="I93">
        <v>0.3551697213862216</v>
      </c>
    </row>
    <row r="94" spans="1:9" x14ac:dyDescent="0.2">
      <c r="A94" t="s">
        <v>105</v>
      </c>
      <c r="B94">
        <v>13.80264657246844</v>
      </c>
      <c r="C94">
        <v>12.568502068130735</v>
      </c>
      <c r="D94">
        <v>5.7521636773199228E-2</v>
      </c>
      <c r="E94">
        <v>9.8193444027594667E-2</v>
      </c>
      <c r="F94">
        <v>0.89861346901551586</v>
      </c>
      <c r="G94">
        <v>0.20235068486568944</v>
      </c>
      <c r="H94">
        <v>0.43761536213199226</v>
      </c>
      <c r="I94">
        <v>0.30083750676574428</v>
      </c>
    </row>
    <row r="95" spans="1:9" x14ac:dyDescent="0.2">
      <c r="A95" t="s">
        <v>293</v>
      </c>
      <c r="B95">
        <v>2.2672898692591894</v>
      </c>
      <c r="C95">
        <v>2.0687725027599684</v>
      </c>
      <c r="D95">
        <v>0.45327548730273737</v>
      </c>
      <c r="E95">
        <v>9.5959012522825571E-2</v>
      </c>
      <c r="F95">
        <v>0.51518485568527572</v>
      </c>
      <c r="G95">
        <v>0.3067190359511896</v>
      </c>
      <c r="H95">
        <v>-6.6681664062389165E-2</v>
      </c>
      <c r="I95">
        <v>-0.10494352130105246</v>
      </c>
    </row>
    <row r="96" spans="1:9" x14ac:dyDescent="0.2">
      <c r="A96" t="s">
        <v>213</v>
      </c>
      <c r="B96">
        <v>5.5497190152101465</v>
      </c>
      <c r="C96">
        <v>5.0794251385061777</v>
      </c>
      <c r="D96">
        <v>0.44002435792360201</v>
      </c>
      <c r="E96">
        <v>9.2588012202160064E-2</v>
      </c>
      <c r="F96">
        <v>0.66866135379671465</v>
      </c>
      <c r="G96">
        <v>0.11566520123723734</v>
      </c>
      <c r="H96">
        <v>0.2095776850470347</v>
      </c>
      <c r="I96">
        <v>0.14413653216825575</v>
      </c>
    </row>
    <row r="97" spans="1:9" x14ac:dyDescent="0.2">
      <c r="A97" t="s">
        <v>147</v>
      </c>
      <c r="B97">
        <v>4.5666477547702611</v>
      </c>
      <c r="C97">
        <v>4.1901921750377236</v>
      </c>
      <c r="D97">
        <v>0.1346855648529989</v>
      </c>
      <c r="E97">
        <v>8.9842079791757845E-2</v>
      </c>
      <c r="F97">
        <v>0.65566369754343934</v>
      </c>
      <c r="G97">
        <v>0.36086482575212958</v>
      </c>
      <c r="H97">
        <v>1.9566177541594419E-2</v>
      </c>
      <c r="I97">
        <v>1.9614338271570129E-2</v>
      </c>
    </row>
    <row r="98" spans="1:9" x14ac:dyDescent="0.2">
      <c r="A98" t="s">
        <v>383</v>
      </c>
      <c r="B98">
        <v>3.1716395354047759</v>
      </c>
      <c r="C98">
        <v>2.9120112013441615</v>
      </c>
      <c r="D98">
        <v>0.12036186125458033</v>
      </c>
      <c r="E98">
        <v>8.9157738796050046E-2</v>
      </c>
      <c r="F98">
        <v>0.54081939028252479</v>
      </c>
      <c r="G98">
        <v>0.27482441807348168</v>
      </c>
      <c r="H98">
        <v>-5.2773514104278572E-2</v>
      </c>
      <c r="I98">
        <v>-0.12710149340941534</v>
      </c>
    </row>
    <row r="99" spans="1:9" x14ac:dyDescent="0.2">
      <c r="A99" t="s">
        <v>271</v>
      </c>
      <c r="B99">
        <v>5.6924428545236712</v>
      </c>
      <c r="C99">
        <v>5.2308952422745243</v>
      </c>
      <c r="D99">
        <v>0.21334230062857293</v>
      </c>
      <c r="E99">
        <v>8.8234917900679388E-2</v>
      </c>
      <c r="F99">
        <v>0.666298567071818</v>
      </c>
      <c r="G99">
        <v>0.31251465678603868</v>
      </c>
      <c r="H99">
        <v>0.10634750760020978</v>
      </c>
      <c r="I99">
        <v>4.2834057467392654E-2</v>
      </c>
    </row>
    <row r="100" spans="1:9" x14ac:dyDescent="0.2">
      <c r="A100" t="s">
        <v>181</v>
      </c>
      <c r="B100">
        <v>7.0573659717429269</v>
      </c>
      <c r="C100">
        <v>6.5048979458190175</v>
      </c>
      <c r="D100">
        <v>0.14805082820137833</v>
      </c>
      <c r="E100">
        <v>8.4931082781860345E-2</v>
      </c>
      <c r="F100">
        <v>0.56069079800967758</v>
      </c>
      <c r="G100">
        <v>0.2179976452437985</v>
      </c>
      <c r="H100">
        <v>0.13823535382241892</v>
      </c>
      <c r="I100">
        <v>1.0832333013623581E-2</v>
      </c>
    </row>
    <row r="101" spans="1:9" x14ac:dyDescent="0.2">
      <c r="A101" t="s">
        <v>153</v>
      </c>
      <c r="B101">
        <v>3.5961818133555128</v>
      </c>
      <c r="C101">
        <v>3.3262405995961988</v>
      </c>
      <c r="D101">
        <v>2.3629205994025022</v>
      </c>
      <c r="E101">
        <v>8.1155047470734543E-2</v>
      </c>
      <c r="F101">
        <v>0.78162312134613177</v>
      </c>
      <c r="G101">
        <v>0.30699894706106162</v>
      </c>
      <c r="H101">
        <v>0.34477556473804827</v>
      </c>
      <c r="I101">
        <v>7.5428893232798611E-2</v>
      </c>
    </row>
    <row r="102" spans="1:9" x14ac:dyDescent="0.2">
      <c r="A102" t="s">
        <v>157</v>
      </c>
      <c r="B102">
        <v>3.6876907194425934</v>
      </c>
      <c r="C102">
        <v>3.4114083075348165</v>
      </c>
      <c r="D102">
        <v>0.3251374027028725</v>
      </c>
      <c r="E102">
        <v>8.0987787740784078E-2</v>
      </c>
      <c r="F102">
        <v>0.84096872684757851</v>
      </c>
      <c r="G102">
        <v>0.28510463458172064</v>
      </c>
      <c r="H102">
        <v>0.35636412722889443</v>
      </c>
      <c r="I102">
        <v>0.1301536113691058</v>
      </c>
    </row>
    <row r="103" spans="1:9" x14ac:dyDescent="0.2">
      <c r="A103" t="s">
        <v>395</v>
      </c>
      <c r="B103">
        <v>3.2315363661572087</v>
      </c>
      <c r="C103">
        <v>2.9983473325766177</v>
      </c>
      <c r="D103">
        <v>-0.11629549549549546</v>
      </c>
      <c r="E103">
        <v>7.7772521897988778E-2</v>
      </c>
      <c r="F103">
        <v>0.63566967234935934</v>
      </c>
      <c r="G103">
        <v>0.28840099825468546</v>
      </c>
      <c r="H103">
        <v>2.6946351966333371E-2</v>
      </c>
      <c r="I103">
        <v>-3.2454695222405273E-2</v>
      </c>
    </row>
    <row r="104" spans="1:9" x14ac:dyDescent="0.2">
      <c r="A104" t="s">
        <v>79</v>
      </c>
      <c r="B104">
        <v>8.6072936991121516</v>
      </c>
      <c r="C104">
        <v>8.0015335934837513</v>
      </c>
      <c r="D104">
        <v>8.3425907010143588E-2</v>
      </c>
      <c r="E104">
        <v>7.5705500520764524E-2</v>
      </c>
      <c r="F104">
        <v>0.73217241692812174</v>
      </c>
      <c r="G104">
        <v>0.30181365285433243</v>
      </c>
      <c r="H104">
        <v>0.1382021117066432</v>
      </c>
      <c r="I104">
        <v>3.955165157037363E-2</v>
      </c>
    </row>
    <row r="105" spans="1:9" x14ac:dyDescent="0.2">
      <c r="A105" t="s">
        <v>165</v>
      </c>
      <c r="B105">
        <v>4.0279244294026775</v>
      </c>
      <c r="C105">
        <v>3.7473726905173033</v>
      </c>
      <c r="D105">
        <v>0.11136597237976012</v>
      </c>
      <c r="E105">
        <v>7.4866249518044548E-2</v>
      </c>
      <c r="F105">
        <v>0.65626694351170867</v>
      </c>
      <c r="G105">
        <v>0.46864329256768161</v>
      </c>
      <c r="H105">
        <v>-0.1616257708135406</v>
      </c>
      <c r="I105">
        <v>-0.32442046693600513</v>
      </c>
    </row>
    <row r="106" spans="1:9" x14ac:dyDescent="0.2">
      <c r="A106" t="s">
        <v>229</v>
      </c>
      <c r="B106">
        <v>4.4908074310281174</v>
      </c>
      <c r="C106">
        <v>4.1780519729885413</v>
      </c>
      <c r="D106">
        <v>0.30085269705620998</v>
      </c>
      <c r="E106">
        <v>7.4856765799364622E-2</v>
      </c>
      <c r="F106">
        <v>0.79773963771628198</v>
      </c>
      <c r="G106">
        <v>0.44235604635817416</v>
      </c>
      <c r="H106">
        <v>2.0510319938192006E-2</v>
      </c>
      <c r="I106">
        <v>-6.636852248580738E-2</v>
      </c>
    </row>
    <row r="107" spans="1:9" x14ac:dyDescent="0.2">
      <c r="A107" t="s">
        <v>191</v>
      </c>
      <c r="B107">
        <v>3.1700619223842232</v>
      </c>
      <c r="C107">
        <v>2.955181786533017</v>
      </c>
      <c r="D107">
        <v>0.19234918319817987</v>
      </c>
      <c r="E107">
        <v>7.2713000882189682E-2</v>
      </c>
      <c r="F107">
        <v>0.85330143641298495</v>
      </c>
      <c r="G107">
        <v>0.57881645664164783</v>
      </c>
      <c r="H107">
        <v>2.8356900667701995E-2</v>
      </c>
      <c r="I107">
        <v>-1.0834570505356555E-2</v>
      </c>
    </row>
    <row r="108" spans="1:9" x14ac:dyDescent="0.2">
      <c r="A108" t="s">
        <v>17</v>
      </c>
      <c r="B108">
        <v>5.8193584976969408</v>
      </c>
      <c r="C108">
        <v>5.4254390698714063</v>
      </c>
      <c r="D108">
        <v>0.19371211053150994</v>
      </c>
      <c r="E108">
        <v>7.2605999763788898E-2</v>
      </c>
      <c r="F108">
        <v>0.8603991968820125</v>
      </c>
      <c r="G108">
        <v>0.30624778552025511</v>
      </c>
      <c r="H108">
        <v>0.29703554978150465</v>
      </c>
      <c r="I108">
        <v>0.40103169059199528</v>
      </c>
    </row>
    <row r="109" spans="1:9" x14ac:dyDescent="0.2">
      <c r="A109" t="s">
        <v>63</v>
      </c>
      <c r="B109">
        <v>4.3851549979818829</v>
      </c>
      <c r="C109">
        <v>4.0920802692105829</v>
      </c>
      <c r="D109">
        <v>0.24771107254723557</v>
      </c>
      <c r="E109">
        <v>7.1619985310756862E-2</v>
      </c>
      <c r="F109">
        <v>0.76438323562474364</v>
      </c>
      <c r="G109">
        <v>0.18171255400943553</v>
      </c>
      <c r="H109">
        <v>0.21514513898538351</v>
      </c>
      <c r="I109">
        <v>0.12152605918890333</v>
      </c>
    </row>
    <row r="110" spans="1:9" x14ac:dyDescent="0.2">
      <c r="A110" t="s">
        <v>307</v>
      </c>
      <c r="B110">
        <v>4.3861318210659901</v>
      </c>
      <c r="C110">
        <v>4.0996019037452189</v>
      </c>
      <c r="D110">
        <v>8.0677995157177398E-2</v>
      </c>
      <c r="E110">
        <v>6.989213197969546E-2</v>
      </c>
      <c r="F110">
        <v>0.50090814362927738</v>
      </c>
      <c r="G110">
        <v>0.27474619289340102</v>
      </c>
      <c r="H110">
        <v>-4.4693393384950028E-2</v>
      </c>
      <c r="I110">
        <v>-0.15946938451776649</v>
      </c>
    </row>
    <row r="111" spans="1:9" x14ac:dyDescent="0.2">
      <c r="A111" t="s">
        <v>265</v>
      </c>
      <c r="B111">
        <v>6.8152068050041343</v>
      </c>
      <c r="C111">
        <v>6.4028104385120033</v>
      </c>
      <c r="D111">
        <v>0.55570518269975855</v>
      </c>
      <c r="E111">
        <v>6.44086484290749E-2</v>
      </c>
      <c r="F111">
        <v>0.62332135603532324</v>
      </c>
      <c r="G111">
        <v>0.3963750489629525</v>
      </c>
      <c r="H111">
        <v>-0.148054296892001</v>
      </c>
      <c r="I111">
        <v>-0.16283748168422885</v>
      </c>
    </row>
    <row r="112" spans="1:9" x14ac:dyDescent="0.2">
      <c r="A112" t="s">
        <v>175</v>
      </c>
      <c r="B112">
        <v>3.553216316167136</v>
      </c>
      <c r="C112">
        <v>3.3401406603773585</v>
      </c>
      <c r="D112">
        <v>-9.2134739848125456E-3</v>
      </c>
      <c r="E112">
        <v>6.3792419977218628E-2</v>
      </c>
      <c r="F112">
        <v>0.55141779914388933</v>
      </c>
      <c r="G112">
        <v>0.10827098606532287</v>
      </c>
      <c r="H112">
        <v>0.21546212246659341</v>
      </c>
      <c r="I112">
        <v>4.819837721477066E-2</v>
      </c>
    </row>
    <row r="113" spans="1:9" x14ac:dyDescent="0.2">
      <c r="A113" t="s">
        <v>67</v>
      </c>
      <c r="B113">
        <v>6.1711440295976496</v>
      </c>
      <c r="C113">
        <v>5.8022321144674081</v>
      </c>
      <c r="D113">
        <v>0.13975737893036835</v>
      </c>
      <c r="E113">
        <v>6.3581033618146598E-2</v>
      </c>
      <c r="F113">
        <v>0.88264760994686642</v>
      </c>
      <c r="G113">
        <v>0.20250360646487209</v>
      </c>
      <c r="H113">
        <v>0.25035919713763116</v>
      </c>
      <c r="I113">
        <v>0.16792960779188498</v>
      </c>
    </row>
    <row r="114" spans="1:9" x14ac:dyDescent="0.2">
      <c r="A114" t="s">
        <v>363</v>
      </c>
      <c r="B114">
        <v>2.3407707391181458</v>
      </c>
      <c r="C114">
        <v>2.2066003330557868</v>
      </c>
      <c r="D114">
        <v>-5.9092625275486447E-3</v>
      </c>
      <c r="E114">
        <v>6.0804126625211952E-2</v>
      </c>
      <c r="F114">
        <v>0.5408246156655846</v>
      </c>
      <c r="G114">
        <v>0.18246537591859807</v>
      </c>
      <c r="H114">
        <v>0.14979331543244773</v>
      </c>
      <c r="I114">
        <v>8.4802501413227815E-2</v>
      </c>
    </row>
    <row r="115" spans="1:9" x14ac:dyDescent="0.2">
      <c r="A115" t="s">
        <v>89</v>
      </c>
      <c r="B115">
        <v>7.494461652207109</v>
      </c>
      <c r="C115">
        <v>7.0694147705516315</v>
      </c>
      <c r="D115">
        <v>0.20052893609353972</v>
      </c>
      <c r="E115">
        <v>6.0124762155143952E-2</v>
      </c>
      <c r="F115">
        <v>0.87117950854779347</v>
      </c>
      <c r="G115">
        <v>0.52121490497789513</v>
      </c>
      <c r="H115">
        <v>-0.12485180339031537</v>
      </c>
      <c r="I115">
        <v>-0.14799918208566143</v>
      </c>
    </row>
    <row r="116" spans="1:9" x14ac:dyDescent="0.2">
      <c r="A116" t="s">
        <v>203</v>
      </c>
      <c r="B116">
        <v>3.1333043981481481</v>
      </c>
      <c r="C116">
        <v>2.9568658980582523</v>
      </c>
      <c r="D116">
        <v>0.38318934005005534</v>
      </c>
      <c r="E116">
        <v>5.967078189300401E-2</v>
      </c>
      <c r="F116">
        <v>0.34246399373184011</v>
      </c>
      <c r="G116">
        <v>5.3712705761316877E-2</v>
      </c>
      <c r="H116">
        <v>0.15413966049382716</v>
      </c>
      <c r="I116">
        <v>0.11844135802469134</v>
      </c>
    </row>
    <row r="117" spans="1:9" x14ac:dyDescent="0.2">
      <c r="A117" t="s">
        <v>367</v>
      </c>
      <c r="B117">
        <v>2.094648772085701</v>
      </c>
      <c r="C117">
        <v>1.9981420626895856</v>
      </c>
      <c r="D117">
        <v>0.13345406360424014</v>
      </c>
      <c r="E117">
        <v>4.8298222232614041E-2</v>
      </c>
      <c r="F117">
        <v>0.79022188481056888</v>
      </c>
      <c r="G117">
        <v>0.49486777806355076</v>
      </c>
      <c r="H117">
        <v>-3.383291636465665E-2</v>
      </c>
      <c r="I117">
        <v>-8.1343964086137158E-2</v>
      </c>
    </row>
    <row r="118" spans="1:9" x14ac:dyDescent="0.2">
      <c r="A118" t="s">
        <v>135</v>
      </c>
      <c r="B118">
        <v>3.3505499743254004</v>
      </c>
      <c r="C118">
        <v>3.1986545053245892</v>
      </c>
      <c r="D118">
        <v>3.0231366055673434E-2</v>
      </c>
      <c r="E118">
        <v>4.7487300909792252E-2</v>
      </c>
      <c r="F118">
        <v>0.56401542074891919</v>
      </c>
      <c r="G118">
        <v>0.19828958856392076</v>
      </c>
      <c r="H118">
        <v>0.17174638575849141</v>
      </c>
      <c r="I118">
        <v>1.0619681589690514E-2</v>
      </c>
    </row>
    <row r="119" spans="1:9" x14ac:dyDescent="0.2">
      <c r="A119" t="s">
        <v>163</v>
      </c>
      <c r="B119">
        <v>4.2973055477195112</v>
      </c>
      <c r="C119">
        <v>4.1098323278361049</v>
      </c>
      <c r="D119">
        <v>0.13988492299692795</v>
      </c>
      <c r="E119">
        <v>4.5615783060939163E-2</v>
      </c>
      <c r="F119">
        <v>0.55351752109061769</v>
      </c>
      <c r="G119">
        <v>0.20830207251709093</v>
      </c>
      <c r="H119">
        <v>0.19488262938976889</v>
      </c>
      <c r="I119">
        <v>9.621988776192282E-2</v>
      </c>
    </row>
    <row r="120" spans="1:9" x14ac:dyDescent="0.2">
      <c r="A120" t="s">
        <v>29</v>
      </c>
      <c r="B120">
        <v>9.4107769728211519</v>
      </c>
      <c r="C120">
        <v>9.0313232277519813</v>
      </c>
      <c r="D120">
        <v>0.10562194763831495</v>
      </c>
      <c r="E120">
        <v>4.2015298921332267E-2</v>
      </c>
      <c r="F120">
        <v>0.75326326682307521</v>
      </c>
      <c r="G120">
        <v>0.16919487967053917</v>
      </c>
      <c r="H120">
        <v>0.33769630663144479</v>
      </c>
      <c r="I120">
        <v>2.3714983354860525E-2</v>
      </c>
    </row>
    <row r="121" spans="1:9" x14ac:dyDescent="0.2">
      <c r="A121" t="s">
        <v>411</v>
      </c>
      <c r="B121">
        <v>0.58065960776479209</v>
      </c>
      <c r="C121">
        <v>0.56028755020080312</v>
      </c>
      <c r="D121">
        <v>-0.56821375812753172</v>
      </c>
      <c r="E121">
        <v>3.6360003995604906E-2</v>
      </c>
      <c r="F121">
        <v>0.5148919555518755</v>
      </c>
      <c r="G121">
        <v>0.43114241001564946</v>
      </c>
      <c r="H121">
        <v>-0.3627509739286785</v>
      </c>
      <c r="I121">
        <v>-0.62696531372440323</v>
      </c>
    </row>
    <row r="122" spans="1:9" x14ac:dyDescent="0.2">
      <c r="A122" t="s">
        <v>313</v>
      </c>
      <c r="B122">
        <v>2.0845468026345038</v>
      </c>
      <c r="C122">
        <v>2.0150768397535712</v>
      </c>
      <c r="D122">
        <v>0.18196377927817697</v>
      </c>
      <c r="E122">
        <v>3.4475093708797866E-2</v>
      </c>
      <c r="F122">
        <v>0.51473002068741491</v>
      </c>
      <c r="G122">
        <v>0.22949292197886184</v>
      </c>
      <c r="H122">
        <v>2.0635727792309023E-2</v>
      </c>
      <c r="I122">
        <v>-3.6627147080944304E-3</v>
      </c>
    </row>
    <row r="123" spans="1:9" x14ac:dyDescent="0.2">
      <c r="A123" t="s">
        <v>49</v>
      </c>
      <c r="B123">
        <v>6.8486821580377111</v>
      </c>
      <c r="C123">
        <v>6.62695871340149</v>
      </c>
      <c r="D123">
        <v>8.9373405287196173E-2</v>
      </c>
      <c r="E123">
        <v>3.3457797796119682E-2</v>
      </c>
      <c r="F123">
        <v>0.89545407388358411</v>
      </c>
      <c r="G123">
        <v>0.22848902461718351</v>
      </c>
      <c r="H123">
        <v>0.50062601249283711</v>
      </c>
      <c r="I123">
        <v>0.43366146404157885</v>
      </c>
    </row>
    <row r="124" spans="1:9" x14ac:dyDescent="0.2">
      <c r="A124" t="s">
        <v>43</v>
      </c>
      <c r="B124">
        <v>4.2819173577627767</v>
      </c>
      <c r="C124">
        <v>4.1445323066153303</v>
      </c>
      <c r="D124">
        <v>3.0559006211180125E-2</v>
      </c>
      <c r="E124">
        <v>3.3148505303760789E-2</v>
      </c>
      <c r="F124">
        <v>0.85486981677917073</v>
      </c>
      <c r="G124">
        <v>0.25578592092574737</v>
      </c>
      <c r="H124">
        <v>0.34715525554484089</v>
      </c>
      <c r="I124">
        <v>0.18998194877144337</v>
      </c>
    </row>
    <row r="125" spans="1:9" x14ac:dyDescent="0.2">
      <c r="A125" t="s">
        <v>61</v>
      </c>
      <c r="B125">
        <v>4.9626469266478219</v>
      </c>
      <c r="C125">
        <v>4.8252930836079786</v>
      </c>
      <c r="D125">
        <v>6.2958319932165732E-2</v>
      </c>
      <c r="E125">
        <v>2.8465388663426294E-2</v>
      </c>
      <c r="F125">
        <v>0.84702230782544607</v>
      </c>
      <c r="G125">
        <v>0.34594041478658438</v>
      </c>
      <c r="H125">
        <v>0.30666060593348987</v>
      </c>
      <c r="I125">
        <v>0.2030865917039695</v>
      </c>
    </row>
    <row r="126" spans="1:9" x14ac:dyDescent="0.2">
      <c r="A126" t="s">
        <v>179</v>
      </c>
      <c r="B126">
        <v>5.2193951657931921</v>
      </c>
      <c r="C126">
        <v>5.0900997981504945</v>
      </c>
      <c r="D126">
        <v>0.22749359525812771</v>
      </c>
      <c r="E126">
        <v>2.540134236457936E-2</v>
      </c>
      <c r="F126">
        <v>0.71700598229941115</v>
      </c>
      <c r="G126">
        <v>0.46260940887439295</v>
      </c>
      <c r="H126">
        <v>3.0305247390167545E-2</v>
      </c>
      <c r="I126">
        <v>-7.793685572468817E-2</v>
      </c>
    </row>
    <row r="127" spans="1:9" x14ac:dyDescent="0.2">
      <c r="A127" t="s">
        <v>317</v>
      </c>
      <c r="B127">
        <v>3.1261234370689972</v>
      </c>
      <c r="C127">
        <v>3.0714453294069579</v>
      </c>
      <c r="D127">
        <v>0.19392354540136958</v>
      </c>
      <c r="E127">
        <v>1.7802077457975241E-2</v>
      </c>
      <c r="F127">
        <v>0.8117360266383209</v>
      </c>
      <c r="G127">
        <v>0.37674202220730935</v>
      </c>
      <c r="H127">
        <v>0.16492942904952795</v>
      </c>
      <c r="I127">
        <v>6.3183463541559445E-2</v>
      </c>
    </row>
    <row r="128" spans="1:9" x14ac:dyDescent="0.2">
      <c r="A128" t="s">
        <v>275</v>
      </c>
      <c r="B128">
        <v>1.4192394945218827</v>
      </c>
      <c r="C128">
        <v>1.3997070038910506</v>
      </c>
      <c r="D128">
        <v>-1.0221395225329341E-2</v>
      </c>
      <c r="E128">
        <v>1.3954699502491508E-2</v>
      </c>
      <c r="F128">
        <v>0.803981239901987</v>
      </c>
      <c r="G128">
        <v>0.34445264200297476</v>
      </c>
      <c r="H128">
        <v>9.3816454472644931E-2</v>
      </c>
      <c r="I128">
        <v>8.3248837108374787E-2</v>
      </c>
    </row>
    <row r="129" spans="1:9" x14ac:dyDescent="0.2">
      <c r="A129" t="s">
        <v>351</v>
      </c>
      <c r="B129">
        <v>1.2564512643181329</v>
      </c>
      <c r="C129">
        <v>1.2459494213459066</v>
      </c>
      <c r="D129">
        <v>1.7831295617627901E-2</v>
      </c>
      <c r="E129">
        <v>8.4287875513293642E-3</v>
      </c>
      <c r="F129">
        <v>0.77716878910365639</v>
      </c>
      <c r="G129">
        <v>0.43812405446293501</v>
      </c>
      <c r="H129">
        <v>-4.0006784613153233E-2</v>
      </c>
      <c r="I129">
        <v>-8.4296520423600627E-2</v>
      </c>
    </row>
  </sheetData>
  <autoFilter ref="A1:I129" xr:uid="{D7732E78-9483-4441-974D-E94DC32681D4}">
    <sortState xmlns:xlrd2="http://schemas.microsoft.com/office/spreadsheetml/2017/richdata2" ref="A2:I129">
      <sortCondition descending="1" ref="E1:E129"/>
    </sortState>
  </autoFilter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9E7F7-C6EC-4ABF-ADB7-B30D7773F863}">
  <dimension ref="A1:P145"/>
  <sheetViews>
    <sheetView zoomScaleNormal="100" workbookViewId="0">
      <selection activeCell="H41" sqref="H41"/>
    </sheetView>
  </sheetViews>
  <sheetFormatPr defaultRowHeight="12.75" x14ac:dyDescent="0.2"/>
  <cols>
    <col min="1" max="1" width="18.28515625" customWidth="1"/>
    <col min="2" max="2" width="10.5703125" bestFit="1" customWidth="1"/>
    <col min="3" max="3" width="10.5703125" customWidth="1"/>
    <col min="4" max="4" width="14" customWidth="1"/>
    <col min="5" max="5" width="11.28515625" bestFit="1" customWidth="1"/>
    <col min="6" max="7" width="9.7109375" style="174" customWidth="1"/>
    <col min="8" max="8" width="9.7109375" customWidth="1"/>
    <col min="9" max="9" width="14.85546875" style="181" bestFit="1" customWidth="1"/>
    <col min="10" max="10" width="9.42578125" customWidth="1"/>
    <col min="11" max="11" width="13.5703125" style="177" bestFit="1" customWidth="1"/>
    <col min="12" max="12" width="14" customWidth="1"/>
    <col min="13" max="13" width="12.28515625" style="184" customWidth="1"/>
    <col min="14" max="15" width="12.28515625" customWidth="1"/>
    <col min="16" max="16" width="14.85546875" bestFit="1" customWidth="1"/>
    <col min="18" max="18" width="26.28515625" customWidth="1"/>
    <col min="19" max="25" width="16.28515625" customWidth="1"/>
  </cols>
  <sheetData>
    <row r="1" spans="1:16" ht="55.5" customHeight="1" x14ac:dyDescent="0.2">
      <c r="A1" t="s">
        <v>424</v>
      </c>
      <c r="B1" t="s">
        <v>718</v>
      </c>
      <c r="C1" t="s">
        <v>962</v>
      </c>
      <c r="D1" t="s">
        <v>963</v>
      </c>
      <c r="E1" t="s">
        <v>964</v>
      </c>
      <c r="F1" t="s">
        <v>902</v>
      </c>
      <c r="G1" t="s">
        <v>957</v>
      </c>
      <c r="H1" t="s">
        <v>965</v>
      </c>
      <c r="I1" t="s">
        <v>966</v>
      </c>
      <c r="J1" t="s">
        <v>959</v>
      </c>
      <c r="K1" t="s">
        <v>967</v>
      </c>
      <c r="L1" t="s">
        <v>438</v>
      </c>
      <c r="M1" t="s">
        <v>974</v>
      </c>
      <c r="N1" t="s">
        <v>956</v>
      </c>
      <c r="O1" t="s">
        <v>976</v>
      </c>
      <c r="P1" t="s">
        <v>977</v>
      </c>
    </row>
    <row r="2" spans="1:16" x14ac:dyDescent="0.2">
      <c r="A2" t="s">
        <v>601</v>
      </c>
      <c r="B2">
        <v>1375.1850999999999</v>
      </c>
      <c r="C2">
        <v>9.6440000000000001</v>
      </c>
      <c r="D2">
        <v>50.944830456625908</v>
      </c>
      <c r="E2">
        <v>68.814000000000007</v>
      </c>
      <c r="F2">
        <v>26.993614222954839</v>
      </c>
      <c r="G2">
        <v>19.984088993518757</v>
      </c>
      <c r="H2">
        <v>4.2825415239139266</v>
      </c>
      <c r="I2">
        <v>0.35075530496833807</v>
      </c>
      <c r="J2">
        <v>50.927435366140706</v>
      </c>
      <c r="K2">
        <v>0.99965855042937057</v>
      </c>
      <c r="L2">
        <v>-15.660510996069489</v>
      </c>
      <c r="M2">
        <v>-0.30740137626726904</v>
      </c>
      <c r="N2">
        <v>16.331</v>
      </c>
      <c r="O2">
        <v>-16.377704596026192</v>
      </c>
      <c r="P2">
        <v>-0.32147922466775231</v>
      </c>
    </row>
    <row r="3" spans="1:16" x14ac:dyDescent="0.2">
      <c r="A3" t="s">
        <v>564</v>
      </c>
      <c r="B3">
        <v>5590.6315999999997</v>
      </c>
      <c r="C3">
        <v>85.906999999999996</v>
      </c>
      <c r="D3">
        <v>324.19499999999999</v>
      </c>
      <c r="E3">
        <v>424.09399999999999</v>
      </c>
      <c r="F3">
        <v>17.244657073674794</v>
      </c>
      <c r="G3">
        <v>13.182529344909383</v>
      </c>
      <c r="H3">
        <v>2.7737902615619219</v>
      </c>
      <c r="I3">
        <v>0.30814478940144041</v>
      </c>
      <c r="J3">
        <v>228.25000210571289</v>
      </c>
      <c r="K3">
        <v>0.70405158039363003</v>
      </c>
      <c r="L3">
        <v>-116.569</v>
      </c>
      <c r="M3">
        <v>-0.35956445966162343</v>
      </c>
      <c r="N3">
        <v>127.949</v>
      </c>
      <c r="O3">
        <v>-123.625</v>
      </c>
      <c r="P3">
        <v>-0.3813291383272413</v>
      </c>
    </row>
    <row r="4" spans="1:16" x14ac:dyDescent="0.2">
      <c r="A4" t="s">
        <v>153</v>
      </c>
      <c r="B4">
        <v>4064.2968000000001</v>
      </c>
      <c r="C4">
        <v>336.06799999999998</v>
      </c>
      <c r="D4">
        <v>1130.17</v>
      </c>
      <c r="E4">
        <v>1221.8890000000001</v>
      </c>
      <c r="F4">
        <v>3.5961818133555128</v>
      </c>
      <c r="G4">
        <v>3.3262405995961988</v>
      </c>
      <c r="H4">
        <v>2.3629205994025022</v>
      </c>
      <c r="I4">
        <v>8.1155047470734543E-2</v>
      </c>
      <c r="J4">
        <v>883.36700305175782</v>
      </c>
      <c r="K4">
        <v>0.78162312134613177</v>
      </c>
      <c r="L4">
        <v>389.65500000000003</v>
      </c>
      <c r="M4">
        <v>0.34477556473804827</v>
      </c>
      <c r="N4">
        <v>252.40199999999999</v>
      </c>
      <c r="O4">
        <v>85.247472264912005</v>
      </c>
      <c r="P4">
        <v>7.5428893232798611E-2</v>
      </c>
    </row>
    <row r="5" spans="1:16" x14ac:dyDescent="0.2">
      <c r="A5" t="s">
        <v>599</v>
      </c>
      <c r="B5">
        <v>5116.1342000000004</v>
      </c>
      <c r="C5">
        <v>201.49100000000001</v>
      </c>
      <c r="D5">
        <v>662.16275290332658</v>
      </c>
      <c r="E5">
        <v>964.04100000000005</v>
      </c>
      <c r="F5">
        <v>7.7263998579922211</v>
      </c>
      <c r="G5">
        <v>5.3069674422560871</v>
      </c>
      <c r="H5">
        <v>2.2863142914736962</v>
      </c>
      <c r="I5">
        <v>0.4558973541973701</v>
      </c>
      <c r="J5">
        <v>462.07363936766961</v>
      </c>
      <c r="K5">
        <v>0.69782487363062351</v>
      </c>
      <c r="L5">
        <v>163.30981038419148</v>
      </c>
      <c r="M5">
        <v>0.24663092218361932</v>
      </c>
      <c r="N5">
        <v>105.649</v>
      </c>
      <c r="O5">
        <v>77.683937329779184</v>
      </c>
      <c r="P5">
        <v>0.11731849456823912</v>
      </c>
    </row>
    <row r="6" spans="1:16" x14ac:dyDescent="0.2">
      <c r="A6" t="s">
        <v>558</v>
      </c>
      <c r="B6">
        <v>3220.2809999999999</v>
      </c>
      <c r="C6">
        <v>65.271000000000001</v>
      </c>
      <c r="D6">
        <v>192.24099999999999</v>
      </c>
      <c r="E6">
        <v>271.53800000000001</v>
      </c>
      <c r="F6">
        <v>16.751270540623491</v>
      </c>
      <c r="G6">
        <v>11.859411942343245</v>
      </c>
      <c r="H6">
        <v>1.9452743178440652</v>
      </c>
      <c r="I6">
        <v>0.41248745064788483</v>
      </c>
      <c r="J6">
        <v>138.52599877929688</v>
      </c>
      <c r="K6">
        <v>0.72058509256244452</v>
      </c>
      <c r="L6">
        <v>-107.69300000000001</v>
      </c>
      <c r="M6">
        <v>-0.5601978766236132</v>
      </c>
      <c r="N6">
        <v>61.901999999999994</v>
      </c>
      <c r="O6">
        <v>-111</v>
      </c>
      <c r="P6">
        <v>-0.57740024240406573</v>
      </c>
    </row>
    <row r="7" spans="1:16" x14ac:dyDescent="0.2">
      <c r="A7" t="s">
        <v>201</v>
      </c>
      <c r="B7">
        <v>2499.6136000000001</v>
      </c>
      <c r="C7">
        <v>40.750999999999998</v>
      </c>
      <c r="D7">
        <v>111.253</v>
      </c>
      <c r="E7">
        <v>195.833</v>
      </c>
      <c r="F7">
        <v>22.467830979838748</v>
      </c>
      <c r="G7">
        <v>12.764006066393305</v>
      </c>
      <c r="H7">
        <v>1.7300679737920546</v>
      </c>
      <c r="I7">
        <v>0.76024916182035529</v>
      </c>
      <c r="J7">
        <v>89.570999999999998</v>
      </c>
      <c r="K7">
        <v>0.80511087341464949</v>
      </c>
      <c r="L7">
        <v>-44.902000000000001</v>
      </c>
      <c r="M7">
        <v>-0.40360259948046345</v>
      </c>
      <c r="N7">
        <v>58.157999999999994</v>
      </c>
      <c r="O7">
        <v>-49.106000000000002</v>
      </c>
      <c r="P7">
        <v>-0.44139034453003517</v>
      </c>
    </row>
    <row r="8" spans="1:16" x14ac:dyDescent="0.2">
      <c r="A8" t="s">
        <v>155</v>
      </c>
      <c r="B8">
        <v>3256.0626999999999</v>
      </c>
      <c r="C8">
        <v>83.677999999999997</v>
      </c>
      <c r="D8">
        <v>219.095</v>
      </c>
      <c r="E8">
        <v>265.79300000000001</v>
      </c>
      <c r="F8">
        <v>14.861419475569958</v>
      </c>
      <c r="G8">
        <v>12.250370401026363</v>
      </c>
      <c r="H8">
        <v>1.6183106670809533</v>
      </c>
      <c r="I8">
        <v>0.21314041853990284</v>
      </c>
      <c r="J8">
        <v>150.86900170898437</v>
      </c>
      <c r="K8">
        <v>0.68860084305431146</v>
      </c>
      <c r="L8">
        <v>-34.963000000000001</v>
      </c>
      <c r="M8">
        <v>-0.15957917798215387</v>
      </c>
      <c r="N8">
        <v>412.90299999999996</v>
      </c>
      <c r="O8">
        <v>-49.332999999999998</v>
      </c>
      <c r="P8">
        <v>-0.22516716492845568</v>
      </c>
    </row>
    <row r="9" spans="1:16" x14ac:dyDescent="0.2">
      <c r="A9" t="s">
        <v>215</v>
      </c>
      <c r="B9">
        <v>1642.0148999999999</v>
      </c>
      <c r="C9">
        <v>166.048</v>
      </c>
      <c r="D9">
        <v>411.06400000000002</v>
      </c>
      <c r="E9">
        <v>487.03300000000002</v>
      </c>
      <c r="F9">
        <v>3.9945480509117797</v>
      </c>
      <c r="G9">
        <v>3.3714653832491841</v>
      </c>
      <c r="H9">
        <v>1.4755733281942571</v>
      </c>
      <c r="I9">
        <v>0.18481063775957018</v>
      </c>
      <c r="J9">
        <v>279.62800469970705</v>
      </c>
      <c r="K9">
        <v>0.68025418110004043</v>
      </c>
      <c r="L9">
        <v>-176.494</v>
      </c>
      <c r="M9">
        <v>-0.42935893194247121</v>
      </c>
      <c r="N9">
        <v>43.247</v>
      </c>
      <c r="O9">
        <v>-184.54894999999999</v>
      </c>
      <c r="P9">
        <v>-0.44895429908724671</v>
      </c>
    </row>
    <row r="10" spans="1:16" x14ac:dyDescent="0.2">
      <c r="A10" t="s">
        <v>570</v>
      </c>
      <c r="B10">
        <v>6010.1651000000002</v>
      </c>
      <c r="C10">
        <v>250.48099999999999</v>
      </c>
      <c r="D10">
        <v>602.31500000000005</v>
      </c>
      <c r="E10">
        <v>762.5</v>
      </c>
      <c r="F10">
        <v>9.9784416791877995</v>
      </c>
      <c r="G10">
        <v>7.882183737704918</v>
      </c>
      <c r="H10">
        <v>1.4046334851745246</v>
      </c>
      <c r="I10">
        <v>0.26594888056913724</v>
      </c>
      <c r="J10">
        <v>444.96900311279296</v>
      </c>
      <c r="K10">
        <v>0.73876460508669539</v>
      </c>
      <c r="L10">
        <v>-19.93</v>
      </c>
      <c r="M10">
        <f>L10/D10</f>
        <v>-3.308899828163004E-2</v>
      </c>
      <c r="N10">
        <v>256.86700000000002</v>
      </c>
      <c r="O10">
        <v>-328.25799999999998</v>
      </c>
      <c r="P10">
        <v>-0.54499389854146074</v>
      </c>
    </row>
    <row r="11" spans="1:16" x14ac:dyDescent="0.2">
      <c r="A11" t="s">
        <v>145</v>
      </c>
      <c r="B11">
        <v>3799.4987000000001</v>
      </c>
      <c r="C11">
        <v>80.325000000000003</v>
      </c>
      <c r="D11">
        <v>190.17399999999998</v>
      </c>
      <c r="E11">
        <v>258.79000000000002</v>
      </c>
      <c r="F11">
        <v>19.979064961561519</v>
      </c>
      <c r="G11">
        <v>14.681783299200124</v>
      </c>
      <c r="H11">
        <v>1.3675568004979766</v>
      </c>
      <c r="I11">
        <v>0.36080641938435365</v>
      </c>
      <c r="J11">
        <v>152.2989994506836</v>
      </c>
      <c r="K11">
        <v>0.80084028022065901</v>
      </c>
      <c r="L11">
        <v>-13.46</v>
      </c>
      <c r="M11">
        <f>L11/D11</f>
        <v>-7.0777288167678032E-2</v>
      </c>
      <c r="N11">
        <v>135.57900000000001</v>
      </c>
      <c r="O11">
        <v>-29.382999999999999</v>
      </c>
      <c r="P11">
        <v>-0.1545058735684163</v>
      </c>
    </row>
    <row r="12" spans="1:16" x14ac:dyDescent="0.2">
      <c r="A12" t="s">
        <v>107</v>
      </c>
      <c r="B12">
        <v>6236.2366000000002</v>
      </c>
      <c r="C12">
        <v>503.41</v>
      </c>
      <c r="D12">
        <v>1155.4570000000001</v>
      </c>
      <c r="E12">
        <v>1366.1669999999999</v>
      </c>
      <c r="F12">
        <v>5.397203530724207</v>
      </c>
      <c r="G12">
        <v>4.5647688752546358</v>
      </c>
      <c r="H12">
        <v>1.2952603245863212</v>
      </c>
      <c r="I12">
        <v>0.18236074557512727</v>
      </c>
      <c r="J12">
        <v>769.42700024414057</v>
      </c>
      <c r="K12">
        <v>0.66590708286343891</v>
      </c>
      <c r="L12">
        <v>-222.005860759494</v>
      </c>
      <c r="M12">
        <v>-0.19213684348227064</v>
      </c>
      <c r="N12">
        <v>305.97499999999997</v>
      </c>
      <c r="O12">
        <v>-290.7982245</v>
      </c>
      <c r="P12">
        <v>-0.25167377453250095</v>
      </c>
    </row>
    <row r="13" spans="1:16" x14ac:dyDescent="0.2">
      <c r="A13" t="s">
        <v>243</v>
      </c>
      <c r="B13">
        <v>1797.1029000000001</v>
      </c>
      <c r="C13">
        <v>89.724000000000004</v>
      </c>
      <c r="D13">
        <v>198.54300000000001</v>
      </c>
      <c r="E13">
        <v>249.18700000000001</v>
      </c>
      <c r="F13">
        <v>9.0514543449026164</v>
      </c>
      <c r="G13">
        <v>7.2118645836259514</v>
      </c>
      <c r="H13">
        <v>1.2128193125585127</v>
      </c>
      <c r="I13">
        <v>0.25507824501493381</v>
      </c>
      <c r="J13">
        <v>147.79099822998046</v>
      </c>
      <c r="K13">
        <v>0.74437778330125193</v>
      </c>
      <c r="L13">
        <v>-68.009</v>
      </c>
      <c r="M13">
        <v>-0.34254040686400428</v>
      </c>
      <c r="N13">
        <v>34.366999999999997</v>
      </c>
      <c r="O13">
        <v>-73.292000000000002</v>
      </c>
      <c r="P13">
        <v>-0.36914925230302753</v>
      </c>
    </row>
    <row r="14" spans="1:16" x14ac:dyDescent="0.2">
      <c r="A14" t="s">
        <v>557</v>
      </c>
      <c r="B14">
        <v>11763.517900000001</v>
      </c>
      <c r="C14">
        <v>389.33</v>
      </c>
      <c r="D14">
        <v>853.57299999999998</v>
      </c>
      <c r="E14">
        <v>1210.8910000000001</v>
      </c>
      <c r="F14">
        <v>13.781501875059311</v>
      </c>
      <c r="G14">
        <v>9.7147620223455284</v>
      </c>
      <c r="H14">
        <v>1.1924151747874554</v>
      </c>
      <c r="I14">
        <v>0.41861445945455178</v>
      </c>
      <c r="J14">
        <v>481.96899993896483</v>
      </c>
      <c r="K14">
        <v>0.56464883488461426</v>
      </c>
      <c r="L14">
        <v>-41.38</v>
      </c>
      <c r="M14">
        <v>-4.8478571838612518E-2</v>
      </c>
      <c r="N14">
        <v>141.67699999999999</v>
      </c>
      <c r="O14">
        <v>-52.222000000000001</v>
      </c>
      <c r="P14">
        <v>-6.1180473140551542E-2</v>
      </c>
    </row>
    <row r="15" spans="1:16" x14ac:dyDescent="0.2">
      <c r="A15" t="s">
        <v>57</v>
      </c>
      <c r="B15">
        <v>12778.339900000001</v>
      </c>
      <c r="C15">
        <v>668.43499999999995</v>
      </c>
      <c r="D15">
        <v>1448.318</v>
      </c>
      <c r="E15">
        <v>1866.8810000000001</v>
      </c>
      <c r="F15">
        <v>8.8228827508875813</v>
      </c>
      <c r="G15">
        <v>6.8447533077898379</v>
      </c>
      <c r="H15">
        <v>1.1667297493398761</v>
      </c>
      <c r="I15">
        <v>0.28899937720859659</v>
      </c>
      <c r="J15">
        <v>1148.2299877929688</v>
      </c>
      <c r="K15">
        <v>0.79280240098719257</v>
      </c>
      <c r="L15">
        <v>-257.30799999999999</v>
      </c>
      <c r="M15">
        <v>-0.17765987856258086</v>
      </c>
      <c r="N15">
        <v>545.947</v>
      </c>
      <c r="O15">
        <v>-319.97310999999996</v>
      </c>
      <c r="P15">
        <v>-0.22092738611271831</v>
      </c>
    </row>
    <row r="16" spans="1:16" x14ac:dyDescent="0.2">
      <c r="A16" t="s">
        <v>612</v>
      </c>
      <c r="B16">
        <v>988.6848</v>
      </c>
      <c r="C16">
        <v>73.400999999999996</v>
      </c>
      <c r="D16">
        <v>158.81090657152305</v>
      </c>
      <c r="E16">
        <v>172.51400000000001</v>
      </c>
      <c r="F16">
        <v>6.2255472331475534</v>
      </c>
      <c r="G16">
        <v>5.7310409589946323</v>
      </c>
      <c r="H16">
        <v>1.1636068523797094</v>
      </c>
      <c r="I16">
        <v>8.6285594133961752E-2</v>
      </c>
      <c r="J16">
        <v>122.86743957034734</v>
      </c>
      <c r="K16">
        <v>0.77367129388567535</v>
      </c>
      <c r="L16">
        <v>34.725540664341814</v>
      </c>
      <c r="M16">
        <v>0.21865967151760202</v>
      </c>
      <c r="N16">
        <v>22.753</v>
      </c>
      <c r="O16">
        <v>16.478658119925523</v>
      </c>
      <c r="P16">
        <v>0.10376276085612605</v>
      </c>
    </row>
    <row r="17" spans="1:16" x14ac:dyDescent="0.2">
      <c r="A17" t="s">
        <v>597</v>
      </c>
      <c r="B17">
        <v>498.00700000000001</v>
      </c>
      <c r="C17">
        <v>21.366</v>
      </c>
      <c r="D17">
        <v>45.913776851069429</v>
      </c>
      <c r="E17">
        <v>104.675</v>
      </c>
      <c r="F17">
        <v>10.846570118058157</v>
      </c>
      <c r="G17">
        <v>4.7576498686410318</v>
      </c>
      <c r="H17">
        <v>1.148917759574531</v>
      </c>
      <c r="I17">
        <v>1.2798168039962041</v>
      </c>
      <c r="J17">
        <v>32.362014866124603</v>
      </c>
      <c r="K17">
        <v>0.70484323193662135</v>
      </c>
      <c r="L17">
        <v>12.963605572070199</v>
      </c>
      <c r="M17">
        <v>0.28234674777725782</v>
      </c>
      <c r="N17">
        <v>24.123999999999999</v>
      </c>
      <c r="O17">
        <v>5.1382688847482347</v>
      </c>
      <c r="P17">
        <v>0.111911265793168</v>
      </c>
    </row>
    <row r="18" spans="1:16" x14ac:dyDescent="0.2">
      <c r="A18" t="s">
        <v>137</v>
      </c>
      <c r="B18">
        <v>4436.8191999999999</v>
      </c>
      <c r="C18">
        <v>181.309</v>
      </c>
      <c r="D18">
        <v>383.18099999999998</v>
      </c>
      <c r="E18">
        <v>489.97500000000002</v>
      </c>
      <c r="F18">
        <v>11.578912315589761</v>
      </c>
      <c r="G18">
        <v>9.0551950609724976</v>
      </c>
      <c r="H18">
        <v>1.1134141162325091</v>
      </c>
      <c r="I18">
        <v>0.27870379794405276</v>
      </c>
      <c r="J18">
        <v>318.38299798583984</v>
      </c>
      <c r="K18">
        <v>0.83089453283393444</v>
      </c>
      <c r="L18">
        <v>-2.2589999999999986</v>
      </c>
      <c r="M18">
        <v>-5.8953862534937762E-3</v>
      </c>
      <c r="N18">
        <v>132.47900000000001</v>
      </c>
      <c r="O18">
        <v>-33.405200000000001</v>
      </c>
      <c r="P18">
        <v>-8.7178644035064382E-2</v>
      </c>
    </row>
    <row r="19" spans="1:16" x14ac:dyDescent="0.2">
      <c r="A19" t="s">
        <v>33</v>
      </c>
      <c r="B19">
        <v>25456.8783</v>
      </c>
      <c r="C19">
        <v>1156.69</v>
      </c>
      <c r="D19">
        <v>2428.232</v>
      </c>
      <c r="E19">
        <v>3119.846</v>
      </c>
      <c r="F19">
        <v>10.483709258423414</v>
      </c>
      <c r="G19">
        <v>8.1596586177651069</v>
      </c>
      <c r="H19">
        <v>1.0992936741910104</v>
      </c>
      <c r="I19">
        <v>0.28482204336323713</v>
      </c>
      <c r="J19">
        <v>1715.5240270996094</v>
      </c>
      <c r="K19">
        <v>0.70649098895806062</v>
      </c>
      <c r="L19">
        <v>-107.83699999999999</v>
      </c>
      <c r="M19">
        <v>-4.4409677493748537E-2</v>
      </c>
      <c r="N19">
        <v>1134.355</v>
      </c>
      <c r="O19">
        <v>-334.86065359999998</v>
      </c>
      <c r="P19">
        <v>-0.137903072523548</v>
      </c>
    </row>
    <row r="20" spans="1:16" x14ac:dyDescent="0.2">
      <c r="A20" t="s">
        <v>51</v>
      </c>
      <c r="B20">
        <v>15390.5118</v>
      </c>
      <c r="C20">
        <v>457.05799999999999</v>
      </c>
      <c r="D20">
        <v>947.42399999999998</v>
      </c>
      <c r="E20">
        <v>1254.6490000000001</v>
      </c>
      <c r="F20">
        <v>16.244587217549903</v>
      </c>
      <c r="G20">
        <v>12.266786806509231</v>
      </c>
      <c r="H20">
        <v>1.0728747773805511</v>
      </c>
      <c r="I20">
        <v>0.32427403147904221</v>
      </c>
      <c r="J20">
        <v>769.6390129394531</v>
      </c>
      <c r="K20">
        <v>0.81234907806795387</v>
      </c>
      <c r="L20">
        <v>43.517999999999994</v>
      </c>
      <c r="M20">
        <v>4.5932971932313299E-2</v>
      </c>
      <c r="N20">
        <v>1410.3389999999999</v>
      </c>
      <c r="O20">
        <v>-301.38798999999995</v>
      </c>
      <c r="P20">
        <v>-0.31811310458675307</v>
      </c>
    </row>
    <row r="21" spans="1:16" x14ac:dyDescent="0.2">
      <c r="A21" t="s">
        <v>600</v>
      </c>
      <c r="B21">
        <v>1670.4738</v>
      </c>
      <c r="C21">
        <v>254.18799999999999</v>
      </c>
      <c r="D21">
        <v>505.65300000000002</v>
      </c>
      <c r="E21">
        <v>700.99199999999996</v>
      </c>
      <c r="F21">
        <v>3.3035971308387371</v>
      </c>
      <c r="G21">
        <v>2.3830140714872639</v>
      </c>
      <c r="H21">
        <v>0.98928745652823913</v>
      </c>
      <c r="I21">
        <v>0.38631037490136499</v>
      </c>
      <c r="J21">
        <v>233.04500000000002</v>
      </c>
      <c r="K21">
        <v>0.46087929864946914</v>
      </c>
      <c r="L21">
        <v>12.508000000000003</v>
      </c>
      <c r="M21">
        <v>2.4736331041247658E-2</v>
      </c>
      <c r="N21">
        <v>238.43299999999999</v>
      </c>
      <c r="O21">
        <v>-25.145819318402001</v>
      </c>
      <c r="P21">
        <v>-4.9729398062311504E-2</v>
      </c>
    </row>
    <row r="22" spans="1:16" x14ac:dyDescent="0.2">
      <c r="A22" t="s">
        <v>223</v>
      </c>
      <c r="B22">
        <v>1905.4384</v>
      </c>
      <c r="C22">
        <v>141.84100000000001</v>
      </c>
      <c r="D22">
        <v>282.14300000000003</v>
      </c>
      <c r="E22">
        <v>349.18299999999999</v>
      </c>
      <c r="F22">
        <v>6.7534491374941066</v>
      </c>
      <c r="G22">
        <v>5.4568475555797393</v>
      </c>
      <c r="H22">
        <v>0.98914982268878537</v>
      </c>
      <c r="I22">
        <v>0.23761000627341433</v>
      </c>
      <c r="J22">
        <v>206.71999600219726</v>
      </c>
      <c r="K22">
        <v>0.73267809586697963</v>
      </c>
      <c r="L22">
        <v>17.619</v>
      </c>
      <c r="M22">
        <v>6.2447056988831899E-2</v>
      </c>
      <c r="N22">
        <v>78.338999999999999</v>
      </c>
      <c r="O22">
        <v>-11.200076829023001</v>
      </c>
      <c r="P22">
        <v>-3.9696454737572787E-2</v>
      </c>
    </row>
    <row r="23" spans="1:16" x14ac:dyDescent="0.2">
      <c r="A23" t="s">
        <v>327</v>
      </c>
      <c r="B23">
        <v>2001.8032000000001</v>
      </c>
      <c r="C23">
        <v>789.92600000000004</v>
      </c>
      <c r="D23">
        <v>1528.231</v>
      </c>
      <c r="E23">
        <v>1645</v>
      </c>
      <c r="F23">
        <v>1.3098826028264052</v>
      </c>
      <c r="G23">
        <v>1.2169016413373861</v>
      </c>
      <c r="H23">
        <v>0.93465084071166149</v>
      </c>
      <c r="I23">
        <v>7.6407951415721875E-2</v>
      </c>
      <c r="J23">
        <v>375.46800091552734</v>
      </c>
      <c r="K23">
        <v>0.24568798886786575</v>
      </c>
      <c r="L23">
        <v>275.851</v>
      </c>
      <c r="M23">
        <v>0.18050347100667372</v>
      </c>
      <c r="N23">
        <v>39</v>
      </c>
      <c r="O23">
        <v>-52.607639999999996</v>
      </c>
      <c r="P23">
        <v>-3.4423879635997433E-2</v>
      </c>
    </row>
    <row r="24" spans="1:16" x14ac:dyDescent="0.2">
      <c r="A24" t="s">
        <v>189</v>
      </c>
      <c r="B24">
        <v>2363.1176</v>
      </c>
      <c r="C24">
        <v>85.79</v>
      </c>
      <c r="D24">
        <v>162.35999999999999</v>
      </c>
      <c r="E24">
        <v>224.28800000000001</v>
      </c>
      <c r="F24">
        <v>14.554801675289482</v>
      </c>
      <c r="G24">
        <v>10.536085746896847</v>
      </c>
      <c r="H24">
        <v>0.89252826669774998</v>
      </c>
      <c r="I24">
        <v>0.3814239960581427</v>
      </c>
      <c r="J24">
        <v>140.40400271606444</v>
      </c>
      <c r="K24">
        <v>0.86476966442513215</v>
      </c>
      <c r="L24">
        <v>-13.546000000000001</v>
      </c>
      <c r="M24">
        <v>-8.3431879773343209E-2</v>
      </c>
      <c r="N24">
        <v>119.71599999999999</v>
      </c>
      <c r="O24">
        <v>-19.666589999999999</v>
      </c>
      <c r="P24">
        <v>-0.12112952697708795</v>
      </c>
    </row>
    <row r="25" spans="1:16" x14ac:dyDescent="0.2">
      <c r="A25" t="s">
        <v>353</v>
      </c>
      <c r="B25">
        <v>388.22890000000001</v>
      </c>
      <c r="C25">
        <v>15.507</v>
      </c>
      <c r="D25">
        <v>29.199000000000002</v>
      </c>
      <c r="E25">
        <v>39.658999999999999</v>
      </c>
      <c r="F25">
        <v>13.295965615260796</v>
      </c>
      <c r="G25">
        <v>9.7891752187397572</v>
      </c>
      <c r="H25">
        <v>0.88295608434900386</v>
      </c>
      <c r="I25">
        <v>0.35823144628240677</v>
      </c>
      <c r="J25">
        <v>15.933999778747559</v>
      </c>
      <c r="K25">
        <v>0.54570361240958798</v>
      </c>
      <c r="L25">
        <v>0.91400000000000003</v>
      </c>
      <c r="M25">
        <v>3.130244186444741E-2</v>
      </c>
      <c r="N25">
        <v>19.567</v>
      </c>
      <c r="O25">
        <v>-4.5880099999999997</v>
      </c>
      <c r="P25">
        <v>-0.15712901126750914</v>
      </c>
    </row>
    <row r="26" spans="1:16" x14ac:dyDescent="0.2">
      <c r="A26" t="s">
        <v>588</v>
      </c>
      <c r="B26">
        <v>11492.5267</v>
      </c>
      <c r="C26">
        <v>409.221</v>
      </c>
      <c r="D26">
        <v>766.22400000000005</v>
      </c>
      <c r="E26">
        <v>912.07100000000003</v>
      </c>
      <c r="F26">
        <v>14.998912459019817</v>
      </c>
      <c r="G26">
        <v>12.600473756977253</v>
      </c>
      <c r="H26">
        <v>0.87239657788823166</v>
      </c>
      <c r="I26">
        <v>0.19034512100899992</v>
      </c>
      <c r="J26">
        <v>534.71100567626956</v>
      </c>
      <c r="K26">
        <v>0.69785207155645024</v>
      </c>
      <c r="L26">
        <v>188.203</v>
      </c>
      <c r="M26">
        <v>0.24562399507193719</v>
      </c>
      <c r="N26">
        <v>320.18299999999999</v>
      </c>
      <c r="O26">
        <v>162.85600955123999</v>
      </c>
      <c r="P26">
        <v>0.21254360285143767</v>
      </c>
    </row>
    <row r="27" spans="1:16" x14ac:dyDescent="0.2">
      <c r="A27" t="s">
        <v>185</v>
      </c>
      <c r="B27">
        <v>2584.7898</v>
      </c>
      <c r="C27">
        <v>302.70400000000001</v>
      </c>
      <c r="D27">
        <v>554.70800000000008</v>
      </c>
      <c r="E27">
        <v>668.68299999999999</v>
      </c>
      <c r="F27">
        <v>4.6597305248887695</v>
      </c>
      <c r="G27">
        <v>3.8654935148642928</v>
      </c>
      <c r="H27">
        <v>0.83250964638723002</v>
      </c>
      <c r="I27">
        <v>0.20546846268667451</v>
      </c>
      <c r="J27">
        <v>403.28800524902346</v>
      </c>
      <c r="K27">
        <v>0.72702756269789404</v>
      </c>
      <c r="L27">
        <v>-104.10600000000001</v>
      </c>
      <c r="M27">
        <v>-0.18767712021459937</v>
      </c>
      <c r="N27">
        <v>208.07599999999999</v>
      </c>
      <c r="O27">
        <v>-150.31100000000001</v>
      </c>
      <c r="P27">
        <v>-0.27097319670889908</v>
      </c>
    </row>
    <row r="28" spans="1:16" x14ac:dyDescent="0.2">
      <c r="A28" t="s">
        <v>227</v>
      </c>
      <c r="B28">
        <v>2202.7654000000002</v>
      </c>
      <c r="C28">
        <v>92.183999999999997</v>
      </c>
      <c r="D28">
        <v>167.92599999999999</v>
      </c>
      <c r="E28">
        <v>255.9</v>
      </c>
      <c r="F28">
        <v>13.117476745709421</v>
      </c>
      <c r="G28">
        <v>8.6079148104728418</v>
      </c>
      <c r="H28">
        <v>0.82163933003558087</v>
      </c>
      <c r="I28">
        <v>0.52388552100329933</v>
      </c>
      <c r="J28">
        <v>88.019999999999982</v>
      </c>
      <c r="K28">
        <v>0.52415945118683227</v>
      </c>
      <c r="L28">
        <v>-39.728000000000002</v>
      </c>
      <c r="M28">
        <v>-0.23658039850886703</v>
      </c>
      <c r="N28">
        <v>48.207999999999998</v>
      </c>
      <c r="O28">
        <v>-47.155000000000001</v>
      </c>
      <c r="P28">
        <v>-0.28080821314150284</v>
      </c>
    </row>
    <row r="29" spans="1:16" x14ac:dyDescent="0.2">
      <c r="A29" t="s">
        <v>401</v>
      </c>
      <c r="B29">
        <v>796.41120000000001</v>
      </c>
      <c r="C29">
        <v>124.65427</v>
      </c>
      <c r="D29">
        <v>226.47071799999998</v>
      </c>
      <c r="E29">
        <v>566</v>
      </c>
      <c r="F29">
        <v>3.5166188681399424</v>
      </c>
      <c r="G29">
        <v>1.4070869257950531</v>
      </c>
      <c r="H29">
        <v>0.81679069637967461</v>
      </c>
      <c r="I29">
        <v>1.4992193472005511</v>
      </c>
      <c r="J29">
        <v>104.50188414001465</v>
      </c>
      <c r="K29">
        <v>0.46143662661066259</v>
      </c>
      <c r="L29">
        <v>45.785221999999997</v>
      </c>
      <c r="M29">
        <v>0.20216839688740687</v>
      </c>
      <c r="N29">
        <v>2.5303879999999999</v>
      </c>
      <c r="O29">
        <v>-20.271996980000001</v>
      </c>
      <c r="P29">
        <v>-8.9512662648069161E-2</v>
      </c>
    </row>
    <row r="30" spans="1:16" x14ac:dyDescent="0.2">
      <c r="A30" t="s">
        <v>139</v>
      </c>
      <c r="B30">
        <v>4485.9957999999997</v>
      </c>
      <c r="C30">
        <v>280.87400000000002</v>
      </c>
      <c r="D30">
        <v>509.43599999999998</v>
      </c>
      <c r="E30">
        <v>735.4</v>
      </c>
      <c r="F30">
        <v>8.8058083841738704</v>
      </c>
      <c r="G30">
        <v>6.1000758770737011</v>
      </c>
      <c r="H30">
        <v>0.81375278594672318</v>
      </c>
      <c r="I30">
        <v>0.44355718873420802</v>
      </c>
      <c r="J30">
        <v>281.04199999999997</v>
      </c>
      <c r="K30">
        <v>0.55167283034571557</v>
      </c>
      <c r="L30">
        <v>-146.059</v>
      </c>
      <c r="M30">
        <v>-0.2867072605783651</v>
      </c>
      <c r="N30">
        <v>73.012</v>
      </c>
      <c r="O30">
        <v>-163.51499999999999</v>
      </c>
      <c r="P30">
        <v>-0.32097260499846886</v>
      </c>
    </row>
    <row r="31" spans="1:16" x14ac:dyDescent="0.2">
      <c r="A31" t="s">
        <v>603</v>
      </c>
      <c r="B31">
        <v>1498.6233999999999</v>
      </c>
      <c r="C31">
        <v>94.061999999999998</v>
      </c>
      <c r="D31">
        <v>169.74299999999999</v>
      </c>
      <c r="E31">
        <v>217.958</v>
      </c>
      <c r="F31">
        <v>8.8287788008931152</v>
      </c>
      <c r="G31">
        <v>6.8757439506693947</v>
      </c>
      <c r="H31">
        <v>0.8045863366715571</v>
      </c>
      <c r="I31">
        <v>0.2840470593780009</v>
      </c>
      <c r="J31">
        <v>52.637000358581545</v>
      </c>
      <c r="K31">
        <v>0.3100982094023409</v>
      </c>
      <c r="L31">
        <v>17.134</v>
      </c>
      <c r="M31">
        <v>0.10094083408446888</v>
      </c>
      <c r="N31">
        <v>10.43</v>
      </c>
      <c r="O31">
        <v>8.8915167711629994</v>
      </c>
      <c r="P31">
        <v>5.2382229436047437E-2</v>
      </c>
    </row>
    <row r="32" spans="1:16" x14ac:dyDescent="0.2">
      <c r="A32" t="s">
        <v>559</v>
      </c>
      <c r="B32">
        <v>6079.7704000000003</v>
      </c>
      <c r="C32">
        <v>277.33499999999998</v>
      </c>
      <c r="D32">
        <v>492.64800000000002</v>
      </c>
      <c r="E32">
        <v>667.76099999999997</v>
      </c>
      <c r="F32">
        <v>12.341002906740716</v>
      </c>
      <c r="G32">
        <v>9.104710218176864</v>
      </c>
      <c r="H32">
        <v>0.7763643247336256</v>
      </c>
      <c r="I32">
        <v>0.35545257465776769</v>
      </c>
      <c r="J32">
        <v>261.8499954833984</v>
      </c>
      <c r="K32">
        <v>0.5315153933100274</v>
      </c>
      <c r="L32">
        <v>-68.85692307692301</v>
      </c>
      <c r="M32">
        <v>-0.13976900967206404</v>
      </c>
      <c r="N32">
        <v>115.286</v>
      </c>
      <c r="O32">
        <v>-90.092929999999996</v>
      </c>
      <c r="P32">
        <v>-0.1828748518211786</v>
      </c>
    </row>
    <row r="33" spans="1:16" x14ac:dyDescent="0.2">
      <c r="A33" t="s">
        <v>11</v>
      </c>
      <c r="B33">
        <v>103894.19990000001</v>
      </c>
      <c r="C33">
        <v>6667.2160000000003</v>
      </c>
      <c r="D33">
        <v>11817.844000000001</v>
      </c>
      <c r="E33">
        <v>14404.651</v>
      </c>
      <c r="F33">
        <v>8.7912989797462213</v>
      </c>
      <c r="G33">
        <v>7.2125454410523382</v>
      </c>
      <c r="H33">
        <v>0.77253054348321704</v>
      </c>
      <c r="I33">
        <v>0.2188899261151187</v>
      </c>
      <c r="J33">
        <v>8749.5439453125</v>
      </c>
      <c r="K33">
        <v>0.74036718925317502</v>
      </c>
      <c r="L33">
        <v>1308.0920000000001</v>
      </c>
      <c r="M33">
        <v>0.11068787166254691</v>
      </c>
      <c r="N33">
        <v>2543</v>
      </c>
      <c r="O33">
        <v>482.47887560000004</v>
      </c>
      <c r="P33">
        <v>4.0826302631850615E-2</v>
      </c>
    </row>
    <row r="34" spans="1:16" x14ac:dyDescent="0.2">
      <c r="A34" t="s">
        <v>563</v>
      </c>
      <c r="B34">
        <v>4154.2816999999995</v>
      </c>
      <c r="C34">
        <v>290.10300000000001</v>
      </c>
      <c r="D34">
        <v>513.48300000000006</v>
      </c>
      <c r="E34">
        <v>674.78300000000002</v>
      </c>
      <c r="F34">
        <v>8.0903977346864426</v>
      </c>
      <c r="G34">
        <v>6.1564705986961723</v>
      </c>
      <c r="H34">
        <v>0.77000237846557962</v>
      </c>
      <c r="I34">
        <v>0.31412919220305247</v>
      </c>
      <c r="J34">
        <v>418.44500848388674</v>
      </c>
      <c r="K34">
        <v>0.81491501857683057</v>
      </c>
      <c r="L34">
        <v>-27.757000000000005</v>
      </c>
      <c r="M34">
        <v>-5.4056317346436011E-2</v>
      </c>
      <c r="N34">
        <v>85.22999999999999</v>
      </c>
      <c r="O34">
        <v>-41.129518560316001</v>
      </c>
      <c r="P34">
        <v>-8.0099085189414249E-2</v>
      </c>
    </row>
    <row r="35" spans="1:16" x14ac:dyDescent="0.2">
      <c r="A35" t="s">
        <v>161</v>
      </c>
      <c r="B35">
        <v>3162.8121999999998</v>
      </c>
      <c r="C35">
        <v>205.864</v>
      </c>
      <c r="D35">
        <v>346.63900000000001</v>
      </c>
      <c r="E35">
        <v>473.83300000000003</v>
      </c>
      <c r="F35">
        <v>9.1242249141037206</v>
      </c>
      <c r="G35">
        <v>6.6749513014078792</v>
      </c>
      <c r="H35">
        <v>0.68382524385030896</v>
      </c>
      <c r="I35">
        <v>0.3669350534706135</v>
      </c>
      <c r="J35">
        <v>287.72500283813474</v>
      </c>
      <c r="K35">
        <v>0.83004221347896434</v>
      </c>
      <c r="L35">
        <v>-26.742999999999999</v>
      </c>
      <c r="M35">
        <v>-7.7149426348448957E-2</v>
      </c>
      <c r="N35">
        <v>223.36999999999998</v>
      </c>
      <c r="O35">
        <v>-47.448000000000008</v>
      </c>
      <c r="P35">
        <v>-0.13688015485851276</v>
      </c>
    </row>
    <row r="36" spans="1:16" x14ac:dyDescent="0.2">
      <c r="A36" t="s">
        <v>267</v>
      </c>
      <c r="B36">
        <v>1375.7365</v>
      </c>
      <c r="C36">
        <v>184.46100000000001</v>
      </c>
      <c r="D36">
        <v>309.411</v>
      </c>
      <c r="E36">
        <v>376.04599999999999</v>
      </c>
      <c r="F36">
        <v>4.4463076619771114</v>
      </c>
      <c r="G36">
        <v>3.6584260968073057</v>
      </c>
      <c r="H36">
        <v>0.67737895815375593</v>
      </c>
      <c r="I36">
        <v>0.21536079842022415</v>
      </c>
      <c r="J36">
        <v>220.4609998474121</v>
      </c>
      <c r="K36">
        <v>0.71251830040758768</v>
      </c>
      <c r="L36">
        <v>-163.124</v>
      </c>
      <c r="M36">
        <v>-0.52720814709237873</v>
      </c>
      <c r="N36">
        <v>62.738999999999997</v>
      </c>
      <c r="O36">
        <v>-176.84800000000001</v>
      </c>
      <c r="P36">
        <v>-0.57156338979545007</v>
      </c>
    </row>
    <row r="37" spans="1:16" x14ac:dyDescent="0.2">
      <c r="A37" t="s">
        <v>305</v>
      </c>
      <c r="B37">
        <v>1011.2338999999999</v>
      </c>
      <c r="C37">
        <v>110.88</v>
      </c>
      <c r="D37">
        <v>184.83700000000002</v>
      </c>
      <c r="E37">
        <v>231.28900000000002</v>
      </c>
      <c r="F37">
        <v>5.4709495393238363</v>
      </c>
      <c r="G37">
        <v>4.3721659914652227</v>
      </c>
      <c r="H37">
        <v>0.66700036075036095</v>
      </c>
      <c r="I37">
        <v>0.25131331930295331</v>
      </c>
      <c r="J37">
        <v>130.4860018157959</v>
      </c>
      <c r="K37">
        <v>0.70595174026734853</v>
      </c>
      <c r="L37">
        <v>-40.238</v>
      </c>
      <c r="M37">
        <v>-0.21769450921622832</v>
      </c>
      <c r="N37">
        <v>35.692999999999998</v>
      </c>
      <c r="O37">
        <v>-49.079000000000001</v>
      </c>
      <c r="P37">
        <v>-0.2655258416875409</v>
      </c>
    </row>
    <row r="38" spans="1:16" x14ac:dyDescent="0.2">
      <c r="A38" t="s">
        <v>245</v>
      </c>
      <c r="B38">
        <v>1708.3059000000001</v>
      </c>
      <c r="C38">
        <v>105.98399999999999</v>
      </c>
      <c r="D38">
        <v>176.48500000000001</v>
      </c>
      <c r="E38">
        <v>232.17500000000001</v>
      </c>
      <c r="F38">
        <v>9.679609598549451</v>
      </c>
      <c r="G38">
        <v>7.357837407128244</v>
      </c>
      <c r="H38">
        <v>0.66520418176328522</v>
      </c>
      <c r="I38">
        <v>0.31555089667677128</v>
      </c>
      <c r="J38">
        <v>135.33699801635743</v>
      </c>
      <c r="K38">
        <v>0.76684702958527584</v>
      </c>
      <c r="L38">
        <v>-30.723999999999997</v>
      </c>
      <c r="M38">
        <v>-0.17408844944329543</v>
      </c>
      <c r="N38">
        <v>87.024000000000001</v>
      </c>
      <c r="O38">
        <v>-34.695</v>
      </c>
      <c r="P38">
        <v>-0.19658894523613904</v>
      </c>
    </row>
    <row r="39" spans="1:16" x14ac:dyDescent="0.2">
      <c r="A39" t="s">
        <v>604</v>
      </c>
      <c r="B39">
        <v>751.91750000000002</v>
      </c>
      <c r="C39">
        <v>200.58099999999999</v>
      </c>
      <c r="D39">
        <v>332.99599999999998</v>
      </c>
      <c r="E39">
        <v>392.42</v>
      </c>
      <c r="F39">
        <v>2.2580376340856949</v>
      </c>
      <c r="G39">
        <v>1.9161039192701697</v>
      </c>
      <c r="H39">
        <v>0.66015724320847935</v>
      </c>
      <c r="I39">
        <v>0.17845259402515357</v>
      </c>
      <c r="J39">
        <v>180.10199858093262</v>
      </c>
      <c r="K39">
        <v>0.54085333932219193</v>
      </c>
      <c r="L39">
        <v>-42.642000000000003</v>
      </c>
      <c r="M39">
        <v>-0.1280555922593665</v>
      </c>
      <c r="N39">
        <v>63.763999999999996</v>
      </c>
      <c r="O39">
        <v>-26.043469999999999</v>
      </c>
      <c r="P39">
        <v>-7.820955807276965E-2</v>
      </c>
    </row>
    <row r="40" spans="1:16" x14ac:dyDescent="0.2">
      <c r="A40" t="s">
        <v>207</v>
      </c>
      <c r="B40">
        <v>2165.1192999999998</v>
      </c>
      <c r="C40">
        <v>123.123</v>
      </c>
      <c r="D40">
        <v>202.84200000000001</v>
      </c>
      <c r="E40">
        <v>246.78800000000001</v>
      </c>
      <c r="F40">
        <v>10.673920095443743</v>
      </c>
      <c r="G40">
        <v>8.7731952120848646</v>
      </c>
      <c r="H40">
        <v>0.64747447674276948</v>
      </c>
      <c r="I40">
        <v>0.21665138383569471</v>
      </c>
      <c r="J40">
        <v>157.49099987792968</v>
      </c>
      <c r="K40">
        <v>0.77642204217040689</v>
      </c>
      <c r="L40">
        <v>-13.472000000000001</v>
      </c>
      <c r="M40">
        <v>-6.6416225436546669E-2</v>
      </c>
      <c r="N40">
        <v>31.103999999999999</v>
      </c>
      <c r="O40">
        <v>-33.920332731689001</v>
      </c>
      <c r="P40">
        <v>-0.16722539085440391</v>
      </c>
    </row>
    <row r="41" spans="1:16" x14ac:dyDescent="0.2">
      <c r="A41" t="s">
        <v>167</v>
      </c>
      <c r="B41">
        <v>3202.2395999999999</v>
      </c>
      <c r="C41">
        <v>230.70099999999999</v>
      </c>
      <c r="D41">
        <v>377.52699999999999</v>
      </c>
      <c r="E41">
        <v>452.61400000000003</v>
      </c>
      <c r="F41">
        <v>8.482147237151251</v>
      </c>
      <c r="G41">
        <v>7.0749901682228113</v>
      </c>
      <c r="H41">
        <v>0.63643417237029742</v>
      </c>
      <c r="I41">
        <v>0.19889173489578238</v>
      </c>
      <c r="J41">
        <v>228.32999908447266</v>
      </c>
      <c r="K41">
        <v>0.60480442215913743</v>
      </c>
      <c r="L41">
        <v>46.511999999999993</v>
      </c>
      <c r="M41">
        <v>0.12320178424324617</v>
      </c>
      <c r="N41">
        <v>137.19299999999998</v>
      </c>
      <c r="O41">
        <v>3.8283299999999998</v>
      </c>
      <c r="P41">
        <v>1.0140546239076941E-2</v>
      </c>
    </row>
    <row r="42" spans="1:16" x14ac:dyDescent="0.2">
      <c r="A42" t="s">
        <v>127</v>
      </c>
      <c r="B42">
        <v>5177.2318999999998</v>
      </c>
      <c r="C42">
        <v>375.49599999999998</v>
      </c>
      <c r="D42">
        <v>614.04600000000005</v>
      </c>
      <c r="E42">
        <v>792.19399999999996</v>
      </c>
      <c r="F42">
        <v>8.4313421144344218</v>
      </c>
      <c r="G42">
        <v>6.5353081442171996</v>
      </c>
      <c r="H42">
        <v>0.63529305238937317</v>
      </c>
      <c r="I42">
        <v>0.29012158698208257</v>
      </c>
      <c r="J42">
        <v>439.7080033569336</v>
      </c>
      <c r="K42">
        <v>0.71608316536046746</v>
      </c>
      <c r="L42">
        <v>-23.048000000000005</v>
      </c>
      <c r="M42">
        <v>-3.7534647241411888E-2</v>
      </c>
      <c r="N42">
        <v>286.072</v>
      </c>
      <c r="O42">
        <v>-78.538188416806008</v>
      </c>
      <c r="P42">
        <v>-0.12790277669230971</v>
      </c>
    </row>
    <row r="43" spans="1:16" x14ac:dyDescent="0.2">
      <c r="A43" t="s">
        <v>129</v>
      </c>
      <c r="B43">
        <v>4738.1673000000001</v>
      </c>
      <c r="C43">
        <v>270.96699999999998</v>
      </c>
      <c r="D43">
        <v>441.399</v>
      </c>
      <c r="E43">
        <v>558.06700000000001</v>
      </c>
      <c r="F43">
        <v>10.734431432785303</v>
      </c>
      <c r="G43">
        <v>8.490319800310715</v>
      </c>
      <c r="H43">
        <v>0.62897696029405803</v>
      </c>
      <c r="I43">
        <v>0.26431414661111607</v>
      </c>
      <c r="J43">
        <v>354.10500488281252</v>
      </c>
      <c r="K43">
        <v>0.80223336455862504</v>
      </c>
      <c r="L43">
        <v>-24.503810126582</v>
      </c>
      <c r="M43">
        <v>-5.5513968374604379E-2</v>
      </c>
      <c r="N43">
        <v>87.679999999999993</v>
      </c>
      <c r="O43">
        <v>-55.844099999999997</v>
      </c>
      <c r="P43">
        <v>-0.1265161452563327</v>
      </c>
    </row>
    <row r="44" spans="1:16" x14ac:dyDescent="0.2">
      <c r="A44" t="s">
        <v>23</v>
      </c>
      <c r="B44">
        <v>30069.100900000001</v>
      </c>
      <c r="C44">
        <v>1390.5129999999999</v>
      </c>
      <c r="D44">
        <v>2264.8180000000002</v>
      </c>
      <c r="E44">
        <v>2957.73</v>
      </c>
      <c r="F44">
        <v>13.27660805415711</v>
      </c>
      <c r="G44">
        <v>10.166276468778422</v>
      </c>
      <c r="H44">
        <v>0.62876434812188042</v>
      </c>
      <c r="I44">
        <v>0.30594599654365151</v>
      </c>
      <c r="J44">
        <v>1706.5400173339845</v>
      </c>
      <c r="K44">
        <v>0.75349984737580866</v>
      </c>
      <c r="L44">
        <v>59.362000000000002</v>
      </c>
      <c r="M44">
        <v>2.6210494618110591E-2</v>
      </c>
      <c r="N44">
        <v>726.495</v>
      </c>
      <c r="O44">
        <v>-89.498374022804001</v>
      </c>
      <c r="P44">
        <v>-3.9516806217013457E-2</v>
      </c>
    </row>
    <row r="45" spans="1:16" x14ac:dyDescent="0.2">
      <c r="A45" t="s">
        <v>113</v>
      </c>
      <c r="B45">
        <v>5616.1094999999996</v>
      </c>
      <c r="C45">
        <v>311.99900000000002</v>
      </c>
      <c r="D45">
        <v>507.88499999999999</v>
      </c>
      <c r="E45">
        <v>667.96900000000005</v>
      </c>
      <c r="F45">
        <v>11.057836911899347</v>
      </c>
      <c r="G45">
        <v>8.4077397304365906</v>
      </c>
      <c r="H45">
        <v>0.62784175590306368</v>
      </c>
      <c r="I45">
        <v>0.31519733798005456</v>
      </c>
      <c r="J45">
        <v>356.01800524902342</v>
      </c>
      <c r="K45">
        <v>0.70098153174246813</v>
      </c>
      <c r="L45">
        <v>-86.045139240506003</v>
      </c>
      <c r="M45">
        <v>-0.16941854797937722</v>
      </c>
      <c r="N45">
        <v>109.36999999999999</v>
      </c>
      <c r="O45">
        <v>-115.405</v>
      </c>
      <c r="P45">
        <v>-0.22722663595105191</v>
      </c>
    </row>
    <row r="46" spans="1:16" x14ac:dyDescent="0.2">
      <c r="A46" t="s">
        <v>331</v>
      </c>
      <c r="B46">
        <v>789.97940000000006</v>
      </c>
      <c r="C46">
        <v>74.766999999999996</v>
      </c>
      <c r="D46">
        <v>121.47999999999999</v>
      </c>
      <c r="E46">
        <v>163.429</v>
      </c>
      <c r="F46">
        <v>6.5029585116891679</v>
      </c>
      <c r="G46">
        <v>4.8337773589754578</v>
      </c>
      <c r="H46">
        <v>0.62478098626399348</v>
      </c>
      <c r="I46">
        <v>0.34531610141587099</v>
      </c>
      <c r="J46">
        <v>81.369998809814447</v>
      </c>
      <c r="K46">
        <v>0.66982218315619402</v>
      </c>
      <c r="L46">
        <v>25.582999999999998</v>
      </c>
      <c r="M46">
        <v>0.210594336516299</v>
      </c>
      <c r="N46">
        <v>22.326000000000001</v>
      </c>
      <c r="O46">
        <v>-2.0403708767979998</v>
      </c>
      <c r="P46">
        <v>-1.6795940704626276E-2</v>
      </c>
    </row>
    <row r="47" spans="1:16" x14ac:dyDescent="0.2">
      <c r="A47" t="s">
        <v>259</v>
      </c>
      <c r="B47">
        <v>1346.6967</v>
      </c>
      <c r="C47">
        <v>79.929000000000002</v>
      </c>
      <c r="D47">
        <v>128.28899999999999</v>
      </c>
      <c r="E47">
        <v>156.166</v>
      </c>
      <c r="F47">
        <v>10.497366882585414</v>
      </c>
      <c r="G47">
        <v>8.6234948708425652</v>
      </c>
      <c r="H47">
        <v>0.605036970311151</v>
      </c>
      <c r="I47">
        <v>0.21729844335835513</v>
      </c>
      <c r="J47">
        <v>95.234000320434575</v>
      </c>
      <c r="K47">
        <v>0.74233956395664935</v>
      </c>
      <c r="L47">
        <v>4.5019999999999998</v>
      </c>
      <c r="M47">
        <v>3.5092642393346273E-2</v>
      </c>
      <c r="N47">
        <v>175.49599999999998</v>
      </c>
      <c r="O47">
        <v>-4.702</v>
      </c>
      <c r="P47">
        <v>-3.6651622508554908E-2</v>
      </c>
    </row>
    <row r="48" spans="1:16" x14ac:dyDescent="0.2">
      <c r="A48" t="s">
        <v>269</v>
      </c>
      <c r="B48">
        <v>1455.3159000000001</v>
      </c>
      <c r="C48">
        <v>76.846000000000004</v>
      </c>
      <c r="D48">
        <v>122.828</v>
      </c>
      <c r="E48">
        <v>163.084</v>
      </c>
      <c r="F48">
        <v>11.848405086788029</v>
      </c>
      <c r="G48">
        <v>8.9237196782026444</v>
      </c>
      <c r="H48">
        <v>0.59836556229341797</v>
      </c>
      <c r="I48">
        <v>0.32774285993421692</v>
      </c>
      <c r="J48">
        <v>85.026000061035163</v>
      </c>
      <c r="K48">
        <v>0.69223629840944378</v>
      </c>
      <c r="L48">
        <v>-24.664999999999999</v>
      </c>
      <c r="M48">
        <v>-0.20080926173185265</v>
      </c>
      <c r="N48">
        <v>102.75399999999999</v>
      </c>
      <c r="O48">
        <v>-39.188639999999999</v>
      </c>
      <c r="P48">
        <v>-0.3190529846614778</v>
      </c>
    </row>
    <row r="49" spans="1:16" x14ac:dyDescent="0.2">
      <c r="A49" t="s">
        <v>369</v>
      </c>
      <c r="B49">
        <v>305.15159999999997</v>
      </c>
      <c r="C49">
        <v>34.701000000000001</v>
      </c>
      <c r="D49">
        <v>55.426000000000002</v>
      </c>
      <c r="E49">
        <v>77.417000000000002</v>
      </c>
      <c r="F49">
        <v>5.505567784072456</v>
      </c>
      <c r="G49">
        <v>3.9416613922006789</v>
      </c>
      <c r="H49">
        <v>0.5972450361661048</v>
      </c>
      <c r="I49">
        <v>0.39676325190343875</v>
      </c>
      <c r="J49">
        <v>48.276000267028806</v>
      </c>
      <c r="K49">
        <v>0.87099917488234413</v>
      </c>
      <c r="L49">
        <v>6.4513846153849999</v>
      </c>
      <c r="M49">
        <v>0.11639635938702053</v>
      </c>
      <c r="N49">
        <v>9.0860000000000003</v>
      </c>
      <c r="O49">
        <v>2.9750000000000001</v>
      </c>
      <c r="P49">
        <v>5.3675170497600407E-2</v>
      </c>
    </row>
    <row r="50" spans="1:16" x14ac:dyDescent="0.2">
      <c r="A50" t="s">
        <v>587</v>
      </c>
      <c r="B50">
        <v>28442.0455</v>
      </c>
      <c r="C50">
        <v>1708.721</v>
      </c>
      <c r="D50">
        <v>2684.7350000000001</v>
      </c>
      <c r="E50">
        <v>1858.0640000000001</v>
      </c>
      <c r="F50">
        <v>10.593986184856233</v>
      </c>
      <c r="G50">
        <v>15.307355128779202</v>
      </c>
      <c r="H50">
        <v>0.57119564867523731</v>
      </c>
      <c r="I50">
        <v>-0.30791530635239606</v>
      </c>
      <c r="J50">
        <v>1029.4319973144532</v>
      </c>
      <c r="K50">
        <v>0.38343896038694808</v>
      </c>
      <c r="L50">
        <v>-3.8120000000000012</v>
      </c>
      <c r="M50">
        <v>-1.4198794294408949E-3</v>
      </c>
      <c r="N50">
        <v>696.47399999999993</v>
      </c>
      <c r="O50">
        <v>-55.131</v>
      </c>
      <c r="P50">
        <v>-2.0534987624476902E-2</v>
      </c>
    </row>
    <row r="51" spans="1:16" x14ac:dyDescent="0.2">
      <c r="A51" t="s">
        <v>225</v>
      </c>
      <c r="B51">
        <v>2014.3187</v>
      </c>
      <c r="C51">
        <v>105.586</v>
      </c>
      <c r="D51">
        <v>165.38</v>
      </c>
      <c r="E51">
        <v>205.85</v>
      </c>
      <c r="F51">
        <v>12.179941347200387</v>
      </c>
      <c r="G51">
        <v>9.7853713869322334</v>
      </c>
      <c r="H51">
        <v>0.56630613907146776</v>
      </c>
      <c r="I51">
        <v>0.24470915467408383</v>
      </c>
      <c r="J51">
        <v>102.44899972534179</v>
      </c>
      <c r="K51">
        <v>0.6194763558189732</v>
      </c>
      <c r="L51">
        <v>31.149000000000001</v>
      </c>
      <c r="M51">
        <v>0.18834804692223969</v>
      </c>
      <c r="N51">
        <v>16.109000000000002</v>
      </c>
      <c r="O51">
        <v>18.071339999999999</v>
      </c>
      <c r="P51">
        <v>0.1092716168823316</v>
      </c>
    </row>
    <row r="52" spans="1:16" x14ac:dyDescent="0.2">
      <c r="A52" t="s">
        <v>101</v>
      </c>
      <c r="B52">
        <v>6390.3563999999997</v>
      </c>
      <c r="C52">
        <v>424.44600000000003</v>
      </c>
      <c r="D52">
        <v>661.06700000000001</v>
      </c>
      <c r="E52">
        <v>749.7</v>
      </c>
      <c r="F52">
        <v>9.6667303011646322</v>
      </c>
      <c r="G52">
        <v>8.5238847539015605</v>
      </c>
      <c r="H52">
        <v>0.55748198828590667</v>
      </c>
      <c r="I52">
        <v>0.13407566857822273</v>
      </c>
      <c r="J52">
        <v>364.36000024414062</v>
      </c>
      <c r="K52">
        <v>0.55116954899297743</v>
      </c>
      <c r="L52">
        <v>28.280999999999985</v>
      </c>
      <c r="M52">
        <v>4.2780837645805925E-2</v>
      </c>
      <c r="N52">
        <v>437.14</v>
      </c>
      <c r="O52">
        <v>35.34196</v>
      </c>
      <c r="P52">
        <v>5.3461994018760582E-2</v>
      </c>
    </row>
    <row r="53" spans="1:16" x14ac:dyDescent="0.2">
      <c r="A53" t="s">
        <v>265</v>
      </c>
      <c r="B53">
        <v>1409.3098</v>
      </c>
      <c r="C53">
        <v>132.923</v>
      </c>
      <c r="D53">
        <v>206.78900000000002</v>
      </c>
      <c r="E53">
        <v>220.108</v>
      </c>
      <c r="F53">
        <v>6.8152068050041343</v>
      </c>
      <c r="G53">
        <v>6.4028104385120033</v>
      </c>
      <c r="H53">
        <v>0.55570518269975855</v>
      </c>
      <c r="I53">
        <v>6.44086484290749E-2</v>
      </c>
      <c r="J53">
        <v>128.89599989318847</v>
      </c>
      <c r="K53">
        <v>0.62332135603532324</v>
      </c>
      <c r="L53">
        <v>-30.616</v>
      </c>
      <c r="M53">
        <v>-0.148054296892001</v>
      </c>
      <c r="N53">
        <v>73.757999999999996</v>
      </c>
      <c r="O53">
        <v>-33.673000000000002</v>
      </c>
      <c r="P53">
        <v>-0.16283748168422885</v>
      </c>
    </row>
    <row r="54" spans="1:16" x14ac:dyDescent="0.2">
      <c r="A54" t="s">
        <v>299</v>
      </c>
      <c r="B54">
        <v>949.03020000000004</v>
      </c>
      <c r="C54">
        <v>166.84100000000001</v>
      </c>
      <c r="D54">
        <v>257.60300000000001</v>
      </c>
      <c r="E54">
        <v>302.613</v>
      </c>
      <c r="F54">
        <v>3.6840805425402654</v>
      </c>
      <c r="G54">
        <v>3.1361184086605665</v>
      </c>
      <c r="H54">
        <v>0.54400297289035671</v>
      </c>
      <c r="I54">
        <v>0.17472622601444865</v>
      </c>
      <c r="J54">
        <v>194.42499871826172</v>
      </c>
      <c r="K54">
        <v>0.75474664005567371</v>
      </c>
      <c r="L54">
        <v>-82.965000000000003</v>
      </c>
      <c r="M54">
        <v>-0.32206534861783442</v>
      </c>
      <c r="N54">
        <v>63.009</v>
      </c>
      <c r="O54">
        <v>-92.112000000000009</v>
      </c>
      <c r="P54">
        <v>-0.35757347546418328</v>
      </c>
    </row>
    <row r="55" spans="1:16" x14ac:dyDescent="0.2">
      <c r="A55" t="s">
        <v>37</v>
      </c>
      <c r="B55">
        <v>19172.8344</v>
      </c>
      <c r="C55">
        <v>2052.23</v>
      </c>
      <c r="D55">
        <v>3156.587</v>
      </c>
      <c r="E55">
        <v>3599.1820000000002</v>
      </c>
      <c r="F55">
        <v>6.0739128685507477</v>
      </c>
      <c r="G55">
        <v>5.3269977455988604</v>
      </c>
      <c r="H55">
        <v>0.5381253563197107</v>
      </c>
      <c r="I55">
        <v>0.14021314793477901</v>
      </c>
      <c r="J55">
        <v>2690.5739580078125</v>
      </c>
      <c r="K55">
        <v>0.85236806652495634</v>
      </c>
      <c r="L55">
        <v>602.68600000000004</v>
      </c>
      <c r="M55">
        <v>0.19092963381018804</v>
      </c>
      <c r="N55">
        <v>1724.1319999999998</v>
      </c>
      <c r="O55">
        <v>417.021865536652</v>
      </c>
      <c r="P55">
        <v>0.13211163371598883</v>
      </c>
    </row>
    <row r="56" spans="1:16" x14ac:dyDescent="0.2">
      <c r="A56" t="s">
        <v>115</v>
      </c>
      <c r="B56">
        <v>5688.8769000000002</v>
      </c>
      <c r="C56">
        <v>379.72399999999999</v>
      </c>
      <c r="D56">
        <v>581.47399999999993</v>
      </c>
      <c r="E56">
        <v>724.625</v>
      </c>
      <c r="F56">
        <v>9.7835447500662127</v>
      </c>
      <c r="G56">
        <v>7.8507875107814389</v>
      </c>
      <c r="H56">
        <v>0.53130694925788191</v>
      </c>
      <c r="I56">
        <v>0.24618641590165691</v>
      </c>
      <c r="J56">
        <v>443.33000299072262</v>
      </c>
      <c r="K56">
        <v>0.762424464362504</v>
      </c>
      <c r="L56">
        <v>1.981681596884</v>
      </c>
      <c r="M56">
        <v>3.4080313081651117E-3</v>
      </c>
      <c r="N56">
        <v>181.19199999999998</v>
      </c>
      <c r="O56">
        <v>-22.126999999999999</v>
      </c>
      <c r="P56">
        <v>-3.8053292150637866E-2</v>
      </c>
    </row>
    <row r="57" spans="1:16" x14ac:dyDescent="0.2">
      <c r="A57" t="s">
        <v>257</v>
      </c>
      <c r="B57">
        <v>1454.999</v>
      </c>
      <c r="C57">
        <v>139.02099999999999</v>
      </c>
      <c r="D57">
        <v>211.739</v>
      </c>
      <c r="E57">
        <v>279.25700000000001</v>
      </c>
      <c r="F57">
        <v>6.8716627546177129</v>
      </c>
      <c r="G57">
        <v>5.2102507725858258</v>
      </c>
      <c r="H57">
        <v>0.52307205386236633</v>
      </c>
      <c r="I57">
        <v>0.31887370772507673</v>
      </c>
      <c r="J57">
        <v>149.78799795532225</v>
      </c>
      <c r="K57">
        <v>0.70741808526214944</v>
      </c>
      <c r="L57">
        <v>-11.435911392404998</v>
      </c>
      <c r="M57">
        <v>-5.4009471058260393E-2</v>
      </c>
      <c r="N57">
        <v>232.01899999999998</v>
      </c>
      <c r="O57">
        <v>-22.763379999999998</v>
      </c>
      <c r="P57">
        <v>-0.10750678901855586</v>
      </c>
    </row>
    <row r="58" spans="1:16" x14ac:dyDescent="0.2">
      <c r="A58" t="s">
        <v>97</v>
      </c>
      <c r="B58">
        <v>7407.2659999999996</v>
      </c>
      <c r="C58">
        <v>329.14100000000002</v>
      </c>
      <c r="D58">
        <v>498.02800000000002</v>
      </c>
      <c r="E58">
        <v>621.76</v>
      </c>
      <c r="F58">
        <v>14.87319186873027</v>
      </c>
      <c r="G58">
        <v>11.913384585692228</v>
      </c>
      <c r="H58">
        <v>0.5131144403158524</v>
      </c>
      <c r="I58">
        <v>0.24844386259407103</v>
      </c>
      <c r="J58">
        <v>416.48600439453128</v>
      </c>
      <c r="K58">
        <v>0.83627025868933325</v>
      </c>
      <c r="L58">
        <v>148.13299999999998</v>
      </c>
      <c r="M58">
        <v>0.29743909980964922</v>
      </c>
      <c r="N58">
        <v>46.076999999999998</v>
      </c>
      <c r="O58">
        <v>104.562799698118</v>
      </c>
      <c r="P58">
        <v>0.20995365661793713</v>
      </c>
    </row>
    <row r="59" spans="1:16" x14ac:dyDescent="0.2">
      <c r="A59" t="s">
        <v>187</v>
      </c>
      <c r="B59">
        <v>2961.8824</v>
      </c>
      <c r="C59">
        <v>124.371</v>
      </c>
      <c r="D59">
        <v>187.727</v>
      </c>
      <c r="E59">
        <v>294.17700000000002</v>
      </c>
      <c r="F59">
        <v>15.777604713227186</v>
      </c>
      <c r="G59">
        <v>10.068368363264293</v>
      </c>
      <c r="H59">
        <v>0.50941135795322068</v>
      </c>
      <c r="I59">
        <v>0.56704682863946054</v>
      </c>
      <c r="J59">
        <v>162.13900000000001</v>
      </c>
      <c r="K59">
        <v>0.86369568575644429</v>
      </c>
      <c r="L59">
        <v>-36.067999999999998</v>
      </c>
      <c r="M59">
        <v>-0.19213006120590004</v>
      </c>
      <c r="N59">
        <v>27.209999999999997</v>
      </c>
      <c r="O59">
        <v>-41.021999999999998</v>
      </c>
      <c r="P59">
        <v>-0.21851944579096239</v>
      </c>
    </row>
    <row r="60" spans="1:16" x14ac:dyDescent="0.2">
      <c r="A60" t="s">
        <v>65</v>
      </c>
      <c r="B60">
        <v>14343.2274</v>
      </c>
      <c r="C60">
        <v>2897</v>
      </c>
      <c r="D60">
        <v>4329.9000000000005</v>
      </c>
      <c r="E60">
        <v>4491.5709999999999</v>
      </c>
      <c r="F60">
        <v>3.3126001524284621</v>
      </c>
      <c r="G60">
        <v>3.1933653948696348</v>
      </c>
      <c r="H60">
        <v>0.49461511908871264</v>
      </c>
      <c r="I60">
        <v>3.7338275710755209E-2</v>
      </c>
      <c r="J60">
        <v>1160.2999847412111</v>
      </c>
      <c r="K60">
        <v>0.26797385268509921</v>
      </c>
      <c r="L60">
        <v>810.10000000000014</v>
      </c>
      <c r="M60">
        <v>0.1870943901706737</v>
      </c>
      <c r="N60">
        <v>263.89999999999998</v>
      </c>
      <c r="O60">
        <v>445.40826848170406</v>
      </c>
      <c r="P60">
        <v>0.102868026624565</v>
      </c>
    </row>
    <row r="61" spans="1:16" x14ac:dyDescent="0.2">
      <c r="A61" t="s">
        <v>253</v>
      </c>
      <c r="B61">
        <v>1478.7066</v>
      </c>
      <c r="C61">
        <v>209.33600000000001</v>
      </c>
      <c r="D61">
        <v>310.62700000000001</v>
      </c>
      <c r="E61">
        <v>366.35300000000001</v>
      </c>
      <c r="F61">
        <v>4.7603930115540498</v>
      </c>
      <c r="G61">
        <v>4.0362890436273213</v>
      </c>
      <c r="H61">
        <v>0.48386803989758087</v>
      </c>
      <c r="I61">
        <v>0.17939844250499792</v>
      </c>
      <c r="J61">
        <v>234.64100097656251</v>
      </c>
      <c r="K61">
        <v>0.75537864054497039</v>
      </c>
      <c r="L61">
        <v>-13.42</v>
      </c>
      <c r="M61">
        <v>-4.3202941148065041E-2</v>
      </c>
      <c r="N61">
        <v>31.702999999999999</v>
      </c>
      <c r="O61">
        <v>42.356312490929</v>
      </c>
      <c r="P61">
        <v>0.13635747211584634</v>
      </c>
    </row>
    <row r="62" spans="1:16" x14ac:dyDescent="0.2">
      <c r="A62" t="s">
        <v>241</v>
      </c>
      <c r="B62">
        <v>1637.1987999999999</v>
      </c>
      <c r="C62">
        <v>164.45599999999999</v>
      </c>
      <c r="D62">
        <v>242.52799999999999</v>
      </c>
      <c r="E62">
        <v>285.279</v>
      </c>
      <c r="F62">
        <v>6.7505558121124158</v>
      </c>
      <c r="G62">
        <v>5.7389390736787496</v>
      </c>
      <c r="H62">
        <v>0.47472880284088148</v>
      </c>
      <c r="I62">
        <v>0.1762724303997889</v>
      </c>
      <c r="J62">
        <v>218.322998046875</v>
      </c>
      <c r="K62">
        <v>0.90019708259201003</v>
      </c>
      <c r="L62">
        <v>-20.379999999999995</v>
      </c>
      <c r="M62">
        <v>-8.4031534503232599E-2</v>
      </c>
      <c r="N62">
        <v>56.689</v>
      </c>
      <c r="O62">
        <v>-25.522279999999999</v>
      </c>
      <c r="P62">
        <v>-0.10523436469191186</v>
      </c>
    </row>
    <row r="63" spans="1:16" x14ac:dyDescent="0.2">
      <c r="A63" t="s">
        <v>613</v>
      </c>
      <c r="B63">
        <v>503.5813</v>
      </c>
      <c r="C63">
        <v>264.7</v>
      </c>
      <c r="D63">
        <v>390.21064688256155</v>
      </c>
      <c r="E63">
        <v>423.65500000000003</v>
      </c>
      <c r="F63">
        <v>1.2905370574154493</v>
      </c>
      <c r="G63">
        <v>1.1886589323860215</v>
      </c>
      <c r="H63">
        <v>0.47416186959789031</v>
      </c>
      <c r="I63">
        <v>8.5708458712311808E-2</v>
      </c>
      <c r="J63">
        <v>208.1033694655994</v>
      </c>
      <c r="K63">
        <v>0.53331033155594687</v>
      </c>
      <c r="L63">
        <v>41.081894131577933</v>
      </c>
      <c r="M63">
        <v>0.10528132550914739</v>
      </c>
      <c r="N63">
        <v>22.7</v>
      </c>
      <c r="O63">
        <v>28.187567163656766</v>
      </c>
      <c r="P63">
        <v>7.2236796686227123E-2</v>
      </c>
    </row>
    <row r="64" spans="1:16" x14ac:dyDescent="0.2">
      <c r="A64" t="s">
        <v>71</v>
      </c>
      <c r="B64">
        <v>18277.499500000002</v>
      </c>
      <c r="C64">
        <v>1481.4359999999999</v>
      </c>
      <c r="D64">
        <v>2174.3449999999998</v>
      </c>
      <c r="E64">
        <v>4355.393</v>
      </c>
      <c r="F64">
        <v>8.405979501872979</v>
      </c>
      <c r="G64">
        <v>4.1965213012924441</v>
      </c>
      <c r="H64">
        <v>0.46772793424758136</v>
      </c>
      <c r="I64">
        <v>1.003082767454107</v>
      </c>
      <c r="J64">
        <v>895.99100952148433</v>
      </c>
      <c r="K64">
        <v>0.4120739852790079</v>
      </c>
      <c r="L64">
        <v>748.41300000000001</v>
      </c>
      <c r="M64">
        <v>0.34420158714463439</v>
      </c>
      <c r="N64">
        <v>64.057000000000002</v>
      </c>
      <c r="O64">
        <v>260.79930813918901</v>
      </c>
      <c r="P64">
        <v>0.11994384890125027</v>
      </c>
    </row>
    <row r="65" spans="1:16" x14ac:dyDescent="0.2">
      <c r="A65" t="s">
        <v>9</v>
      </c>
      <c r="B65">
        <v>117401.54</v>
      </c>
      <c r="C65">
        <v>5854.43</v>
      </c>
      <c r="D65">
        <v>8571.9779999999992</v>
      </c>
      <c r="E65">
        <v>10315.565000000001</v>
      </c>
      <c r="F65">
        <v>13.695968421757499</v>
      </c>
      <c r="G65">
        <v>11.381009183694736</v>
      </c>
      <c r="H65">
        <v>0.46418660740669865</v>
      </c>
      <c r="I65">
        <v>0.20340544504430613</v>
      </c>
      <c r="J65">
        <v>7465.3680576171873</v>
      </c>
      <c r="K65">
        <v>0.8709037817895926</v>
      </c>
      <c r="L65">
        <v>3089.8100000000004</v>
      </c>
      <c r="M65">
        <v>0.36045472818525676</v>
      </c>
      <c r="N65">
        <v>2306.0720000000001</v>
      </c>
      <c r="O65">
        <v>2415.5068601730072</v>
      </c>
      <c r="P65">
        <v>0.28179107087920752</v>
      </c>
    </row>
    <row r="66" spans="1:16" x14ac:dyDescent="0.2">
      <c r="A66" t="s">
        <v>249</v>
      </c>
      <c r="B66">
        <v>1683.934</v>
      </c>
      <c r="C66">
        <v>322.85599999999999</v>
      </c>
      <c r="D66">
        <v>472.71199999999999</v>
      </c>
      <c r="E66">
        <v>564.25700000000006</v>
      </c>
      <c r="F66">
        <v>3.5622831660715191</v>
      </c>
      <c r="G66">
        <v>2.9843386967286181</v>
      </c>
      <c r="H66">
        <v>0.46415739524741678</v>
      </c>
      <c r="I66">
        <v>0.19365914129533435</v>
      </c>
      <c r="J66">
        <v>176.87399850463868</v>
      </c>
      <c r="K66">
        <v>0.37416862382304378</v>
      </c>
      <c r="L66">
        <v>71.519571428570998</v>
      </c>
      <c r="M66">
        <v>0.15129628913285678</v>
      </c>
      <c r="N66">
        <v>52.524999999999999</v>
      </c>
      <c r="O66">
        <v>48.062889999999996</v>
      </c>
      <c r="P66">
        <v>0.10167478295452621</v>
      </c>
    </row>
    <row r="67" spans="1:16" x14ac:dyDescent="0.2">
      <c r="A67" t="s">
        <v>602</v>
      </c>
      <c r="B67">
        <v>11136.6034</v>
      </c>
      <c r="C67">
        <v>1393.9970000000001</v>
      </c>
      <c r="D67">
        <v>2027.4701488016447</v>
      </c>
      <c r="E67">
        <v>2646.6010000000001</v>
      </c>
      <c r="F67">
        <v>5.4928569017809679</v>
      </c>
      <c r="G67">
        <v>4.2078890622349192</v>
      </c>
      <c r="H67">
        <v>0.45442934870135626</v>
      </c>
      <c r="I67">
        <v>0.30537113040322628</v>
      </c>
      <c r="J67">
        <v>1679.9929314420062</v>
      </c>
      <c r="K67">
        <v>0.82861537193777279</v>
      </c>
      <c r="L67">
        <v>942.26823079258611</v>
      </c>
      <c r="M67">
        <v>0.46475072954811325</v>
      </c>
      <c r="N67">
        <v>746.93899999999996</v>
      </c>
      <c r="O67">
        <v>205.69174478129477</v>
      </c>
      <c r="P67">
        <v>0.10145241590998064</v>
      </c>
    </row>
    <row r="68" spans="1:16" x14ac:dyDescent="0.2">
      <c r="A68" t="s">
        <v>339</v>
      </c>
      <c r="B68">
        <v>471.51530000000002</v>
      </c>
      <c r="C68">
        <v>106.971</v>
      </c>
      <c r="D68">
        <v>155.49099999999999</v>
      </c>
      <c r="E68">
        <v>150.45000000000002</v>
      </c>
      <c r="F68">
        <v>3.0324282434353118</v>
      </c>
      <c r="G68">
        <v>3.1340332336324357</v>
      </c>
      <c r="H68">
        <v>0.45358087706013761</v>
      </c>
      <c r="I68">
        <v>-3.2419882822799839E-2</v>
      </c>
      <c r="J68">
        <v>91.647999832153317</v>
      </c>
      <c r="K68">
        <v>0.58941031848887282</v>
      </c>
      <c r="L68">
        <v>-12.936999999999999</v>
      </c>
      <c r="M68">
        <v>-8.3200956968570536E-2</v>
      </c>
      <c r="N68">
        <v>56.704000000000001</v>
      </c>
      <c r="O68">
        <v>-30.891449999999999</v>
      </c>
      <c r="P68">
        <v>-0.19867034104867806</v>
      </c>
    </row>
    <row r="69" spans="1:16" x14ac:dyDescent="0.2">
      <c r="A69" t="s">
        <v>293</v>
      </c>
      <c r="B69">
        <v>1118.7239</v>
      </c>
      <c r="C69">
        <v>339.52199999999999</v>
      </c>
      <c r="D69">
        <v>493.41899999999998</v>
      </c>
      <c r="E69">
        <v>540.76700000000005</v>
      </c>
      <c r="F69">
        <v>2.2672898692591894</v>
      </c>
      <c r="G69">
        <v>2.0687725027599684</v>
      </c>
      <c r="H69">
        <v>0.45327548730273737</v>
      </c>
      <c r="I69">
        <v>9.5959012522825571E-2</v>
      </c>
      <c r="J69">
        <v>254.20199630737304</v>
      </c>
      <c r="K69">
        <v>0.51518485568527572</v>
      </c>
      <c r="L69">
        <v>-32.902000000000001</v>
      </c>
      <c r="M69">
        <v>-6.6681664062389165E-2</v>
      </c>
      <c r="N69">
        <v>101.539</v>
      </c>
      <c r="O69">
        <v>-51.781127336844001</v>
      </c>
      <c r="P69">
        <v>-0.10494352130105246</v>
      </c>
    </row>
    <row r="70" spans="1:16" x14ac:dyDescent="0.2">
      <c r="A70" t="s">
        <v>247</v>
      </c>
      <c r="B70">
        <v>2277.1129999999998</v>
      </c>
      <c r="C70">
        <v>298.29399999999998</v>
      </c>
      <c r="D70">
        <v>430.33699999999999</v>
      </c>
      <c r="E70">
        <v>547.33299999999997</v>
      </c>
      <c r="F70">
        <v>5.291464596351231</v>
      </c>
      <c r="G70">
        <v>4.16037951302041</v>
      </c>
      <c r="H70">
        <v>0.44266059659262341</v>
      </c>
      <c r="I70">
        <v>0.27187065021134593</v>
      </c>
      <c r="J70">
        <v>273.81199511718751</v>
      </c>
      <c r="K70">
        <v>0.63627342087059102</v>
      </c>
      <c r="L70">
        <v>145.13300000000001</v>
      </c>
      <c r="M70">
        <v>0.33725429140417862</v>
      </c>
      <c r="N70">
        <v>63.894999999999996</v>
      </c>
      <c r="O70">
        <v>106.145</v>
      </c>
      <c r="P70">
        <v>0.24665552810936545</v>
      </c>
    </row>
    <row r="71" spans="1:16" x14ac:dyDescent="0.2">
      <c r="A71" t="s">
        <v>213</v>
      </c>
      <c r="B71">
        <v>2086.6887999999999</v>
      </c>
      <c r="C71">
        <v>261.10599999999999</v>
      </c>
      <c r="D71">
        <v>375.99900000000002</v>
      </c>
      <c r="E71">
        <v>410.81200000000001</v>
      </c>
      <c r="F71">
        <v>5.5497190152101465</v>
      </c>
      <c r="G71">
        <v>5.0794251385061777</v>
      </c>
      <c r="H71">
        <v>0.44002435792360201</v>
      </c>
      <c r="I71">
        <v>9.2588012202160064E-2</v>
      </c>
      <c r="J71">
        <v>251.41600036621094</v>
      </c>
      <c r="K71">
        <v>0.66866135379671465</v>
      </c>
      <c r="L71">
        <v>78.801000000000002</v>
      </c>
      <c r="M71">
        <v>0.2095776850470347</v>
      </c>
      <c r="N71">
        <v>96.328999999999994</v>
      </c>
      <c r="O71">
        <v>54.195191958732003</v>
      </c>
      <c r="P71">
        <v>0.14413653216825575</v>
      </c>
    </row>
    <row r="72" spans="1:16" x14ac:dyDescent="0.2">
      <c r="A72" t="s">
        <v>219</v>
      </c>
      <c r="B72">
        <v>2059.2656000000002</v>
      </c>
      <c r="C72">
        <v>150.22399999999999</v>
      </c>
      <c r="D72">
        <v>215.20100000000002</v>
      </c>
      <c r="E72">
        <v>265.75200000000001</v>
      </c>
      <c r="F72">
        <v>9.5690336011449766</v>
      </c>
      <c r="G72">
        <v>7.7488244679249831</v>
      </c>
      <c r="H72">
        <v>0.43253408243689451</v>
      </c>
      <c r="I72">
        <v>0.2349013248079701</v>
      </c>
      <c r="J72">
        <v>106.53599938964844</v>
      </c>
      <c r="K72">
        <v>0.49505345881129004</v>
      </c>
      <c r="L72">
        <v>-7.5960000000000001</v>
      </c>
      <c r="M72">
        <v>-3.5297233748913803E-2</v>
      </c>
      <c r="N72">
        <v>57.960999999999999</v>
      </c>
      <c r="O72">
        <v>-24.3462</v>
      </c>
      <c r="P72">
        <v>-0.11313237392019553</v>
      </c>
    </row>
    <row r="73" spans="1:16" x14ac:dyDescent="0.2">
      <c r="A73" t="s">
        <v>263</v>
      </c>
      <c r="B73">
        <v>1443.3649</v>
      </c>
      <c r="C73">
        <v>157.43700000000001</v>
      </c>
      <c r="D73">
        <v>221.20800000000003</v>
      </c>
      <c r="E73">
        <v>260.59699999999998</v>
      </c>
      <c r="F73">
        <v>6.524921793063541</v>
      </c>
      <c r="G73">
        <v>5.5386857868663117</v>
      </c>
      <c r="H73">
        <v>0.40505726099963801</v>
      </c>
      <c r="I73">
        <v>0.17806318035514068</v>
      </c>
      <c r="J73">
        <v>155.65399899291992</v>
      </c>
      <c r="K73">
        <v>0.70365447448971064</v>
      </c>
      <c r="L73">
        <v>-47.295392405064</v>
      </c>
      <c r="M73">
        <v>-0.21380507217218181</v>
      </c>
      <c r="N73">
        <v>51.561999999999998</v>
      </c>
      <c r="O73">
        <v>-53.869</v>
      </c>
      <c r="P73">
        <v>-0.24352193410726553</v>
      </c>
    </row>
    <row r="74" spans="1:16" x14ac:dyDescent="0.2">
      <c r="A74" t="s">
        <v>289</v>
      </c>
      <c r="B74">
        <v>1444.5420999999999</v>
      </c>
      <c r="C74">
        <v>116.239</v>
      </c>
      <c r="D74">
        <v>162.01400000000001</v>
      </c>
      <c r="E74">
        <v>226.63</v>
      </c>
      <c r="F74">
        <v>8.9161560112089067</v>
      </c>
      <c r="G74">
        <v>6.3740109429466525</v>
      </c>
      <c r="H74">
        <v>0.39380070372250281</v>
      </c>
      <c r="I74">
        <v>0.39882973076400785</v>
      </c>
      <c r="J74">
        <v>126.376</v>
      </c>
      <c r="K74">
        <v>0.78003135531497281</v>
      </c>
      <c r="L74">
        <v>-48.109000000000002</v>
      </c>
      <c r="M74">
        <v>-0.29694347402076365</v>
      </c>
      <c r="N74">
        <v>36.073</v>
      </c>
      <c r="O74">
        <v>-55.826999999999998</v>
      </c>
      <c r="P74">
        <v>-0.34458133247744022</v>
      </c>
    </row>
    <row r="75" spans="1:16" x14ac:dyDescent="0.2">
      <c r="A75" t="s">
        <v>217</v>
      </c>
      <c r="B75">
        <v>2066.1927000000001</v>
      </c>
      <c r="C75">
        <v>162.09</v>
      </c>
      <c r="D75">
        <v>225.50900000000001</v>
      </c>
      <c r="E75">
        <v>266.108</v>
      </c>
      <c r="F75">
        <v>9.1623513917404615</v>
      </c>
      <c r="G75">
        <v>7.7644892299367179</v>
      </c>
      <c r="H75">
        <v>0.39125794311802092</v>
      </c>
      <c r="I75">
        <v>0.18003272596659103</v>
      </c>
      <c r="J75">
        <v>133.13299966430662</v>
      </c>
      <c r="K75">
        <v>0.59036668010725346</v>
      </c>
      <c r="L75">
        <v>10.643000000000001</v>
      </c>
      <c r="M75">
        <v>4.7195455613744906E-2</v>
      </c>
      <c r="N75">
        <v>68.947000000000003</v>
      </c>
      <c r="O75">
        <v>-2.3560000000000003</v>
      </c>
      <c r="P75">
        <v>-1.0447476597386358E-2</v>
      </c>
    </row>
    <row r="76" spans="1:16" x14ac:dyDescent="0.2">
      <c r="A76" t="s">
        <v>203</v>
      </c>
      <c r="B76">
        <v>2436.4575</v>
      </c>
      <c r="C76">
        <v>562.17899999999997</v>
      </c>
      <c r="D76">
        <v>777.6</v>
      </c>
      <c r="E76">
        <v>824</v>
      </c>
      <c r="F76">
        <v>3.1333043981481481</v>
      </c>
      <c r="G76">
        <v>2.9568658980582523</v>
      </c>
      <c r="H76">
        <v>0.38318934005005534</v>
      </c>
      <c r="I76">
        <v>5.967078189300401E-2</v>
      </c>
      <c r="J76">
        <v>266.30000152587888</v>
      </c>
      <c r="K76">
        <v>0.34246399373184011</v>
      </c>
      <c r="L76">
        <v>119.85900000000001</v>
      </c>
      <c r="M76">
        <v>0.15413966049382716</v>
      </c>
      <c r="N76">
        <v>99.828999999999994</v>
      </c>
      <c r="O76">
        <v>92.1</v>
      </c>
      <c r="P76">
        <v>0.11844135802469134</v>
      </c>
    </row>
    <row r="77" spans="1:16" x14ac:dyDescent="0.2">
      <c r="A77" t="s">
        <v>123</v>
      </c>
      <c r="B77">
        <v>5264.8521000000001</v>
      </c>
      <c r="C77">
        <v>568.12800000000004</v>
      </c>
      <c r="D77">
        <v>774.29099999999994</v>
      </c>
      <c r="E77">
        <v>940.42899999999997</v>
      </c>
      <c r="F77">
        <v>6.7995780656109917</v>
      </c>
      <c r="G77">
        <v>5.5983514970295474</v>
      </c>
      <c r="H77">
        <v>0.36288125211219985</v>
      </c>
      <c r="I77">
        <v>0.21456790793125591</v>
      </c>
      <c r="J77">
        <v>470.14299932861331</v>
      </c>
      <c r="K77">
        <v>0.60719161055548021</v>
      </c>
      <c r="L77">
        <v>151.96100000000001</v>
      </c>
      <c r="M77">
        <v>0.19625825432557015</v>
      </c>
      <c r="N77">
        <v>69.343000000000004</v>
      </c>
      <c r="O77">
        <v>39.375608755979997</v>
      </c>
      <c r="P77">
        <v>5.0853760092755822E-2</v>
      </c>
    </row>
    <row r="78" spans="1:16" x14ac:dyDescent="0.2">
      <c r="A78" t="s">
        <v>195</v>
      </c>
      <c r="B78">
        <v>2121.9027000000001</v>
      </c>
      <c r="C78">
        <v>216.613</v>
      </c>
      <c r="D78">
        <v>294.68199999999996</v>
      </c>
      <c r="E78">
        <v>349.25299999999999</v>
      </c>
      <c r="F78">
        <v>7.2006525678528055</v>
      </c>
      <c r="G78">
        <v>6.0755460940922488</v>
      </c>
      <c r="H78">
        <v>0.36040773176125146</v>
      </c>
      <c r="I78">
        <v>0.1851860649785193</v>
      </c>
      <c r="J78">
        <v>249.10499847412109</v>
      </c>
      <c r="K78">
        <v>0.84533496607909919</v>
      </c>
      <c r="L78">
        <v>33.942999999999998</v>
      </c>
      <c r="M78">
        <v>0.11518518267148996</v>
      </c>
      <c r="N78">
        <v>161.261</v>
      </c>
      <c r="O78">
        <v>27.055742028858003</v>
      </c>
      <c r="P78">
        <v>9.1813351439375343E-2</v>
      </c>
    </row>
    <row r="79" spans="1:16" x14ac:dyDescent="0.2">
      <c r="A79" t="s">
        <v>95</v>
      </c>
      <c r="B79">
        <v>9911.8019000000004</v>
      </c>
      <c r="C79">
        <v>1018.46</v>
      </c>
      <c r="D79">
        <v>1381.0119999999999</v>
      </c>
      <c r="E79">
        <v>1551.74</v>
      </c>
      <c r="F79">
        <v>7.1772018635609252</v>
      </c>
      <c r="G79">
        <v>6.3875403740317322</v>
      </c>
      <c r="H79">
        <v>0.35598059815800315</v>
      </c>
      <c r="I79">
        <v>0.12362528348776114</v>
      </c>
      <c r="J79">
        <v>1037.137987915039</v>
      </c>
      <c r="K79">
        <v>0.75099853434657993</v>
      </c>
      <c r="L79">
        <v>541.74800000000005</v>
      </c>
      <c r="M79">
        <v>0.3922833400433885</v>
      </c>
      <c r="N79">
        <v>508.072</v>
      </c>
      <c r="O79">
        <v>160.82074499958901</v>
      </c>
      <c r="P79">
        <v>0.11645137406451864</v>
      </c>
    </row>
    <row r="80" spans="1:16" x14ac:dyDescent="0.2">
      <c r="A80" t="s">
        <v>355</v>
      </c>
      <c r="B80">
        <v>374.9058</v>
      </c>
      <c r="C80">
        <v>201.64599999999999</v>
      </c>
      <c r="D80">
        <v>271.697</v>
      </c>
      <c r="E80">
        <v>301</v>
      </c>
      <c r="F80">
        <v>1.3798672786228776</v>
      </c>
      <c r="G80">
        <v>1.245534219269103</v>
      </c>
      <c r="H80">
        <v>0.3473959314838877</v>
      </c>
      <c r="I80">
        <v>0.10785176133707775</v>
      </c>
      <c r="J80">
        <v>87.58700073242187</v>
      </c>
      <c r="K80">
        <v>0.32237014296227734</v>
      </c>
      <c r="L80">
        <v>41.933999999999997</v>
      </c>
      <c r="M80">
        <v>0.15434104903624257</v>
      </c>
      <c r="N80">
        <v>76.075999999999993</v>
      </c>
      <c r="O80">
        <v>18.194142797403998</v>
      </c>
      <c r="P80">
        <v>6.6964827721336634E-2</v>
      </c>
    </row>
    <row r="81" spans="1:16" x14ac:dyDescent="0.2">
      <c r="A81" t="s">
        <v>605</v>
      </c>
      <c r="B81">
        <v>877.18060000000003</v>
      </c>
      <c r="C81">
        <v>49.845999999999997</v>
      </c>
      <c r="D81">
        <v>67.067000000000007</v>
      </c>
      <c r="E81">
        <v>79</v>
      </c>
      <c r="F81">
        <v>13.079168592601427</v>
      </c>
      <c r="G81">
        <v>11.103551898734178</v>
      </c>
      <c r="H81">
        <v>0.3454840910002811</v>
      </c>
      <c r="I81">
        <v>0.1779265510608794</v>
      </c>
      <c r="J81">
        <v>63.660000076293947</v>
      </c>
      <c r="K81">
        <v>0.94920005481524361</v>
      </c>
      <c r="L81">
        <v>20.859000000000002</v>
      </c>
      <c r="M81">
        <v>0.31101734086808713</v>
      </c>
      <c r="N81">
        <v>52.832999999999998</v>
      </c>
      <c r="O81">
        <v>15.805099999999999</v>
      </c>
      <c r="P81">
        <v>0.23566135357180129</v>
      </c>
    </row>
    <row r="82" spans="1:16" x14ac:dyDescent="0.2">
      <c r="A82" t="s">
        <v>73</v>
      </c>
      <c r="B82">
        <v>14628.111500000001</v>
      </c>
      <c r="C82">
        <v>3600</v>
      </c>
      <c r="D82">
        <v>4827</v>
      </c>
      <c r="E82">
        <v>4770.0380000000005</v>
      </c>
      <c r="F82">
        <v>3.0304767971825153</v>
      </c>
      <c r="G82">
        <v>3.066665611468923</v>
      </c>
      <c r="H82">
        <v>0.34083333333333332</v>
      </c>
      <c r="I82">
        <v>-1.180070437124503E-2</v>
      </c>
      <c r="J82">
        <v>3803</v>
      </c>
      <c r="K82">
        <v>0.78785995442303713</v>
      </c>
      <c r="L82">
        <v>1276</v>
      </c>
      <c r="M82">
        <v>0.26434638491816864</v>
      </c>
      <c r="N82">
        <v>1774</v>
      </c>
      <c r="O82">
        <v>412.36329172576399</v>
      </c>
      <c r="P82">
        <v>8.5428483887666037E-2</v>
      </c>
    </row>
    <row r="83" spans="1:16" x14ac:dyDescent="0.2">
      <c r="A83" t="s">
        <v>365</v>
      </c>
      <c r="B83">
        <v>304.52499999999998</v>
      </c>
      <c r="C83">
        <v>54.494</v>
      </c>
      <c r="D83">
        <v>72.800999999999988</v>
      </c>
      <c r="E83">
        <v>86.84</v>
      </c>
      <c r="F83">
        <v>4.1829782557931896</v>
      </c>
      <c r="G83">
        <v>3.5067365269461073</v>
      </c>
      <c r="H83">
        <v>0.33594524167798268</v>
      </c>
      <c r="I83">
        <v>0.19284075768190023</v>
      </c>
      <c r="J83">
        <v>62.064999832153319</v>
      </c>
      <c r="K83">
        <v>0.85252949591562377</v>
      </c>
      <c r="L83">
        <v>3.6139999999999999</v>
      </c>
      <c r="M83">
        <v>4.9642175244845543E-2</v>
      </c>
      <c r="N83">
        <v>29.087</v>
      </c>
      <c r="O83">
        <v>-1.5870000000000002</v>
      </c>
      <c r="P83">
        <v>-2.1799151110561674E-2</v>
      </c>
    </row>
    <row r="84" spans="1:16" x14ac:dyDescent="0.2">
      <c r="A84" t="s">
        <v>87</v>
      </c>
      <c r="B84">
        <v>8730.4277999999995</v>
      </c>
      <c r="C84">
        <v>781.29100000000005</v>
      </c>
      <c r="D84">
        <v>1035.461</v>
      </c>
      <c r="E84">
        <v>1245.01</v>
      </c>
      <c r="F84">
        <v>8.4314404888257499</v>
      </c>
      <c r="G84">
        <v>7.0123354832491298</v>
      </c>
      <c r="H84">
        <v>0.32532052717873361</v>
      </c>
      <c r="I84">
        <v>0.20237266299744738</v>
      </c>
      <c r="J84">
        <v>648.36900695800773</v>
      </c>
      <c r="K84">
        <v>0.62616458462270208</v>
      </c>
      <c r="L84">
        <v>114.41199999999999</v>
      </c>
      <c r="M84">
        <v>0.11049378006511108</v>
      </c>
      <c r="N84">
        <v>155.685</v>
      </c>
      <c r="O84">
        <v>46.960708818636007</v>
      </c>
      <c r="P84">
        <v>4.5352465055309668E-2</v>
      </c>
    </row>
    <row r="85" spans="1:16" x14ac:dyDescent="0.2">
      <c r="A85" t="s">
        <v>157</v>
      </c>
      <c r="B85">
        <v>4272.2191999999995</v>
      </c>
      <c r="C85">
        <v>874.255</v>
      </c>
      <c r="D85">
        <v>1158.5079999999998</v>
      </c>
      <c r="E85">
        <v>1252.3330000000001</v>
      </c>
      <c r="F85">
        <v>3.6876907194425934</v>
      </c>
      <c r="G85">
        <v>3.4114083075348165</v>
      </c>
      <c r="H85">
        <v>0.3251374027028725</v>
      </c>
      <c r="I85">
        <v>8.0987787740784078E-2</v>
      </c>
      <c r="J85">
        <v>974.26899780273436</v>
      </c>
      <c r="K85">
        <v>0.84096872684757851</v>
      </c>
      <c r="L85">
        <v>412.85069230769199</v>
      </c>
      <c r="M85">
        <v>0.35636412722889443</v>
      </c>
      <c r="N85">
        <v>350.94499999999999</v>
      </c>
      <c r="O85">
        <v>150.78399999999999</v>
      </c>
      <c r="P85">
        <v>0.1301536113691058</v>
      </c>
    </row>
    <row r="86" spans="1:16" x14ac:dyDescent="0.2">
      <c r="A86" t="s">
        <v>291</v>
      </c>
      <c r="B86">
        <v>1016.1319</v>
      </c>
      <c r="C86">
        <v>160.56899999999999</v>
      </c>
      <c r="D86">
        <v>212.47800000000001</v>
      </c>
      <c r="E86">
        <v>249.06300000000002</v>
      </c>
      <c r="F86">
        <v>4.7822922843776761</v>
      </c>
      <c r="G86">
        <v>4.0798187607151597</v>
      </c>
      <c r="H86">
        <v>0.32328157988154638</v>
      </c>
      <c r="I86">
        <v>0.17218253183859034</v>
      </c>
      <c r="J86">
        <v>147.23399932861327</v>
      </c>
      <c r="K86">
        <v>0.69293761861751924</v>
      </c>
      <c r="L86">
        <v>-14.339075949367</v>
      </c>
      <c r="M86">
        <v>-6.748499114904602E-2</v>
      </c>
      <c r="N86">
        <v>55.068999999999996</v>
      </c>
      <c r="O86">
        <v>-23.346969999999999</v>
      </c>
      <c r="P86">
        <v>-0.10987946987452818</v>
      </c>
    </row>
    <row r="87" spans="1:16" x14ac:dyDescent="0.2">
      <c r="A87" t="s">
        <v>590</v>
      </c>
      <c r="B87">
        <v>4083.6496999999999</v>
      </c>
      <c r="C87">
        <v>463.38099999999997</v>
      </c>
      <c r="D87">
        <v>609.726</v>
      </c>
      <c r="E87">
        <v>719.86699999999996</v>
      </c>
      <c r="F87">
        <v>6.6975160973945673</v>
      </c>
      <c r="G87">
        <v>5.6727835836341995</v>
      </c>
      <c r="H87">
        <v>0.31582002714828628</v>
      </c>
      <c r="I87">
        <v>0.1806401563981197</v>
      </c>
      <c r="J87">
        <v>460.99100408935544</v>
      </c>
      <c r="K87">
        <v>0.75606256595479848</v>
      </c>
      <c r="L87">
        <v>82.144000000000005</v>
      </c>
      <c r="M87">
        <v>0.13472280991789756</v>
      </c>
      <c r="N87">
        <v>237.32499999999999</v>
      </c>
      <c r="O87">
        <v>48.942264632863001</v>
      </c>
      <c r="P87">
        <v>8.0269276089363087E-2</v>
      </c>
    </row>
    <row r="88" spans="1:16" x14ac:dyDescent="0.2">
      <c r="A88" t="s">
        <v>55</v>
      </c>
      <c r="B88">
        <v>14085.412700000001</v>
      </c>
      <c r="C88">
        <v>2125.0859999999998</v>
      </c>
      <c r="D88">
        <v>2794.5149999999999</v>
      </c>
      <c r="E88">
        <v>3253.5360000000001</v>
      </c>
      <c r="F88">
        <v>5.0403782767313832</v>
      </c>
      <c r="G88">
        <v>4.3292629004258751</v>
      </c>
      <c r="H88">
        <v>0.31501266301693209</v>
      </c>
      <c r="I88">
        <v>0.16425784080600758</v>
      </c>
      <c r="J88">
        <v>2459.358009765625</v>
      </c>
      <c r="K88">
        <v>0.88006613303762016</v>
      </c>
      <c r="L88">
        <v>707.22400000000005</v>
      </c>
      <c r="M88">
        <v>0.25307575733177318</v>
      </c>
      <c r="N88">
        <v>488.964</v>
      </c>
      <c r="O88">
        <v>288.48589500000003</v>
      </c>
      <c r="P88">
        <v>0.10323290266826267</v>
      </c>
    </row>
    <row r="89" spans="1:16" x14ac:dyDescent="0.2">
      <c r="A89" t="s">
        <v>199</v>
      </c>
      <c r="B89">
        <v>2777.4384</v>
      </c>
      <c r="C89">
        <v>578.16399999999999</v>
      </c>
      <c r="D89">
        <v>757.60300000000007</v>
      </c>
      <c r="E89">
        <v>863.7</v>
      </c>
      <c r="F89">
        <v>3.6660868555166752</v>
      </c>
      <c r="G89">
        <v>3.215744355679055</v>
      </c>
      <c r="H89">
        <v>0.31036003625268971</v>
      </c>
      <c r="I89">
        <v>0.14004300405357428</v>
      </c>
      <c r="J89">
        <v>512.96599737548831</v>
      </c>
      <c r="K89">
        <v>0.67709076835161464</v>
      </c>
      <c r="L89">
        <v>106.039</v>
      </c>
      <c r="M89">
        <v>0.13996644680657283</v>
      </c>
      <c r="N89">
        <v>60.114999999999995</v>
      </c>
      <c r="O89">
        <v>32.882268060742</v>
      </c>
      <c r="P89">
        <v>4.3403033067110346E-2</v>
      </c>
    </row>
    <row r="90" spans="1:16" x14ac:dyDescent="0.2">
      <c r="A90" t="s">
        <v>83</v>
      </c>
      <c r="B90">
        <v>9553.6566000000003</v>
      </c>
      <c r="C90">
        <v>844.8</v>
      </c>
      <c r="D90">
        <v>1106.8</v>
      </c>
      <c r="E90">
        <v>1480.6469999999999</v>
      </c>
      <c r="F90">
        <v>8.6317822551499823</v>
      </c>
      <c r="G90">
        <v>6.4523526539411495</v>
      </c>
      <c r="H90">
        <v>0.3101325757575758</v>
      </c>
      <c r="I90">
        <v>0.33777285869172391</v>
      </c>
      <c r="J90">
        <v>737.9</v>
      </c>
      <c r="K90">
        <v>0.66669678352005779</v>
      </c>
      <c r="L90">
        <v>68.100000000000009</v>
      </c>
      <c r="M90">
        <v>6.1528731478135174E-2</v>
      </c>
      <c r="N90">
        <v>430</v>
      </c>
      <c r="O90">
        <v>-50</v>
      </c>
      <c r="P90">
        <v>-4.517528008673654E-2</v>
      </c>
    </row>
    <row r="91" spans="1:16" x14ac:dyDescent="0.2">
      <c r="A91" t="s">
        <v>229</v>
      </c>
      <c r="B91">
        <v>1544.9141</v>
      </c>
      <c r="C91">
        <v>264.45499999999998</v>
      </c>
      <c r="D91">
        <v>344.017</v>
      </c>
      <c r="E91">
        <v>369.76900000000001</v>
      </c>
      <c r="F91">
        <v>4.4908074310281174</v>
      </c>
      <c r="G91">
        <v>4.1780519729885413</v>
      </c>
      <c r="H91">
        <v>0.30085269705620998</v>
      </c>
      <c r="I91">
        <v>7.4856765799364622E-2</v>
      </c>
      <c r="J91">
        <v>274.43599694824218</v>
      </c>
      <c r="K91">
        <v>0.79773963771628198</v>
      </c>
      <c r="L91">
        <v>7.0558987341769992</v>
      </c>
      <c r="M91">
        <v>2.0510319938192006E-2</v>
      </c>
      <c r="N91">
        <v>192.53799999999998</v>
      </c>
      <c r="O91">
        <v>-22.831899999999997</v>
      </c>
      <c r="P91">
        <v>-6.636852248580738E-2</v>
      </c>
    </row>
    <row r="92" spans="1:16" x14ac:dyDescent="0.2">
      <c r="A92" t="s">
        <v>606</v>
      </c>
      <c r="B92">
        <v>4269.3923999999997</v>
      </c>
      <c r="C92">
        <v>1549.8989999999999</v>
      </c>
      <c r="D92">
        <v>2006.2450000000001</v>
      </c>
      <c r="E92">
        <v>2239.0819999999999</v>
      </c>
      <c r="F92">
        <v>2.1280513596295565</v>
      </c>
      <c r="G92">
        <v>1.9067601811813948</v>
      </c>
      <c r="H92">
        <v>0.29443596002062089</v>
      </c>
      <c r="I92">
        <v>0.11605611478159439</v>
      </c>
      <c r="J92">
        <v>861.35701245117184</v>
      </c>
      <c r="K92">
        <v>0.4293378986370916</v>
      </c>
      <c r="L92">
        <v>376.78800000000001</v>
      </c>
      <c r="M92">
        <v>0.18780757085998967</v>
      </c>
      <c r="N92">
        <v>155.839</v>
      </c>
      <c r="O92">
        <v>-22.321651615104003</v>
      </c>
      <c r="P92">
        <v>-1.112608460836239E-2</v>
      </c>
    </row>
    <row r="93" spans="1:16" x14ac:dyDescent="0.2">
      <c r="A93" t="s">
        <v>173</v>
      </c>
      <c r="B93">
        <v>2532.3746999999998</v>
      </c>
      <c r="C93">
        <v>197.92500000000001</v>
      </c>
      <c r="D93">
        <v>255.43600000000001</v>
      </c>
      <c r="E93">
        <v>303.84500000000003</v>
      </c>
      <c r="F93">
        <v>9.9139302995662302</v>
      </c>
      <c r="G93">
        <v>8.3344293965673266</v>
      </c>
      <c r="H93">
        <v>0.2905696602248326</v>
      </c>
      <c r="I93">
        <v>0.18951518188509064</v>
      </c>
      <c r="J93">
        <v>196.15400054931641</v>
      </c>
      <c r="K93">
        <v>0.76791838483736197</v>
      </c>
      <c r="L93">
        <v>67.129000000000005</v>
      </c>
      <c r="M93">
        <v>0.2628016411155828</v>
      </c>
      <c r="N93">
        <v>86.590999999999994</v>
      </c>
      <c r="O93">
        <v>42.557038674647998</v>
      </c>
      <c r="P93">
        <v>0.166605485032055</v>
      </c>
    </row>
    <row r="94" spans="1:16" x14ac:dyDescent="0.2">
      <c r="A94" t="s">
        <v>183</v>
      </c>
      <c r="B94">
        <v>2538.9832999999999</v>
      </c>
      <c r="C94">
        <v>360.28500000000003</v>
      </c>
      <c r="D94">
        <v>462.851</v>
      </c>
      <c r="E94">
        <v>534.75</v>
      </c>
      <c r="F94">
        <v>5.4855305487078994</v>
      </c>
      <c r="G94">
        <v>4.7479818606825619</v>
      </c>
      <c r="H94">
        <v>0.28468018374342524</v>
      </c>
      <c r="I94">
        <v>0.15533940728225715</v>
      </c>
      <c r="J94">
        <v>273.98900335693361</v>
      </c>
      <c r="K94">
        <v>0.59195940671389624</v>
      </c>
      <c r="L94">
        <v>85.867999999999995</v>
      </c>
      <c r="M94">
        <v>0.1855197460953957</v>
      </c>
      <c r="N94">
        <v>137.69800000000001</v>
      </c>
      <c r="O94">
        <v>19.337490000000003</v>
      </c>
      <c r="P94">
        <v>4.177908225325213E-2</v>
      </c>
    </row>
    <row r="95" spans="1:16" x14ac:dyDescent="0.2">
      <c r="A95" t="s">
        <v>45</v>
      </c>
      <c r="B95">
        <v>21757.589</v>
      </c>
      <c r="C95">
        <v>2898.15</v>
      </c>
      <c r="D95">
        <v>3721.3010000000004</v>
      </c>
      <c r="E95">
        <v>4117.8980000000001</v>
      </c>
      <c r="F95">
        <v>5.8467694497166445</v>
      </c>
      <c r="G95">
        <v>5.2836638984258473</v>
      </c>
      <c r="H95">
        <v>0.28402636164449746</v>
      </c>
      <c r="I95">
        <v>0.10657482423485765</v>
      </c>
      <c r="J95">
        <v>2202.0189868164061</v>
      </c>
      <c r="K95">
        <v>0.59173364014800356</v>
      </c>
      <c r="L95">
        <v>1229.5550000000001</v>
      </c>
      <c r="M95">
        <v>0.33040998296026036</v>
      </c>
      <c r="N95">
        <v>1335.855</v>
      </c>
      <c r="O95">
        <v>446.25907235741499</v>
      </c>
      <c r="P95">
        <v>0.11992017639997811</v>
      </c>
    </row>
    <row r="96" spans="1:16" x14ac:dyDescent="0.2">
      <c r="A96" t="s">
        <v>577</v>
      </c>
      <c r="B96">
        <v>1234.2756999999999</v>
      </c>
      <c r="C96">
        <v>206.98599999999999</v>
      </c>
      <c r="D96">
        <v>265.089</v>
      </c>
      <c r="E96">
        <v>329.13800000000003</v>
      </c>
      <c r="F96">
        <v>4.6560804107299809</v>
      </c>
      <c r="G96">
        <v>3.750024913562092</v>
      </c>
      <c r="H96">
        <v>0.28070980646034038</v>
      </c>
      <c r="I96">
        <v>0.24161319405935378</v>
      </c>
      <c r="J96">
        <v>189.59500091552735</v>
      </c>
      <c r="K96">
        <v>0.71521263015639036</v>
      </c>
      <c r="L96">
        <v>35.430999999999997</v>
      </c>
      <c r="M96">
        <v>0.1336569982156936</v>
      </c>
      <c r="N96">
        <v>128.23099999999999</v>
      </c>
      <c r="O96">
        <v>-1.8899511748109996</v>
      </c>
      <c r="P96">
        <v>-7.1294967909305918E-3</v>
      </c>
    </row>
    <row r="97" spans="1:16" x14ac:dyDescent="0.2">
      <c r="A97" t="s">
        <v>59</v>
      </c>
      <c r="B97">
        <v>12362.801600000001</v>
      </c>
      <c r="C97">
        <v>1275.443</v>
      </c>
      <c r="D97">
        <v>1631.1849999999999</v>
      </c>
      <c r="E97">
        <v>1909.7080000000001</v>
      </c>
      <c r="F97">
        <v>7.5790309498922568</v>
      </c>
      <c r="G97">
        <v>6.4736606852984853</v>
      </c>
      <c r="H97">
        <v>0.27891642354852392</v>
      </c>
      <c r="I97">
        <v>0.17074887275201789</v>
      </c>
      <c r="J97">
        <v>1221.8169738769532</v>
      </c>
      <c r="K97">
        <v>0.74903642068615961</v>
      </c>
      <c r="L97">
        <v>213.77799999999999</v>
      </c>
      <c r="M97">
        <v>0.1310568696990225</v>
      </c>
      <c r="N97">
        <v>811.00400000000002</v>
      </c>
      <c r="O97">
        <v>136.69200000000001</v>
      </c>
      <c r="P97">
        <v>8.3799201194223835E-2</v>
      </c>
    </row>
    <row r="98" spans="1:16" x14ac:dyDescent="0.2">
      <c r="A98" t="s">
        <v>211</v>
      </c>
      <c r="B98">
        <v>2527.3155999999999</v>
      </c>
      <c r="C98">
        <v>167.42599999999999</v>
      </c>
      <c r="D98">
        <v>213.15899999999999</v>
      </c>
      <c r="E98">
        <v>282.81</v>
      </c>
      <c r="F98">
        <v>11.85648084293884</v>
      </c>
      <c r="G98">
        <v>8.9364435486722531</v>
      </c>
      <c r="H98">
        <v>0.27315351259660992</v>
      </c>
      <c r="I98">
        <v>0.32675608348697449</v>
      </c>
      <c r="J98">
        <v>155.18199999999999</v>
      </c>
      <c r="K98">
        <v>0.72801054611815585</v>
      </c>
      <c r="L98">
        <v>-43.302999999999997</v>
      </c>
      <c r="M98">
        <v>-0.20314882317894153</v>
      </c>
      <c r="N98">
        <v>14.074999999999999</v>
      </c>
      <c r="O98">
        <v>-55.233550000000001</v>
      </c>
      <c r="P98">
        <v>-0.25911901444461649</v>
      </c>
    </row>
    <row r="99" spans="1:16" x14ac:dyDescent="0.2">
      <c r="A99" t="s">
        <v>119</v>
      </c>
      <c r="B99">
        <v>5499.3319000000001</v>
      </c>
      <c r="C99">
        <v>1958.615</v>
      </c>
      <c r="D99">
        <v>2491.8389999999999</v>
      </c>
      <c r="E99">
        <v>2815.54</v>
      </c>
      <c r="F99">
        <v>2.2069370854216506</v>
      </c>
      <c r="G99">
        <v>1.9532068093509594</v>
      </c>
      <c r="H99">
        <v>0.27224543874115126</v>
      </c>
      <c r="I99">
        <v>0.12990446011961443</v>
      </c>
      <c r="J99">
        <v>1021.3030059814453</v>
      </c>
      <c r="K99">
        <v>0.40985914659070882</v>
      </c>
      <c r="L99">
        <v>464.61600000000004</v>
      </c>
      <c r="M99">
        <v>0.18645506391062988</v>
      </c>
      <c r="N99">
        <v>819.14400000000001</v>
      </c>
      <c r="O99">
        <v>221.308428571429</v>
      </c>
      <c r="P99">
        <v>8.8813293544016694E-2</v>
      </c>
    </row>
    <row r="100" spans="1:16" x14ac:dyDescent="0.2">
      <c r="A100" t="s">
        <v>19</v>
      </c>
      <c r="B100">
        <v>52287.719499999999</v>
      </c>
      <c r="C100">
        <v>4694</v>
      </c>
      <c r="D100">
        <v>5964</v>
      </c>
      <c r="E100">
        <v>6610.5380000000005</v>
      </c>
      <c r="F100">
        <v>8.7672232562038896</v>
      </c>
      <c r="G100">
        <v>7.9097525042591084</v>
      </c>
      <c r="H100">
        <v>0.27055815935236471</v>
      </c>
      <c r="I100">
        <v>0.10840677397719656</v>
      </c>
      <c r="J100">
        <v>4992</v>
      </c>
      <c r="K100">
        <v>0.83702213279678073</v>
      </c>
      <c r="L100">
        <v>1823</v>
      </c>
      <c r="M100">
        <v>0.3056673373574782</v>
      </c>
      <c r="N100">
        <v>1464</v>
      </c>
      <c r="O100">
        <v>1268.9562790151069</v>
      </c>
      <c r="P100">
        <v>0.21276932914404878</v>
      </c>
    </row>
    <row r="101" spans="1:16" x14ac:dyDescent="0.2">
      <c r="A101" t="s">
        <v>407</v>
      </c>
      <c r="B101">
        <v>275.41230000000002</v>
      </c>
      <c r="C101">
        <v>216.499</v>
      </c>
      <c r="D101">
        <v>274.86399999999998</v>
      </c>
      <c r="E101">
        <v>293.875</v>
      </c>
      <c r="F101">
        <v>1.0019948047034171</v>
      </c>
      <c r="G101">
        <v>0.93717498936622723</v>
      </c>
      <c r="H101">
        <v>0.26958554081081199</v>
      </c>
      <c r="I101">
        <v>6.9165114383840764E-2</v>
      </c>
      <c r="J101">
        <v>116.03600010681151</v>
      </c>
      <c r="K101">
        <v>0.42215786755199491</v>
      </c>
      <c r="L101">
        <v>25.126000000000001</v>
      </c>
      <c r="M101">
        <v>9.1412480353920494E-2</v>
      </c>
      <c r="N101">
        <v>28.419999999999998</v>
      </c>
      <c r="O101">
        <v>2.5753330869909998</v>
      </c>
      <c r="P101">
        <v>9.3694812234086673E-3</v>
      </c>
    </row>
    <row r="102" spans="1:16" x14ac:dyDescent="0.2">
      <c r="A102" t="s">
        <v>169</v>
      </c>
      <c r="B102">
        <v>3692.9135000000001</v>
      </c>
      <c r="C102">
        <v>131.84100000000001</v>
      </c>
      <c r="D102">
        <v>166.82400000000001</v>
      </c>
      <c r="E102">
        <v>257.7</v>
      </c>
      <c r="F102">
        <v>22.136584064642975</v>
      </c>
      <c r="G102">
        <v>14.330281334885527</v>
      </c>
      <c r="H102">
        <v>0.26534234418731656</v>
      </c>
      <c r="I102">
        <v>0.54474176377499628</v>
      </c>
      <c r="J102">
        <v>116.99600000000001</v>
      </c>
      <c r="K102">
        <v>0.70131395962211673</v>
      </c>
      <c r="L102">
        <v>-66.082999999999998</v>
      </c>
      <c r="M102">
        <v>-0.39612405888840929</v>
      </c>
      <c r="N102">
        <v>28.266999999999999</v>
      </c>
      <c r="O102">
        <v>-95.293880000000001</v>
      </c>
      <c r="P102">
        <v>-0.57122404450199005</v>
      </c>
    </row>
    <row r="103" spans="1:16" x14ac:dyDescent="0.2">
      <c r="A103" t="s">
        <v>279</v>
      </c>
      <c r="B103">
        <v>1360.3652</v>
      </c>
      <c r="C103">
        <v>178.64599999999999</v>
      </c>
      <c r="D103">
        <v>225.61</v>
      </c>
      <c r="E103">
        <v>255.92000000000002</v>
      </c>
      <c r="F103">
        <v>6.0297203138158766</v>
      </c>
      <c r="G103">
        <v>5.3155876836511409</v>
      </c>
      <c r="H103">
        <v>0.26288861771324312</v>
      </c>
      <c r="I103">
        <v>0.13434688178715493</v>
      </c>
      <c r="J103">
        <v>161.06200064086914</v>
      </c>
      <c r="K103">
        <v>0.71389566349394595</v>
      </c>
      <c r="L103">
        <v>-48.74664556962</v>
      </c>
      <c r="M103">
        <v>-0.21606597921023002</v>
      </c>
      <c r="N103">
        <v>60.332999999999998</v>
      </c>
      <c r="O103">
        <v>-53.88</v>
      </c>
      <c r="P103">
        <v>-0.23881920127653916</v>
      </c>
    </row>
    <row r="104" spans="1:16" x14ac:dyDescent="0.2">
      <c r="A104" t="s">
        <v>63</v>
      </c>
      <c r="B104">
        <v>13254.6572</v>
      </c>
      <c r="C104">
        <v>2422.5320000000002</v>
      </c>
      <c r="D104">
        <v>3022.62</v>
      </c>
      <c r="E104">
        <v>3239.1</v>
      </c>
      <c r="F104">
        <v>4.3851549979818829</v>
      </c>
      <c r="G104">
        <v>4.0920802692105829</v>
      </c>
      <c r="H104">
        <v>0.24771107254723557</v>
      </c>
      <c r="I104">
        <v>7.1619985310756862E-2</v>
      </c>
      <c r="J104">
        <v>2310.4400556640626</v>
      </c>
      <c r="K104">
        <v>0.76438323562474364</v>
      </c>
      <c r="L104">
        <v>650.30199999999991</v>
      </c>
      <c r="M104">
        <v>0.21514513898538351</v>
      </c>
      <c r="N104">
        <v>1048.356</v>
      </c>
      <c r="O104">
        <v>367.32709702556298</v>
      </c>
      <c r="P104">
        <v>0.12152605918890333</v>
      </c>
    </row>
    <row r="105" spans="1:16" x14ac:dyDescent="0.2">
      <c r="A105" t="s">
        <v>598</v>
      </c>
      <c r="B105">
        <v>11310.248799999999</v>
      </c>
      <c r="C105">
        <v>1413.6980000000001</v>
      </c>
      <c r="D105">
        <v>1762.6579999999999</v>
      </c>
      <c r="E105">
        <v>3002.8670000000002</v>
      </c>
      <c r="F105">
        <v>6.4165872222518496</v>
      </c>
      <c r="G105">
        <v>3.766483430668091</v>
      </c>
      <c r="H105">
        <v>0.24684197049157583</v>
      </c>
      <c r="I105">
        <v>0.70360160621062073</v>
      </c>
      <c r="J105">
        <v>927.55099047851559</v>
      </c>
      <c r="K105">
        <v>0.52622289206330197</v>
      </c>
      <c r="L105">
        <v>287.15600000000006</v>
      </c>
      <c r="M105">
        <v>0.16291078586997595</v>
      </c>
      <c r="N105">
        <v>808.97299999999996</v>
      </c>
      <c r="O105">
        <v>192.85892999999999</v>
      </c>
      <c r="P105">
        <v>0.10941369794934695</v>
      </c>
    </row>
    <row r="106" spans="1:16" x14ac:dyDescent="0.2">
      <c r="A106" t="s">
        <v>251</v>
      </c>
      <c r="B106">
        <v>1563.4879000000001</v>
      </c>
      <c r="C106">
        <v>115.95099999999999</v>
      </c>
      <c r="D106">
        <v>143.75199999999998</v>
      </c>
      <c r="E106">
        <v>169.75800000000001</v>
      </c>
      <c r="F106">
        <v>10.876286242974013</v>
      </c>
      <c r="G106">
        <v>9.2100984931490704</v>
      </c>
      <c r="H106">
        <v>0.23976507317746279</v>
      </c>
      <c r="I106">
        <v>0.18090878735600224</v>
      </c>
      <c r="J106">
        <v>101.70600183105469</v>
      </c>
      <c r="K106">
        <v>0.70751016911802767</v>
      </c>
      <c r="L106">
        <v>35.331999999999994</v>
      </c>
      <c r="M106">
        <v>0.2457844064778229</v>
      </c>
      <c r="N106">
        <v>158.398</v>
      </c>
      <c r="O106">
        <v>20.335000000000001</v>
      </c>
      <c r="P106">
        <v>0.14145890144137127</v>
      </c>
    </row>
    <row r="107" spans="1:16" x14ac:dyDescent="0.2">
      <c r="A107" t="s">
        <v>193</v>
      </c>
      <c r="B107">
        <v>2665.1181000000001</v>
      </c>
      <c r="C107">
        <v>263.86500000000001</v>
      </c>
      <c r="D107">
        <v>325.887</v>
      </c>
      <c r="E107">
        <v>515.72500000000002</v>
      </c>
      <c r="F107">
        <v>8.1780436163455441</v>
      </c>
      <c r="G107">
        <v>5.1677116680401376</v>
      </c>
      <c r="H107">
        <v>0.23505201523506333</v>
      </c>
      <c r="I107">
        <v>0.58252707226738099</v>
      </c>
      <c r="J107">
        <v>236.179</v>
      </c>
      <c r="K107">
        <v>0.72472666906013439</v>
      </c>
      <c r="L107">
        <v>150.26899999999998</v>
      </c>
      <c r="M107">
        <v>0.46110768456550882</v>
      </c>
      <c r="N107">
        <v>224.61399999999998</v>
      </c>
      <c r="O107">
        <v>138.66800000000001</v>
      </c>
      <c r="P107">
        <v>0.42550945573158794</v>
      </c>
    </row>
    <row r="108" spans="1:16" x14ac:dyDescent="0.2">
      <c r="A108" t="s">
        <v>179</v>
      </c>
      <c r="B108">
        <v>2710.8598999999999</v>
      </c>
      <c r="C108">
        <v>423.12400000000002</v>
      </c>
      <c r="D108">
        <v>519.38200000000006</v>
      </c>
      <c r="E108">
        <v>532.57500000000005</v>
      </c>
      <c r="F108">
        <v>5.2193951657931921</v>
      </c>
      <c r="G108">
        <v>5.0900997981504945</v>
      </c>
      <c r="H108">
        <v>0.22749359525812771</v>
      </c>
      <c r="I108">
        <v>2.540134236457936E-2</v>
      </c>
      <c r="J108">
        <v>372.4000010986328</v>
      </c>
      <c r="K108">
        <v>0.71700598229941115</v>
      </c>
      <c r="L108">
        <v>15.740000000000002</v>
      </c>
      <c r="M108">
        <v>3.0305247390167545E-2</v>
      </c>
      <c r="N108">
        <v>393.57599999999996</v>
      </c>
      <c r="O108">
        <v>-40.478999999999999</v>
      </c>
      <c r="P108">
        <v>-7.793685572468817E-2</v>
      </c>
    </row>
    <row r="109" spans="1:16" x14ac:dyDescent="0.2">
      <c r="A109" t="s">
        <v>271</v>
      </c>
      <c r="B109">
        <v>1335.0657000000001</v>
      </c>
      <c r="C109">
        <v>193.29499999999999</v>
      </c>
      <c r="D109">
        <v>234.53299999999999</v>
      </c>
      <c r="E109">
        <v>255.227</v>
      </c>
      <c r="F109">
        <v>5.6924428545236712</v>
      </c>
      <c r="G109">
        <v>5.2308952422745243</v>
      </c>
      <c r="H109">
        <v>0.21334230062857293</v>
      </c>
      <c r="I109">
        <v>8.8234917900679388E-2</v>
      </c>
      <c r="J109">
        <v>156.26900183105468</v>
      </c>
      <c r="K109">
        <v>0.666298567071818</v>
      </c>
      <c r="L109">
        <v>24.942</v>
      </c>
      <c r="M109">
        <v>0.10634750760020978</v>
      </c>
      <c r="N109">
        <v>123.127</v>
      </c>
      <c r="O109">
        <v>10.046000000000001</v>
      </c>
      <c r="P109">
        <v>4.2834057467392654E-2</v>
      </c>
    </row>
    <row r="110" spans="1:16" x14ac:dyDescent="0.2">
      <c r="A110" t="s">
        <v>1</v>
      </c>
      <c r="B110">
        <v>759109.37990000006</v>
      </c>
      <c r="C110">
        <v>91154</v>
      </c>
      <c r="D110">
        <v>110360</v>
      </c>
      <c r="E110">
        <v>122897.462</v>
      </c>
      <c r="F110">
        <v>6.8784829639362091</v>
      </c>
      <c r="G110">
        <v>6.1767701915601814</v>
      </c>
      <c r="H110">
        <v>0.21069837856813745</v>
      </c>
      <c r="I110">
        <v>0.1136051286698079</v>
      </c>
      <c r="J110">
        <v>72007</v>
      </c>
      <c r="K110">
        <v>0.65247372236317502</v>
      </c>
      <c r="L110">
        <v>45319</v>
      </c>
      <c r="M110">
        <v>0.41064697354113811</v>
      </c>
      <c r="N110">
        <v>11946</v>
      </c>
      <c r="O110">
        <v>27500.14</v>
      </c>
      <c r="P110">
        <v>0.24918575570859006</v>
      </c>
    </row>
    <row r="111" spans="1:16" x14ac:dyDescent="0.2">
      <c r="A111" t="s">
        <v>89</v>
      </c>
      <c r="B111">
        <v>7440.2691999999997</v>
      </c>
      <c r="C111">
        <v>826.94299999999998</v>
      </c>
      <c r="D111">
        <v>992.76900000000001</v>
      </c>
      <c r="E111">
        <v>1052.4590000000001</v>
      </c>
      <c r="F111">
        <v>7.494461652207109</v>
      </c>
      <c r="G111">
        <v>7.0694147705516315</v>
      </c>
      <c r="H111">
        <v>0.20052893609353972</v>
      </c>
      <c r="I111">
        <v>6.0124762155143952E-2</v>
      </c>
      <c r="J111">
        <v>864.88000952148434</v>
      </c>
      <c r="K111">
        <v>0.87117950854779347</v>
      </c>
      <c r="L111">
        <v>-123.949</v>
      </c>
      <c r="M111">
        <v>-0.12485180339031537</v>
      </c>
      <c r="N111">
        <v>627.87799999999993</v>
      </c>
      <c r="O111">
        <v>-146.929</v>
      </c>
      <c r="P111">
        <v>-0.14799918208566143</v>
      </c>
    </row>
    <row r="112" spans="1:16" x14ac:dyDescent="0.2">
      <c r="A112" t="s">
        <v>303</v>
      </c>
      <c r="B112">
        <v>1209.0925</v>
      </c>
      <c r="C112">
        <v>153.27600000000001</v>
      </c>
      <c r="D112">
        <v>183.61700000000002</v>
      </c>
      <c r="E112">
        <v>205.86799999999999</v>
      </c>
      <c r="F112">
        <v>6.5848614235065375</v>
      </c>
      <c r="G112">
        <v>5.8731444420696759</v>
      </c>
      <c r="H112">
        <v>0.19795010308202202</v>
      </c>
      <c r="I112">
        <v>0.12118158993992911</v>
      </c>
      <c r="J112">
        <v>109.50099978637695</v>
      </c>
      <c r="K112">
        <v>0.59635545611995044</v>
      </c>
      <c r="L112">
        <v>-44.247999999999998</v>
      </c>
      <c r="M112">
        <v>-0.24097986569870977</v>
      </c>
      <c r="N112">
        <v>160.505</v>
      </c>
      <c r="O112">
        <v>-63.304550127549</v>
      </c>
      <c r="P112">
        <v>-0.3447641020578105</v>
      </c>
    </row>
    <row r="113" spans="1:16" x14ac:dyDescent="0.2">
      <c r="A113" t="s">
        <v>403</v>
      </c>
      <c r="B113">
        <v>200.29679999999999</v>
      </c>
      <c r="C113">
        <v>140.84399999999999</v>
      </c>
      <c r="D113">
        <v>168.36399999999998</v>
      </c>
      <c r="E113">
        <v>181.1</v>
      </c>
      <c r="F113">
        <v>1.1896652491031339</v>
      </c>
      <c r="G113">
        <v>1.1060011043622309</v>
      </c>
      <c r="H113">
        <v>0.19539348499048581</v>
      </c>
      <c r="I113">
        <v>7.5645624955453794E-2</v>
      </c>
      <c r="J113">
        <v>62.756998718261713</v>
      </c>
      <c r="K113">
        <v>0.37274594757942148</v>
      </c>
      <c r="L113">
        <v>16.504999999999999</v>
      </c>
      <c r="M113">
        <v>9.8031645719987653E-2</v>
      </c>
      <c r="N113">
        <v>18.823</v>
      </c>
      <c r="O113">
        <v>2.1417899999999994</v>
      </c>
      <c r="P113">
        <v>1.2721187427240977E-2</v>
      </c>
    </row>
    <row r="114" spans="1:16" x14ac:dyDescent="0.2">
      <c r="A114" t="s">
        <v>317</v>
      </c>
      <c r="B114">
        <v>759.31349999999998</v>
      </c>
      <c r="C114">
        <v>203.441</v>
      </c>
      <c r="D114">
        <v>242.89300000000003</v>
      </c>
      <c r="E114">
        <v>247.21700000000001</v>
      </c>
      <c r="F114">
        <v>3.1261234370689972</v>
      </c>
      <c r="G114">
        <v>3.0714453294069579</v>
      </c>
      <c r="H114">
        <v>0.19392354540136958</v>
      </c>
      <c r="I114">
        <v>1.7802077457975241E-2</v>
      </c>
      <c r="J114">
        <v>197.1649987182617</v>
      </c>
      <c r="K114">
        <v>0.8117360266383209</v>
      </c>
      <c r="L114">
        <v>40.060203810127</v>
      </c>
      <c r="M114">
        <v>0.16492942904952795</v>
      </c>
      <c r="N114">
        <v>82.822000000000003</v>
      </c>
      <c r="O114">
        <v>15.346821010000001</v>
      </c>
      <c r="P114">
        <v>6.3183463541559445E-2</v>
      </c>
    </row>
    <row r="115" spans="1:16" x14ac:dyDescent="0.2">
      <c r="A115" t="s">
        <v>273</v>
      </c>
      <c r="B115">
        <v>2032.1335999999999</v>
      </c>
      <c r="C115">
        <v>649.09299999999996</v>
      </c>
      <c r="D115">
        <v>774.83100000000002</v>
      </c>
      <c r="E115">
        <v>685.5</v>
      </c>
      <c r="F115">
        <v>2.6226797843658809</v>
      </c>
      <c r="G115">
        <v>2.9644545587162652</v>
      </c>
      <c r="H115">
        <v>0.19371338159554957</v>
      </c>
      <c r="I115">
        <v>-0.11529094731625344</v>
      </c>
      <c r="J115">
        <v>572.46900695800787</v>
      </c>
      <c r="K115">
        <v>0.73883079917815353</v>
      </c>
      <c r="L115">
        <v>202.02800000000002</v>
      </c>
      <c r="M115">
        <v>0.26073814806067391</v>
      </c>
      <c r="N115">
        <v>128.965</v>
      </c>
      <c r="O115">
        <v>-55.119129999999998</v>
      </c>
      <c r="P115">
        <v>-7.1136970513570055E-2</v>
      </c>
    </row>
    <row r="116" spans="1:16" x14ac:dyDescent="0.2">
      <c r="A116" t="s">
        <v>17</v>
      </c>
      <c r="B116">
        <v>49272.508399999999</v>
      </c>
      <c r="C116">
        <v>7093</v>
      </c>
      <c r="D116">
        <v>8467</v>
      </c>
      <c r="E116">
        <v>9081.755000000001</v>
      </c>
      <c r="F116">
        <v>5.8193584976969408</v>
      </c>
      <c r="G116">
        <v>5.4254390698714063</v>
      </c>
      <c r="H116">
        <v>0.19371211053150994</v>
      </c>
      <c r="I116">
        <v>7.2605999763788898E-2</v>
      </c>
      <c r="J116">
        <v>7285</v>
      </c>
      <c r="K116">
        <v>0.8603991968820125</v>
      </c>
      <c r="L116">
        <v>2515</v>
      </c>
      <c r="M116">
        <v>0.29703554978150465</v>
      </c>
      <c r="N116">
        <v>5971</v>
      </c>
      <c r="O116">
        <v>3395.5353242424239</v>
      </c>
      <c r="P116">
        <v>0.40103169059199528</v>
      </c>
    </row>
    <row r="117" spans="1:16" x14ac:dyDescent="0.2">
      <c r="A117" t="s">
        <v>191</v>
      </c>
      <c r="B117">
        <v>2249.4695999999999</v>
      </c>
      <c r="C117">
        <v>595.12599999999998</v>
      </c>
      <c r="D117">
        <v>709.59799999999996</v>
      </c>
      <c r="E117">
        <v>761.19500000000005</v>
      </c>
      <c r="F117">
        <v>3.1700619223842232</v>
      </c>
      <c r="G117">
        <v>2.955181786533017</v>
      </c>
      <c r="H117">
        <v>0.19234918319817987</v>
      </c>
      <c r="I117">
        <v>7.2713000882189682E-2</v>
      </c>
      <c r="J117">
        <v>605.50099267578128</v>
      </c>
      <c r="K117">
        <v>0.85330143641298495</v>
      </c>
      <c r="L117">
        <v>20.122</v>
      </c>
      <c r="M117">
        <v>2.8356900667701995E-2</v>
      </c>
      <c r="N117">
        <v>330.78399999999999</v>
      </c>
      <c r="O117">
        <v>-7.6881895614599998</v>
      </c>
      <c r="P117">
        <v>-1.0834570505356555E-2</v>
      </c>
    </row>
    <row r="118" spans="1:16" x14ac:dyDescent="0.2">
      <c r="A118" t="s">
        <v>608</v>
      </c>
      <c r="B118">
        <v>2858.7084</v>
      </c>
      <c r="C118">
        <v>741.42</v>
      </c>
      <c r="D118">
        <v>883.15200000000004</v>
      </c>
      <c r="E118">
        <v>981.11099999999999</v>
      </c>
      <c r="F118">
        <v>3.2369381488124351</v>
      </c>
      <c r="G118">
        <v>2.9137461510471292</v>
      </c>
      <c r="H118">
        <v>0.19116290361738297</v>
      </c>
      <c r="I118">
        <v>0.11091975107342789</v>
      </c>
      <c r="J118">
        <v>610.00600537109381</v>
      </c>
      <c r="K118">
        <v>0.69071462825322683</v>
      </c>
      <c r="L118">
        <v>82.168000000000006</v>
      </c>
      <c r="M118">
        <v>9.3039476783158506E-2</v>
      </c>
      <c r="N118">
        <v>372.87</v>
      </c>
      <c r="O118">
        <v>49.854209999999995</v>
      </c>
      <c r="P118">
        <v>5.6450316593293103E-2</v>
      </c>
    </row>
    <row r="119" spans="1:16" x14ac:dyDescent="0.2">
      <c r="A119" t="s">
        <v>610</v>
      </c>
      <c r="B119">
        <v>4868.8302000000003</v>
      </c>
      <c r="C119">
        <v>1082.9000000000001</v>
      </c>
      <c r="D119">
        <v>1286.5</v>
      </c>
      <c r="E119">
        <v>1414.836</v>
      </c>
      <c r="F119">
        <v>3.7845551496307817</v>
      </c>
      <c r="G119">
        <v>3.4412682459309774</v>
      </c>
      <c r="H119">
        <v>0.18801366700526354</v>
      </c>
      <c r="I119">
        <v>9.9755926933540628E-2</v>
      </c>
      <c r="J119">
        <v>696.89999084472652</v>
      </c>
      <c r="K119">
        <v>0.54170228592672098</v>
      </c>
      <c r="L119">
        <v>325.79999999999995</v>
      </c>
      <c r="M119">
        <v>0.25324523902059848</v>
      </c>
      <c r="N119">
        <v>165.1</v>
      </c>
      <c r="O119">
        <v>132.49198895886499</v>
      </c>
      <c r="P119">
        <v>0.10298638861940536</v>
      </c>
    </row>
    <row r="120" spans="1:16" x14ac:dyDescent="0.2">
      <c r="A120" t="s">
        <v>69</v>
      </c>
      <c r="B120">
        <v>11715.847599999999</v>
      </c>
      <c r="C120">
        <v>988.46500000000003</v>
      </c>
      <c r="D120">
        <v>1172.3630000000001</v>
      </c>
      <c r="E120">
        <v>1282.5710000000001</v>
      </c>
      <c r="F120">
        <v>9.9933617829972441</v>
      </c>
      <c r="G120">
        <v>9.1346581202911938</v>
      </c>
      <c r="H120">
        <v>0.18604401774468496</v>
      </c>
      <c r="I120">
        <v>9.4005013805451121E-2</v>
      </c>
      <c r="J120">
        <v>1016.0799910888672</v>
      </c>
      <c r="K120">
        <v>0.86669401123104972</v>
      </c>
      <c r="L120">
        <v>497.34900000000005</v>
      </c>
      <c r="M120">
        <v>0.42422782022291733</v>
      </c>
      <c r="N120">
        <v>881.50099999999998</v>
      </c>
      <c r="O120">
        <v>334.11229267563596</v>
      </c>
      <c r="P120">
        <v>0.28499047878143197</v>
      </c>
    </row>
    <row r="121" spans="1:16" x14ac:dyDescent="0.2">
      <c r="A121" t="s">
        <v>297</v>
      </c>
      <c r="B121">
        <v>1386.7829999999999</v>
      </c>
      <c r="C121">
        <v>1275.258</v>
      </c>
      <c r="D121">
        <v>1510.7610000000002</v>
      </c>
      <c r="E121">
        <v>1523.8330000000001</v>
      </c>
      <c r="F121">
        <v>0.91793672195668252</v>
      </c>
      <c r="G121">
        <v>0.91006232310233459</v>
      </c>
      <c r="H121">
        <v>0.18467086660111143</v>
      </c>
      <c r="I121">
        <v>8.6525929647376376E-3</v>
      </c>
      <c r="J121">
        <v>364.96499401855471</v>
      </c>
      <c r="K121">
        <v>0.24157692316557991</v>
      </c>
      <c r="L121">
        <v>185.99944985394302</v>
      </c>
      <c r="M121">
        <v>0.12311639620955465</v>
      </c>
      <c r="N121">
        <v>74.436999999999998</v>
      </c>
      <c r="O121">
        <v>69.219760000000008</v>
      </c>
      <c r="P121">
        <v>4.5817809699879732E-2</v>
      </c>
    </row>
    <row r="122" spans="1:16" x14ac:dyDescent="0.2">
      <c r="A122" t="s">
        <v>313</v>
      </c>
      <c r="B122">
        <v>684.58810000000005</v>
      </c>
      <c r="C122">
        <v>277.85199999999998</v>
      </c>
      <c r="D122">
        <v>328.411</v>
      </c>
      <c r="E122">
        <v>339.733</v>
      </c>
      <c r="F122">
        <v>2.0845468026345038</v>
      </c>
      <c r="G122">
        <v>2.0150768397535712</v>
      </c>
      <c r="H122">
        <v>0.18196377927817697</v>
      </c>
      <c r="I122">
        <v>3.4475093708797866E-2</v>
      </c>
      <c r="J122">
        <v>169.04300082397461</v>
      </c>
      <c r="K122">
        <v>0.51473002068741491</v>
      </c>
      <c r="L122">
        <v>6.7769999999999992</v>
      </c>
      <c r="M122">
        <v>2.0635727792309023E-2</v>
      </c>
      <c r="N122">
        <v>147.023</v>
      </c>
      <c r="O122">
        <v>-1.2028757999999999</v>
      </c>
      <c r="P122">
        <v>-3.6627147080944304E-3</v>
      </c>
    </row>
    <row r="123" spans="1:16" x14ac:dyDescent="0.2">
      <c r="A123" t="s">
        <v>91</v>
      </c>
      <c r="B123">
        <v>7952.1031999999996</v>
      </c>
      <c r="C123">
        <v>756.04300000000001</v>
      </c>
      <c r="D123">
        <v>891.15700000000004</v>
      </c>
      <c r="E123">
        <v>1005.667</v>
      </c>
      <c r="F123">
        <v>8.9233470645464266</v>
      </c>
      <c r="G123">
        <v>7.9072925729888714</v>
      </c>
      <c r="H123">
        <v>0.17871205738297957</v>
      </c>
      <c r="I123">
        <v>0.12849587670859353</v>
      </c>
      <c r="J123">
        <v>422.93600115966797</v>
      </c>
      <c r="K123">
        <v>0.47459202044047005</v>
      </c>
      <c r="L123">
        <v>222.82000000000002</v>
      </c>
      <c r="M123">
        <v>0.25003450570438207</v>
      </c>
      <c r="N123">
        <v>185.92599999999999</v>
      </c>
      <c r="O123">
        <v>145.27799871199099</v>
      </c>
      <c r="P123">
        <v>0.16302177810642904</v>
      </c>
    </row>
    <row r="124" spans="1:16" x14ac:dyDescent="0.2">
      <c r="A124" t="s">
        <v>221</v>
      </c>
      <c r="B124">
        <v>1943.9061999999999</v>
      </c>
      <c r="C124">
        <v>685.98800000000006</v>
      </c>
      <c r="D124">
        <v>807.30500000000006</v>
      </c>
      <c r="E124">
        <v>961.45699999999999</v>
      </c>
      <c r="F124">
        <v>2.4078956528201854</v>
      </c>
      <c r="G124">
        <v>2.0218337377542626</v>
      </c>
      <c r="H124">
        <v>0.17685003236208213</v>
      </c>
      <c r="I124">
        <v>0.19094642049782906</v>
      </c>
      <c r="J124">
        <v>275.29600018310543</v>
      </c>
      <c r="K124">
        <v>0.34100618747945993</v>
      </c>
      <c r="L124">
        <v>101.57077215189899</v>
      </c>
      <c r="M124">
        <v>0.12581462043700831</v>
      </c>
      <c r="N124">
        <v>86.795000000000002</v>
      </c>
      <c r="O124">
        <v>66.466239999999999</v>
      </c>
      <c r="P124">
        <v>8.233101492001163E-2</v>
      </c>
    </row>
    <row r="125" spans="1:16" x14ac:dyDescent="0.2">
      <c r="A125" t="s">
        <v>35</v>
      </c>
      <c r="B125">
        <v>23118.2019</v>
      </c>
      <c r="C125">
        <v>2951.9</v>
      </c>
      <c r="D125">
        <v>3426.9</v>
      </c>
      <c r="E125">
        <v>3662.9560000000001</v>
      </c>
      <c r="F125">
        <v>6.7460976100849166</v>
      </c>
      <c r="G125">
        <v>6.3113512420023605</v>
      </c>
      <c r="H125">
        <v>0.16091331007147938</v>
      </c>
      <c r="I125">
        <v>6.8883247249700963E-2</v>
      </c>
      <c r="J125">
        <v>2375.6999633789064</v>
      </c>
      <c r="K125">
        <v>0.69325044891269261</v>
      </c>
      <c r="L125">
        <v>1437.8257196663981</v>
      </c>
      <c r="M125">
        <v>0.41957037546073656</v>
      </c>
      <c r="N125">
        <v>358.2</v>
      </c>
      <c r="O125">
        <v>914.04665999999997</v>
      </c>
      <c r="P125">
        <v>0.26672697189880062</v>
      </c>
    </row>
    <row r="126" spans="1:16" x14ac:dyDescent="0.2">
      <c r="A126" t="s">
        <v>197</v>
      </c>
      <c r="B126">
        <v>2344.0949000000001</v>
      </c>
      <c r="C126">
        <v>313.24</v>
      </c>
      <c r="D126">
        <v>362.10199999999998</v>
      </c>
      <c r="E126">
        <v>403.58300000000003</v>
      </c>
      <c r="F126">
        <v>6.473576229902072</v>
      </c>
      <c r="G126">
        <v>5.8082102070701689</v>
      </c>
      <c r="H126">
        <v>0.15598901800536319</v>
      </c>
      <c r="I126">
        <v>0.11455611954642619</v>
      </c>
      <c r="J126">
        <v>250.68500076293947</v>
      </c>
      <c r="K126">
        <v>0.69230493276187233</v>
      </c>
      <c r="L126">
        <v>-3.4740000000000002</v>
      </c>
      <c r="M126">
        <v>-9.5939818062313938E-3</v>
      </c>
      <c r="N126">
        <v>39.213000000000001</v>
      </c>
      <c r="O126">
        <v>-84.54</v>
      </c>
      <c r="P126">
        <v>-0.23347012720172772</v>
      </c>
    </row>
    <row r="127" spans="1:16" x14ac:dyDescent="0.2">
      <c r="A127" t="s">
        <v>181</v>
      </c>
      <c r="B127">
        <v>2781.2797</v>
      </c>
      <c r="C127">
        <v>343.274</v>
      </c>
      <c r="D127">
        <v>394.09599999999995</v>
      </c>
      <c r="E127">
        <v>427.56700000000001</v>
      </c>
      <c r="F127">
        <v>7.0573659717429269</v>
      </c>
      <c r="G127">
        <v>6.5048979458190175</v>
      </c>
      <c r="H127">
        <v>0.14805082820137833</v>
      </c>
      <c r="I127">
        <v>8.4931082781860345E-2</v>
      </c>
      <c r="J127">
        <v>220.96600073242186</v>
      </c>
      <c r="K127">
        <v>0.56069079800967758</v>
      </c>
      <c r="L127">
        <v>54.477999999999994</v>
      </c>
      <c r="M127">
        <v>0.13823535382241892</v>
      </c>
      <c r="N127">
        <v>124.613</v>
      </c>
      <c r="O127">
        <v>4.2689791113369981</v>
      </c>
      <c r="P127">
        <v>1.0832333013623581E-2</v>
      </c>
    </row>
    <row r="128" spans="1:16" x14ac:dyDescent="0.2">
      <c r="A128" t="s">
        <v>15</v>
      </c>
      <c r="B128">
        <v>61613.105499999998</v>
      </c>
      <c r="C128">
        <v>11667.8</v>
      </c>
      <c r="D128">
        <v>13325.8</v>
      </c>
      <c r="E128">
        <v>14165.857</v>
      </c>
      <c r="F128">
        <v>4.6235952438127539</v>
      </c>
      <c r="G128">
        <v>4.3494089697502947</v>
      </c>
      <c r="H128">
        <v>0.14210048166749517</v>
      </c>
      <c r="I128">
        <v>6.303989253928477E-2</v>
      </c>
      <c r="J128">
        <v>5483.0999511718746</v>
      </c>
      <c r="K128">
        <v>0.41146497404822785</v>
      </c>
      <c r="L128">
        <v>3327.1</v>
      </c>
      <c r="M128">
        <v>0.24967356556454398</v>
      </c>
      <c r="N128">
        <v>2170</v>
      </c>
      <c r="O128">
        <v>1929.6169999999997</v>
      </c>
      <c r="P128">
        <v>0.144803088745141</v>
      </c>
    </row>
    <row r="129" spans="1:16" x14ac:dyDescent="0.2">
      <c r="A129" t="s">
        <v>117</v>
      </c>
      <c r="B129">
        <v>6521.5419000000002</v>
      </c>
      <c r="C129">
        <v>881.35599999999999</v>
      </c>
      <c r="D129">
        <v>1005.8890000000001</v>
      </c>
      <c r="E129">
        <v>1083.6669999999999</v>
      </c>
      <c r="F129">
        <v>6.4833613848048834</v>
      </c>
      <c r="G129">
        <v>6.0180312771358739</v>
      </c>
      <c r="H129">
        <v>0.14129704682330424</v>
      </c>
      <c r="I129">
        <v>7.732264693221591E-2</v>
      </c>
      <c r="J129">
        <v>699.41901611328126</v>
      </c>
      <c r="K129">
        <v>0.69532425159563449</v>
      </c>
      <c r="L129">
        <v>228.197</v>
      </c>
      <c r="M129">
        <v>0.2268610154798392</v>
      </c>
      <c r="N129">
        <v>90.022999999999996</v>
      </c>
      <c r="O129">
        <v>130.87135000000001</v>
      </c>
      <c r="P129">
        <v>0.13010516070858713</v>
      </c>
    </row>
    <row r="130" spans="1:16" x14ac:dyDescent="0.2">
      <c r="A130" t="s">
        <v>163</v>
      </c>
      <c r="B130">
        <v>3579.8489</v>
      </c>
      <c r="C130">
        <v>730.81500000000005</v>
      </c>
      <c r="D130">
        <v>833.04499999999996</v>
      </c>
      <c r="E130">
        <v>871.04500000000007</v>
      </c>
      <c r="F130">
        <v>4.2973055477195112</v>
      </c>
      <c r="G130">
        <v>4.1098323278361049</v>
      </c>
      <c r="H130">
        <v>0.13988492299692795</v>
      </c>
      <c r="I130">
        <v>4.5615783060939163E-2</v>
      </c>
      <c r="J130">
        <v>461.10500335693359</v>
      </c>
      <c r="K130">
        <v>0.55351752109061769</v>
      </c>
      <c r="L130">
        <v>162.346</v>
      </c>
      <c r="M130">
        <v>0.19488262938976889</v>
      </c>
      <c r="N130">
        <v>29.83</v>
      </c>
      <c r="O130">
        <v>80.155496400630994</v>
      </c>
      <c r="P130">
        <v>9.621988776192282E-2</v>
      </c>
    </row>
    <row r="131" spans="1:16" x14ac:dyDescent="0.2">
      <c r="A131" t="s">
        <v>67</v>
      </c>
      <c r="B131">
        <v>12773.614</v>
      </c>
      <c r="C131">
        <v>1816.0830000000001</v>
      </c>
      <c r="D131">
        <v>2069.8940000000002</v>
      </c>
      <c r="E131">
        <v>2201.5</v>
      </c>
      <c r="F131">
        <v>6.1711440295976496</v>
      </c>
      <c r="G131">
        <v>5.8022321144674081</v>
      </c>
      <c r="H131">
        <v>0.13975737893036835</v>
      </c>
      <c r="I131">
        <v>6.3581033618146598E-2</v>
      </c>
      <c r="J131">
        <v>1826.9869919433593</v>
      </c>
      <c r="K131">
        <v>0.88264760994686642</v>
      </c>
      <c r="L131">
        <v>518.21699999999998</v>
      </c>
      <c r="M131">
        <v>0.25035919713763116</v>
      </c>
      <c r="N131">
        <v>688.08699999999999</v>
      </c>
      <c r="O131">
        <v>347.59648759077601</v>
      </c>
      <c r="P131">
        <v>0.16792960779188498</v>
      </c>
    </row>
    <row r="132" spans="1:16" x14ac:dyDescent="0.2">
      <c r="A132" t="s">
        <v>283</v>
      </c>
      <c r="B132">
        <v>2037.6169</v>
      </c>
      <c r="C132">
        <v>1265.364</v>
      </c>
      <c r="D132">
        <v>1442.086</v>
      </c>
      <c r="E132">
        <v>1299.5</v>
      </c>
      <c r="F132">
        <v>1.4129648994581461</v>
      </c>
      <c r="G132">
        <v>1.568000692574067</v>
      </c>
      <c r="H132">
        <v>0.13966099873238055</v>
      </c>
      <c r="I132">
        <v>-9.8874824386340321E-2</v>
      </c>
      <c r="J132">
        <v>493.43699993896485</v>
      </c>
      <c r="K132">
        <v>0.34216891360082885</v>
      </c>
      <c r="L132">
        <v>321.95100000000002</v>
      </c>
      <c r="M132">
        <v>0.22325367557829423</v>
      </c>
      <c r="N132">
        <v>51.37</v>
      </c>
      <c r="O132">
        <v>65.558989999999994</v>
      </c>
      <c r="P132">
        <v>4.546122075937218E-2</v>
      </c>
    </row>
    <row r="133" spans="1:16" x14ac:dyDescent="0.2">
      <c r="A133" t="s">
        <v>147</v>
      </c>
      <c r="B133">
        <v>3887.6603</v>
      </c>
      <c r="C133">
        <v>750.26599999999996</v>
      </c>
      <c r="D133">
        <v>851.31600000000003</v>
      </c>
      <c r="E133">
        <v>927.80000000000007</v>
      </c>
      <c r="F133">
        <v>4.5666477547702611</v>
      </c>
      <c r="G133">
        <v>4.1901921750377236</v>
      </c>
      <c r="H133">
        <v>0.1346855648529989</v>
      </c>
      <c r="I133">
        <v>8.9842079791757845E-2</v>
      </c>
      <c r="J133">
        <v>558.17699633789061</v>
      </c>
      <c r="K133">
        <v>0.65566369754343934</v>
      </c>
      <c r="L133">
        <v>16.656999999999996</v>
      </c>
      <c r="M133">
        <v>1.9566177541594419E-2</v>
      </c>
      <c r="N133">
        <v>162.279</v>
      </c>
      <c r="O133">
        <v>16.697999999999997</v>
      </c>
      <c r="P133">
        <v>1.9614338271570129E-2</v>
      </c>
    </row>
    <row r="134" spans="1:16" x14ac:dyDescent="0.2">
      <c r="A134" t="s">
        <v>75</v>
      </c>
      <c r="B134">
        <v>11659.7503</v>
      </c>
      <c r="C134">
        <v>1354.646</v>
      </c>
      <c r="D134">
        <v>1536.6029999999998</v>
      </c>
      <c r="E134">
        <v>1642.25</v>
      </c>
      <c r="F134">
        <v>7.5880043836957238</v>
      </c>
      <c r="G134">
        <v>7.0998631755213886</v>
      </c>
      <c r="H134">
        <v>0.13432070075872213</v>
      </c>
      <c r="I134">
        <v>6.8753607795897898E-2</v>
      </c>
      <c r="J134">
        <v>662.96098620605471</v>
      </c>
      <c r="K134">
        <v>0.43144584919205209</v>
      </c>
      <c r="L134">
        <v>542.40800000000002</v>
      </c>
      <c r="M134">
        <v>0.35299163154048252</v>
      </c>
      <c r="N134">
        <v>31.439999999999998</v>
      </c>
      <c r="O134">
        <v>282.15797000000003</v>
      </c>
      <c r="P134">
        <v>0.18362450808699454</v>
      </c>
    </row>
    <row r="135" spans="1:16" x14ac:dyDescent="0.2">
      <c r="A135" t="s">
        <v>367</v>
      </c>
      <c r="B135">
        <v>268.75810000000001</v>
      </c>
      <c r="C135">
        <v>113.2</v>
      </c>
      <c r="D135">
        <v>128.30699999999999</v>
      </c>
      <c r="E135">
        <v>134.50399999999999</v>
      </c>
      <c r="F135">
        <v>2.094648772085701</v>
      </c>
      <c r="G135">
        <v>1.9981420626895856</v>
      </c>
      <c r="H135">
        <v>0.13345406360424014</v>
      </c>
      <c r="I135">
        <v>4.8298222232614041E-2</v>
      </c>
      <c r="J135">
        <v>101.39099937438965</v>
      </c>
      <c r="K135">
        <v>0.79022188481056888</v>
      </c>
      <c r="L135">
        <v>-4.3410000000000002</v>
      </c>
      <c r="M135">
        <v>-3.383291636465665E-2</v>
      </c>
      <c r="N135">
        <v>53.421999999999997</v>
      </c>
      <c r="O135">
        <v>-10.436999999999999</v>
      </c>
      <c r="P135">
        <v>-8.1343964086137158E-2</v>
      </c>
    </row>
    <row r="136" spans="1:16" x14ac:dyDescent="0.2">
      <c r="A136" t="s">
        <v>371</v>
      </c>
      <c r="B136">
        <v>255.0078</v>
      </c>
      <c r="C136">
        <v>21.792999999999999</v>
      </c>
      <c r="D136">
        <v>24.585999999999999</v>
      </c>
      <c r="E136">
        <v>25.216999999999999</v>
      </c>
      <c r="F136">
        <v>10.372073537785733</v>
      </c>
      <c r="G136">
        <v>10.11253519451164</v>
      </c>
      <c r="H136">
        <v>0.12816041848299911</v>
      </c>
      <c r="I136">
        <v>2.5665012608801829E-2</v>
      </c>
      <c r="J136">
        <v>16.067000110626221</v>
      </c>
      <c r="K136">
        <v>0.6535019975037103</v>
      </c>
      <c r="L136">
        <v>-27.398</v>
      </c>
      <c r="M136">
        <v>-1.1143740340030912</v>
      </c>
      <c r="N136">
        <v>40.823</v>
      </c>
      <c r="O136">
        <v>-28.759999999999998</v>
      </c>
      <c r="P136">
        <v>-1.1697714146262099</v>
      </c>
    </row>
    <row r="137" spans="1:16" x14ac:dyDescent="0.2">
      <c r="A137" t="s">
        <v>285</v>
      </c>
      <c r="B137">
        <v>1236.1941999999999</v>
      </c>
      <c r="C137">
        <v>1460.037</v>
      </c>
      <c r="D137">
        <v>1637.712</v>
      </c>
      <c r="E137">
        <v>1656.5</v>
      </c>
      <c r="F137">
        <v>0.75483003116543079</v>
      </c>
      <c r="G137">
        <v>0.74626875943253845</v>
      </c>
      <c r="H137">
        <v>0.12169212150103043</v>
      </c>
      <c r="I137">
        <v>1.147210254305997E-2</v>
      </c>
      <c r="J137">
        <v>553.73400109863292</v>
      </c>
      <c r="K137">
        <v>0.33811439441039259</v>
      </c>
      <c r="L137">
        <v>168.06400000000002</v>
      </c>
      <c r="M137">
        <v>0.10262121789423294</v>
      </c>
      <c r="N137">
        <v>343.73399999999998</v>
      </c>
      <c r="O137">
        <v>71.187725335842003</v>
      </c>
      <c r="P137">
        <v>4.3467792466466634E-2</v>
      </c>
    </row>
    <row r="138" spans="1:16" x14ac:dyDescent="0.2">
      <c r="A138" t="s">
        <v>383</v>
      </c>
      <c r="B138">
        <v>259.96980000000002</v>
      </c>
      <c r="C138">
        <v>73.161190000000005</v>
      </c>
      <c r="D138">
        <v>81.967006999999995</v>
      </c>
      <c r="E138">
        <v>89.275000000000006</v>
      </c>
      <c r="F138">
        <v>3.1716395354047759</v>
      </c>
      <c r="G138">
        <v>2.9120112013441615</v>
      </c>
      <c r="H138">
        <v>0.12036186125458033</v>
      </c>
      <c r="I138">
        <v>8.9157738796050046E-2</v>
      </c>
      <c r="J138">
        <v>44.329346749023436</v>
      </c>
      <c r="K138">
        <v>0.54081939028252479</v>
      </c>
      <c r="L138">
        <v>-4.3256870000000003</v>
      </c>
      <c r="M138">
        <v>-5.2773514104278572E-2</v>
      </c>
      <c r="N138">
        <v>9.3606009999999991</v>
      </c>
      <c r="O138">
        <v>-10.418129</v>
      </c>
      <c r="P138">
        <v>-0.12710149340941534</v>
      </c>
    </row>
    <row r="139" spans="1:16" x14ac:dyDescent="0.2">
      <c r="A139" t="s">
        <v>561</v>
      </c>
      <c r="B139">
        <v>2404.9515999999999</v>
      </c>
      <c r="C139">
        <v>427.58800000000002</v>
      </c>
      <c r="D139">
        <v>476.02700000000004</v>
      </c>
      <c r="E139">
        <v>635.75</v>
      </c>
      <c r="F139">
        <v>5.0521327571755377</v>
      </c>
      <c r="G139">
        <v>3.7828574125049155</v>
      </c>
      <c r="H139">
        <v>0.11328428300139391</v>
      </c>
      <c r="I139">
        <v>0.33553348864665233</v>
      </c>
      <c r="J139">
        <v>327.95800305175783</v>
      </c>
      <c r="K139">
        <v>0.68894832236776027</v>
      </c>
      <c r="L139">
        <v>100.64099999999999</v>
      </c>
      <c r="M139">
        <v>0.21141868003285524</v>
      </c>
      <c r="N139">
        <v>208.94399999999999</v>
      </c>
      <c r="O139">
        <v>7.2179362649929981</v>
      </c>
      <c r="P139">
        <v>1.5162871570295377E-2</v>
      </c>
    </row>
    <row r="140" spans="1:16" x14ac:dyDescent="0.2">
      <c r="A140" t="s">
        <v>109</v>
      </c>
      <c r="B140">
        <v>9733.1316000000006</v>
      </c>
      <c r="C140">
        <v>3373.3870000000002</v>
      </c>
      <c r="D140">
        <v>3755.2129999999997</v>
      </c>
      <c r="E140">
        <v>3945.0750000000003</v>
      </c>
      <c r="F140">
        <v>2.5918986752549058</v>
      </c>
      <c r="G140">
        <v>2.4671600920134598</v>
      </c>
      <c r="H140">
        <v>0.11318772497789301</v>
      </c>
      <c r="I140">
        <v>5.0559582106261436E-2</v>
      </c>
      <c r="J140">
        <v>1077.0209764404296</v>
      </c>
      <c r="K140">
        <v>0.28680689389401604</v>
      </c>
      <c r="L140">
        <v>972.27599999999995</v>
      </c>
      <c r="M140">
        <v>0.2589136754692743</v>
      </c>
      <c r="N140">
        <v>361.38099999999997</v>
      </c>
      <c r="O140">
        <v>307.796316586464</v>
      </c>
      <c r="P140">
        <v>8.1965075372945298E-2</v>
      </c>
    </row>
    <row r="141" spans="1:16" x14ac:dyDescent="0.2">
      <c r="A141" t="s">
        <v>121</v>
      </c>
      <c r="B141">
        <v>6190.1469999999999</v>
      </c>
      <c r="C141">
        <v>2570.7559999999999</v>
      </c>
      <c r="D141">
        <v>2860.71</v>
      </c>
      <c r="E141">
        <v>3102.7919999999999</v>
      </c>
      <c r="F141">
        <v>2.1638498834205495</v>
      </c>
      <c r="G141">
        <v>1.9950248034673288</v>
      </c>
      <c r="H141">
        <v>0.11278938958034142</v>
      </c>
      <c r="I141">
        <v>8.4623048124416567E-2</v>
      </c>
      <c r="J141">
        <v>1068.4139918212891</v>
      </c>
      <c r="K141">
        <v>0.37347860909399733</v>
      </c>
      <c r="L141">
        <v>407.05099999999999</v>
      </c>
      <c r="M141">
        <v>0.14229020068444545</v>
      </c>
      <c r="N141">
        <v>504.46799999999996</v>
      </c>
      <c r="O141">
        <v>271.84730999999999</v>
      </c>
      <c r="P141">
        <v>9.5027916146690858E-2</v>
      </c>
    </row>
    <row r="142" spans="1:16" x14ac:dyDescent="0.2">
      <c r="A142" t="s">
        <v>165</v>
      </c>
      <c r="B142">
        <v>3196.73</v>
      </c>
      <c r="C142">
        <v>714.11400000000003</v>
      </c>
      <c r="D142">
        <v>793.64200000000005</v>
      </c>
      <c r="E142">
        <v>853.05899999999997</v>
      </c>
      <c r="F142">
        <v>4.0279244294026775</v>
      </c>
      <c r="G142">
        <v>3.7473726905173033</v>
      </c>
      <c r="H142">
        <v>0.11136597237976012</v>
      </c>
      <c r="I142">
        <v>7.4866249518044548E-2</v>
      </c>
      <c r="J142">
        <v>520.84100958251952</v>
      </c>
      <c r="K142">
        <v>0.65626694351170867</v>
      </c>
      <c r="L142">
        <v>-128.273</v>
      </c>
      <c r="M142">
        <v>-0.1616257708135406</v>
      </c>
      <c r="N142">
        <v>180.89099999999999</v>
      </c>
      <c r="O142">
        <v>-257.473708220025</v>
      </c>
      <c r="P142">
        <v>-0.32442046693600513</v>
      </c>
    </row>
    <row r="143" spans="1:16" x14ac:dyDescent="0.2">
      <c r="A143" t="s">
        <v>343</v>
      </c>
      <c r="B143">
        <v>343.18979999999999</v>
      </c>
      <c r="C143">
        <v>163.92599999999999</v>
      </c>
      <c r="D143">
        <v>181.369</v>
      </c>
      <c r="E143">
        <v>204.3</v>
      </c>
      <c r="F143">
        <v>1.8922186261158191</v>
      </c>
      <c r="G143">
        <v>1.6798325991189427</v>
      </c>
      <c r="H143">
        <v>0.10640776935934515</v>
      </c>
      <c r="I143">
        <v>0.12643285236175972</v>
      </c>
      <c r="J143">
        <v>150.5580012512207</v>
      </c>
      <c r="K143">
        <v>0.83011981789181555</v>
      </c>
      <c r="L143">
        <v>-47.040999999999997</v>
      </c>
      <c r="M143">
        <v>-0.25936626435609172</v>
      </c>
      <c r="N143">
        <v>85.832999999999998</v>
      </c>
      <c r="O143">
        <v>-51.76737</v>
      </c>
      <c r="P143">
        <v>-0.28542567914031614</v>
      </c>
    </row>
    <row r="144" spans="1:16" x14ac:dyDescent="0.2">
      <c r="A144" t="s">
        <v>29</v>
      </c>
      <c r="B144">
        <v>37238.548000000003</v>
      </c>
      <c r="C144">
        <v>3578.991</v>
      </c>
      <c r="D144">
        <v>3957.0110000000004</v>
      </c>
      <c r="E144">
        <v>4123.2660000000005</v>
      </c>
      <c r="F144">
        <v>9.4107769728211519</v>
      </c>
      <c r="G144">
        <v>9.0313232277519813</v>
      </c>
      <c r="H144">
        <v>0.10562194763831495</v>
      </c>
      <c r="I144">
        <v>4.2015298921332267E-2</v>
      </c>
      <c r="J144">
        <v>2980.6710327148439</v>
      </c>
      <c r="K144">
        <v>0.75326326682307521</v>
      </c>
      <c r="L144">
        <v>1336.268</v>
      </c>
      <c r="M144">
        <v>0.33769630663144479</v>
      </c>
      <c r="N144">
        <v>126.503</v>
      </c>
      <c r="O144">
        <v>93.840450000000004</v>
      </c>
      <c r="P144">
        <v>2.3714983354860525E-2</v>
      </c>
    </row>
    <row r="145" spans="1:16" x14ac:dyDescent="0.2">
      <c r="A145" t="s">
        <v>607</v>
      </c>
      <c r="B145">
        <v>25857.610499999999</v>
      </c>
      <c r="C145">
        <v>4396</v>
      </c>
      <c r="D145">
        <v>4838</v>
      </c>
      <c r="E145">
        <v>5394.9750000000004</v>
      </c>
      <c r="F145">
        <v>5.3446900578751544</v>
      </c>
      <c r="G145">
        <v>4.7929064546174907</v>
      </c>
      <c r="H145">
        <v>0.1005459508644222</v>
      </c>
      <c r="I145">
        <v>0.11512505167424569</v>
      </c>
      <c r="J145">
        <v>3503</v>
      </c>
      <c r="K145">
        <v>0.72405952873088053</v>
      </c>
      <c r="L145">
        <v>1151</v>
      </c>
      <c r="M145">
        <v>0.23790822653989252</v>
      </c>
      <c r="N145">
        <v>4258</v>
      </c>
      <c r="O145">
        <v>881.07999999999993</v>
      </c>
      <c r="P145">
        <v>0.18211657709797435</v>
      </c>
    </row>
  </sheetData>
  <autoFilter ref="A1:P145" xr:uid="{D7732E78-9483-4441-974D-E94DC32681D4}">
    <sortState xmlns:xlrd2="http://schemas.microsoft.com/office/spreadsheetml/2017/richdata2" ref="A2:P145">
      <sortCondition descending="1" ref="H1:H145"/>
    </sortState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94DAB-A32B-4C69-BFA1-4FE6DF19BF84}">
  <dimension ref="A1:P145"/>
  <sheetViews>
    <sheetView zoomScaleNormal="100" workbookViewId="0">
      <selection activeCell="H41" sqref="H41"/>
    </sheetView>
  </sheetViews>
  <sheetFormatPr defaultRowHeight="12.75" x14ac:dyDescent="0.2"/>
  <cols>
    <col min="1" max="1" width="18.28515625" customWidth="1"/>
    <col min="2" max="2" width="10.5703125" bestFit="1" customWidth="1"/>
    <col min="3" max="3" width="10.5703125" customWidth="1"/>
    <col min="4" max="4" width="14" customWidth="1"/>
    <col min="5" max="5" width="11.28515625" bestFit="1" customWidth="1"/>
    <col min="6" max="7" width="9.7109375" style="174" customWidth="1"/>
    <col min="8" max="8" width="9.7109375" customWidth="1"/>
    <col min="9" max="9" width="14.85546875" style="181" bestFit="1" customWidth="1"/>
    <col min="10" max="10" width="9.42578125" customWidth="1"/>
    <col min="11" max="11" width="13.5703125" style="177" bestFit="1" customWidth="1"/>
    <col min="12" max="12" width="14" customWidth="1"/>
    <col min="13" max="13" width="12.28515625" style="184" customWidth="1"/>
    <col min="14" max="15" width="12.28515625" customWidth="1"/>
    <col min="16" max="16" width="14.85546875" bestFit="1" customWidth="1"/>
    <col min="18" max="18" width="26.28515625" customWidth="1"/>
    <col min="19" max="25" width="16.28515625" customWidth="1"/>
  </cols>
  <sheetData>
    <row r="1" spans="1:16" ht="55.5" customHeight="1" x14ac:dyDescent="0.2">
      <c r="A1" t="s">
        <v>424</v>
      </c>
      <c r="B1" t="s">
        <v>718</v>
      </c>
      <c r="C1" t="s">
        <v>962</v>
      </c>
      <c r="D1" t="s">
        <v>963</v>
      </c>
      <c r="E1" t="s">
        <v>964</v>
      </c>
      <c r="F1" t="s">
        <v>902</v>
      </c>
      <c r="G1" t="s">
        <v>957</v>
      </c>
      <c r="H1" t="s">
        <v>965</v>
      </c>
      <c r="I1" t="s">
        <v>966</v>
      </c>
      <c r="J1" t="s">
        <v>959</v>
      </c>
      <c r="K1" t="s">
        <v>967</v>
      </c>
      <c r="L1" t="s">
        <v>438</v>
      </c>
      <c r="M1" t="s">
        <v>974</v>
      </c>
      <c r="N1" t="s">
        <v>956</v>
      </c>
      <c r="O1" t="s">
        <v>976</v>
      </c>
      <c r="P1" t="s">
        <v>977</v>
      </c>
    </row>
    <row r="2" spans="1:16" x14ac:dyDescent="0.2">
      <c r="A2" t="s">
        <v>601</v>
      </c>
      <c r="B2">
        <v>1375.1850999999999</v>
      </c>
      <c r="C2">
        <v>9.6440000000000001</v>
      </c>
      <c r="D2">
        <v>50.944830456625908</v>
      </c>
      <c r="E2">
        <v>68.814000000000007</v>
      </c>
      <c r="F2">
        <v>26.993614222954839</v>
      </c>
      <c r="G2">
        <v>19.984088993518757</v>
      </c>
      <c r="H2">
        <v>4.2825415239139266</v>
      </c>
      <c r="I2">
        <v>0.35075530496833807</v>
      </c>
      <c r="J2">
        <v>50.927435366140706</v>
      </c>
      <c r="K2">
        <v>0.99965855042937057</v>
      </c>
      <c r="L2">
        <v>-15.660510996069489</v>
      </c>
      <c r="M2">
        <v>-0.30740137626726904</v>
      </c>
      <c r="N2">
        <v>16.331</v>
      </c>
      <c r="O2">
        <v>-16.377704596026192</v>
      </c>
      <c r="P2">
        <v>-0.32147922466775231</v>
      </c>
    </row>
    <row r="3" spans="1:16" x14ac:dyDescent="0.2">
      <c r="A3" t="s">
        <v>564</v>
      </c>
      <c r="B3">
        <v>5590.6315999999997</v>
      </c>
      <c r="C3">
        <v>85.906999999999996</v>
      </c>
      <c r="D3">
        <v>324.19499999999999</v>
      </c>
      <c r="E3">
        <v>424.09399999999999</v>
      </c>
      <c r="F3">
        <v>17.244657073674794</v>
      </c>
      <c r="G3">
        <v>13.182529344909383</v>
      </c>
      <c r="H3">
        <v>2.7737902615619219</v>
      </c>
      <c r="I3">
        <v>0.30814478940144041</v>
      </c>
      <c r="J3">
        <v>228.25000210571289</v>
      </c>
      <c r="K3">
        <v>0.70405158039363003</v>
      </c>
      <c r="L3">
        <v>-116.569</v>
      </c>
      <c r="M3">
        <v>-0.35956445966162343</v>
      </c>
      <c r="N3">
        <v>127.949</v>
      </c>
      <c r="O3">
        <v>-123.625</v>
      </c>
      <c r="P3">
        <v>-0.3813291383272413</v>
      </c>
    </row>
    <row r="4" spans="1:16" x14ac:dyDescent="0.2">
      <c r="A4" t="s">
        <v>153</v>
      </c>
      <c r="B4">
        <v>4064.2968000000001</v>
      </c>
      <c r="C4">
        <v>336.06799999999998</v>
      </c>
      <c r="D4">
        <v>1130.17</v>
      </c>
      <c r="E4">
        <v>1221.8890000000001</v>
      </c>
      <c r="F4">
        <v>3.5961818133555128</v>
      </c>
      <c r="G4">
        <v>3.3262405995961988</v>
      </c>
      <c r="H4">
        <v>2.3629205994025022</v>
      </c>
      <c r="I4">
        <v>8.1155047470734543E-2</v>
      </c>
      <c r="J4">
        <v>883.36700305175782</v>
      </c>
      <c r="K4">
        <v>0.78162312134613177</v>
      </c>
      <c r="L4">
        <v>389.65500000000003</v>
      </c>
      <c r="M4">
        <v>0.34477556473804827</v>
      </c>
      <c r="N4">
        <v>252.40199999999999</v>
      </c>
      <c r="O4">
        <v>85.247472264912005</v>
      </c>
      <c r="P4">
        <v>7.5428893232798611E-2</v>
      </c>
    </row>
    <row r="5" spans="1:16" x14ac:dyDescent="0.2">
      <c r="A5" t="s">
        <v>599</v>
      </c>
      <c r="B5">
        <v>5116.1342000000004</v>
      </c>
      <c r="C5">
        <v>201.49100000000001</v>
      </c>
      <c r="D5">
        <v>662.16275290332658</v>
      </c>
      <c r="E5">
        <v>964.04100000000005</v>
      </c>
      <c r="F5">
        <v>7.7263998579922211</v>
      </c>
      <c r="G5">
        <v>5.3069674422560871</v>
      </c>
      <c r="H5">
        <v>2.2863142914736962</v>
      </c>
      <c r="I5">
        <v>0.4558973541973701</v>
      </c>
      <c r="J5">
        <v>462.07363936766961</v>
      </c>
      <c r="K5">
        <v>0.69782487363062351</v>
      </c>
      <c r="L5">
        <v>163.30981038419148</v>
      </c>
      <c r="M5">
        <v>0.24663092218361932</v>
      </c>
      <c r="N5">
        <v>105.649</v>
      </c>
      <c r="O5">
        <v>77.683937329779184</v>
      </c>
      <c r="P5">
        <v>0.11731849456823912</v>
      </c>
    </row>
    <row r="6" spans="1:16" x14ac:dyDescent="0.2">
      <c r="A6" t="s">
        <v>558</v>
      </c>
      <c r="B6">
        <v>3220.2809999999999</v>
      </c>
      <c r="C6">
        <v>65.271000000000001</v>
      </c>
      <c r="D6">
        <v>192.24099999999999</v>
      </c>
      <c r="E6">
        <v>271.53800000000001</v>
      </c>
      <c r="F6">
        <v>16.751270540623491</v>
      </c>
      <c r="G6">
        <v>11.859411942343245</v>
      </c>
      <c r="H6">
        <v>1.9452743178440652</v>
      </c>
      <c r="I6">
        <v>0.41248745064788483</v>
      </c>
      <c r="J6">
        <v>138.52599877929688</v>
      </c>
      <c r="K6">
        <v>0.72058509256244452</v>
      </c>
      <c r="L6">
        <v>-107.69300000000001</v>
      </c>
      <c r="M6">
        <v>-0.5601978766236132</v>
      </c>
      <c r="N6">
        <v>61.901999999999994</v>
      </c>
      <c r="O6">
        <v>-111</v>
      </c>
      <c r="P6">
        <v>-0.57740024240406573</v>
      </c>
    </row>
    <row r="7" spans="1:16" x14ac:dyDescent="0.2">
      <c r="A7" t="s">
        <v>201</v>
      </c>
      <c r="B7">
        <v>2499.6136000000001</v>
      </c>
      <c r="C7">
        <v>40.750999999999998</v>
      </c>
      <c r="D7">
        <v>111.253</v>
      </c>
      <c r="E7">
        <v>195.833</v>
      </c>
      <c r="F7">
        <v>22.467830979838748</v>
      </c>
      <c r="G7">
        <v>12.764006066393305</v>
      </c>
      <c r="H7">
        <v>1.7300679737920546</v>
      </c>
      <c r="I7">
        <v>0.76024916182035529</v>
      </c>
      <c r="J7">
        <v>89.570999999999998</v>
      </c>
      <c r="K7">
        <v>0.80511087341464949</v>
      </c>
      <c r="L7">
        <v>-44.902000000000001</v>
      </c>
      <c r="M7">
        <v>-0.40360259948046345</v>
      </c>
      <c r="N7">
        <v>58.157999999999994</v>
      </c>
      <c r="O7">
        <v>-49.106000000000002</v>
      </c>
      <c r="P7">
        <v>-0.44139034453003517</v>
      </c>
    </row>
    <row r="8" spans="1:16" x14ac:dyDescent="0.2">
      <c r="A8" t="s">
        <v>155</v>
      </c>
      <c r="B8">
        <v>3256.0626999999999</v>
      </c>
      <c r="C8">
        <v>83.677999999999997</v>
      </c>
      <c r="D8">
        <v>219.095</v>
      </c>
      <c r="E8">
        <v>265.79300000000001</v>
      </c>
      <c r="F8">
        <v>14.861419475569958</v>
      </c>
      <c r="G8">
        <v>12.250370401026363</v>
      </c>
      <c r="H8">
        <v>1.6183106670809533</v>
      </c>
      <c r="I8">
        <v>0.21314041853990284</v>
      </c>
      <c r="J8">
        <v>150.86900170898437</v>
      </c>
      <c r="K8">
        <v>0.68860084305431146</v>
      </c>
      <c r="L8">
        <v>-34.963000000000001</v>
      </c>
      <c r="M8">
        <v>-0.15957917798215387</v>
      </c>
      <c r="N8">
        <v>412.90299999999996</v>
      </c>
      <c r="O8">
        <v>-49.332999999999998</v>
      </c>
      <c r="P8">
        <v>-0.22516716492845568</v>
      </c>
    </row>
    <row r="9" spans="1:16" x14ac:dyDescent="0.2">
      <c r="A9" t="s">
        <v>215</v>
      </c>
      <c r="B9">
        <v>1642.0148999999999</v>
      </c>
      <c r="C9">
        <v>166.048</v>
      </c>
      <c r="D9">
        <v>411.06400000000002</v>
      </c>
      <c r="E9">
        <v>487.03300000000002</v>
      </c>
      <c r="F9">
        <v>3.9945480509117797</v>
      </c>
      <c r="G9">
        <v>3.3714653832491841</v>
      </c>
      <c r="H9">
        <v>1.4755733281942571</v>
      </c>
      <c r="I9">
        <v>0.18481063775957018</v>
      </c>
      <c r="J9">
        <v>279.62800469970705</v>
      </c>
      <c r="K9">
        <v>0.68025418110004043</v>
      </c>
      <c r="L9">
        <v>-176.494</v>
      </c>
      <c r="M9">
        <v>-0.42935893194247121</v>
      </c>
      <c r="N9">
        <v>43.247</v>
      </c>
      <c r="O9">
        <v>-184.54894999999999</v>
      </c>
      <c r="P9">
        <v>-0.44895429908724671</v>
      </c>
    </row>
    <row r="10" spans="1:16" x14ac:dyDescent="0.2">
      <c r="A10" t="s">
        <v>570</v>
      </c>
      <c r="B10">
        <v>6010.1651000000002</v>
      </c>
      <c r="C10">
        <v>250.48099999999999</v>
      </c>
      <c r="D10">
        <v>602.31500000000005</v>
      </c>
      <c r="E10">
        <v>762.5</v>
      </c>
      <c r="F10">
        <v>9.9784416791877995</v>
      </c>
      <c r="G10">
        <v>7.882183737704918</v>
      </c>
      <c r="H10">
        <v>1.4046334851745246</v>
      </c>
      <c r="I10">
        <v>0.26594888056913724</v>
      </c>
      <c r="J10">
        <v>444.96900311279296</v>
      </c>
      <c r="K10">
        <v>0.73876460508669539</v>
      </c>
      <c r="L10">
        <v>-19.93</v>
      </c>
      <c r="M10">
        <f>L10/D10</f>
        <v>-3.308899828163004E-2</v>
      </c>
      <c r="N10">
        <v>256.86700000000002</v>
      </c>
      <c r="O10">
        <v>-328.25799999999998</v>
      </c>
      <c r="P10">
        <v>-0.54499389854146074</v>
      </c>
    </row>
    <row r="11" spans="1:16" x14ac:dyDescent="0.2">
      <c r="A11" t="s">
        <v>145</v>
      </c>
      <c r="B11">
        <v>3799.4987000000001</v>
      </c>
      <c r="C11">
        <v>80.325000000000003</v>
      </c>
      <c r="D11">
        <v>190.17399999999998</v>
      </c>
      <c r="E11">
        <v>258.79000000000002</v>
      </c>
      <c r="F11">
        <v>19.979064961561519</v>
      </c>
      <c r="G11">
        <v>14.681783299200124</v>
      </c>
      <c r="H11">
        <v>1.3675568004979766</v>
      </c>
      <c r="I11">
        <v>0.36080641938435365</v>
      </c>
      <c r="J11">
        <v>152.2989994506836</v>
      </c>
      <c r="K11">
        <v>0.80084028022065901</v>
      </c>
      <c r="L11">
        <v>-13.46</v>
      </c>
      <c r="M11">
        <f>L11/D11</f>
        <v>-7.0777288167678032E-2</v>
      </c>
      <c r="N11">
        <v>135.57900000000001</v>
      </c>
      <c r="O11">
        <v>-29.382999999999999</v>
      </c>
      <c r="P11">
        <v>-0.1545058735684163</v>
      </c>
    </row>
    <row r="12" spans="1:16" x14ac:dyDescent="0.2">
      <c r="A12" t="s">
        <v>107</v>
      </c>
      <c r="B12">
        <v>6236.2366000000002</v>
      </c>
      <c r="C12">
        <v>503.41</v>
      </c>
      <c r="D12">
        <v>1155.4570000000001</v>
      </c>
      <c r="E12">
        <v>1366.1669999999999</v>
      </c>
      <c r="F12">
        <v>5.397203530724207</v>
      </c>
      <c r="G12">
        <v>4.5647688752546358</v>
      </c>
      <c r="H12">
        <v>1.2952603245863212</v>
      </c>
      <c r="I12">
        <v>0.18236074557512727</v>
      </c>
      <c r="J12">
        <v>769.42700024414057</v>
      </c>
      <c r="K12">
        <v>0.66590708286343891</v>
      </c>
      <c r="L12">
        <v>-222.005860759494</v>
      </c>
      <c r="M12">
        <v>-0.19213684348227064</v>
      </c>
      <c r="N12">
        <v>305.97499999999997</v>
      </c>
      <c r="O12">
        <v>-290.7982245</v>
      </c>
      <c r="P12">
        <v>-0.25167377453250095</v>
      </c>
    </row>
    <row r="13" spans="1:16" x14ac:dyDescent="0.2">
      <c r="A13" t="s">
        <v>243</v>
      </c>
      <c r="B13">
        <v>1797.1029000000001</v>
      </c>
      <c r="C13">
        <v>89.724000000000004</v>
      </c>
      <c r="D13">
        <v>198.54300000000001</v>
      </c>
      <c r="E13">
        <v>249.18700000000001</v>
      </c>
      <c r="F13">
        <v>9.0514543449026164</v>
      </c>
      <c r="G13">
        <v>7.2118645836259514</v>
      </c>
      <c r="H13">
        <v>1.2128193125585127</v>
      </c>
      <c r="I13">
        <v>0.25507824501493381</v>
      </c>
      <c r="J13">
        <v>147.79099822998046</v>
      </c>
      <c r="K13">
        <v>0.74437778330125193</v>
      </c>
      <c r="L13">
        <v>-68.009</v>
      </c>
      <c r="M13">
        <v>-0.34254040686400428</v>
      </c>
      <c r="N13">
        <v>34.366999999999997</v>
      </c>
      <c r="O13">
        <v>-73.292000000000002</v>
      </c>
      <c r="P13">
        <v>-0.36914925230302753</v>
      </c>
    </row>
    <row r="14" spans="1:16" x14ac:dyDescent="0.2">
      <c r="A14" t="s">
        <v>557</v>
      </c>
      <c r="B14">
        <v>11763.517900000001</v>
      </c>
      <c r="C14">
        <v>389.33</v>
      </c>
      <c r="D14">
        <v>853.57299999999998</v>
      </c>
      <c r="E14">
        <v>1210.8910000000001</v>
      </c>
      <c r="F14">
        <v>13.781501875059311</v>
      </c>
      <c r="G14">
        <v>9.7147620223455284</v>
      </c>
      <c r="H14">
        <v>1.1924151747874554</v>
      </c>
      <c r="I14">
        <v>0.41861445945455178</v>
      </c>
      <c r="J14">
        <v>481.96899993896483</v>
      </c>
      <c r="K14">
        <v>0.56464883488461426</v>
      </c>
      <c r="L14">
        <v>-41.38</v>
      </c>
      <c r="M14">
        <v>-4.8478571838612518E-2</v>
      </c>
      <c r="N14">
        <v>141.67699999999999</v>
      </c>
      <c r="O14">
        <v>-52.222000000000001</v>
      </c>
      <c r="P14">
        <v>-6.1180473140551542E-2</v>
      </c>
    </row>
    <row r="15" spans="1:16" x14ac:dyDescent="0.2">
      <c r="A15" t="s">
        <v>57</v>
      </c>
      <c r="B15">
        <v>12778.339900000001</v>
      </c>
      <c r="C15">
        <v>668.43499999999995</v>
      </c>
      <c r="D15">
        <v>1448.318</v>
      </c>
      <c r="E15">
        <v>1866.8810000000001</v>
      </c>
      <c r="F15">
        <v>8.8228827508875813</v>
      </c>
      <c r="G15">
        <v>6.8447533077898379</v>
      </c>
      <c r="H15">
        <v>1.1667297493398761</v>
      </c>
      <c r="I15">
        <v>0.28899937720859659</v>
      </c>
      <c r="J15">
        <v>1148.2299877929688</v>
      </c>
      <c r="K15">
        <v>0.79280240098719257</v>
      </c>
      <c r="L15">
        <v>-257.30799999999999</v>
      </c>
      <c r="M15">
        <v>-0.17765987856258086</v>
      </c>
      <c r="N15">
        <v>545.947</v>
      </c>
      <c r="O15">
        <v>-319.97310999999996</v>
      </c>
      <c r="P15">
        <v>-0.22092738611271831</v>
      </c>
    </row>
    <row r="16" spans="1:16" x14ac:dyDescent="0.2">
      <c r="A16" t="s">
        <v>612</v>
      </c>
      <c r="B16">
        <v>988.6848</v>
      </c>
      <c r="C16">
        <v>73.400999999999996</v>
      </c>
      <c r="D16">
        <v>158.81090657152305</v>
      </c>
      <c r="E16">
        <v>172.51400000000001</v>
      </c>
      <c r="F16">
        <v>6.2255472331475534</v>
      </c>
      <c r="G16">
        <v>5.7310409589946323</v>
      </c>
      <c r="H16">
        <v>1.1636068523797094</v>
      </c>
      <c r="I16">
        <v>8.6285594133961752E-2</v>
      </c>
      <c r="J16">
        <v>122.86743957034734</v>
      </c>
      <c r="K16">
        <v>0.77367129388567535</v>
      </c>
      <c r="L16">
        <v>34.725540664341814</v>
      </c>
      <c r="M16">
        <v>0.21865967151760202</v>
      </c>
      <c r="N16">
        <v>22.753</v>
      </c>
      <c r="O16">
        <v>16.478658119925523</v>
      </c>
      <c r="P16">
        <v>0.10376276085612605</v>
      </c>
    </row>
    <row r="17" spans="1:16" x14ac:dyDescent="0.2">
      <c r="A17" t="s">
        <v>597</v>
      </c>
      <c r="B17">
        <v>498.00700000000001</v>
      </c>
      <c r="C17">
        <v>21.366</v>
      </c>
      <c r="D17">
        <v>45.913776851069429</v>
      </c>
      <c r="E17">
        <v>104.675</v>
      </c>
      <c r="F17">
        <v>10.846570118058157</v>
      </c>
      <c r="G17">
        <v>4.7576498686410318</v>
      </c>
      <c r="H17">
        <v>1.148917759574531</v>
      </c>
      <c r="I17">
        <v>1.2798168039962041</v>
      </c>
      <c r="J17">
        <v>32.362014866124603</v>
      </c>
      <c r="K17">
        <v>0.70484323193662135</v>
      </c>
      <c r="L17">
        <v>12.963605572070199</v>
      </c>
      <c r="M17">
        <v>0.28234674777725782</v>
      </c>
      <c r="N17">
        <v>24.123999999999999</v>
      </c>
      <c r="O17">
        <v>5.1382688847482347</v>
      </c>
      <c r="P17">
        <v>0.111911265793168</v>
      </c>
    </row>
    <row r="18" spans="1:16" x14ac:dyDescent="0.2">
      <c r="A18" t="s">
        <v>137</v>
      </c>
      <c r="B18">
        <v>4436.8191999999999</v>
      </c>
      <c r="C18">
        <v>181.309</v>
      </c>
      <c r="D18">
        <v>383.18099999999998</v>
      </c>
      <c r="E18">
        <v>489.97500000000002</v>
      </c>
      <c r="F18">
        <v>11.578912315589761</v>
      </c>
      <c r="G18">
        <v>9.0551950609724976</v>
      </c>
      <c r="H18">
        <v>1.1134141162325091</v>
      </c>
      <c r="I18">
        <v>0.27870379794405276</v>
      </c>
      <c r="J18">
        <v>318.38299798583984</v>
      </c>
      <c r="K18">
        <v>0.83089453283393444</v>
      </c>
      <c r="L18">
        <v>-2.2589999999999986</v>
      </c>
      <c r="M18">
        <v>-5.8953862534937762E-3</v>
      </c>
      <c r="N18">
        <v>132.47900000000001</v>
      </c>
      <c r="O18">
        <v>-33.405200000000001</v>
      </c>
      <c r="P18">
        <v>-8.7178644035064382E-2</v>
      </c>
    </row>
    <row r="19" spans="1:16" x14ac:dyDescent="0.2">
      <c r="A19" t="s">
        <v>33</v>
      </c>
      <c r="B19">
        <v>25456.8783</v>
      </c>
      <c r="C19">
        <v>1156.69</v>
      </c>
      <c r="D19">
        <v>2428.232</v>
      </c>
      <c r="E19">
        <v>3119.846</v>
      </c>
      <c r="F19">
        <v>10.483709258423414</v>
      </c>
      <c r="G19">
        <v>8.1596586177651069</v>
      </c>
      <c r="H19">
        <v>1.0992936741910104</v>
      </c>
      <c r="I19">
        <v>0.28482204336323713</v>
      </c>
      <c r="J19">
        <v>1715.5240270996094</v>
      </c>
      <c r="K19">
        <v>0.70649098895806062</v>
      </c>
      <c r="L19">
        <v>-107.83699999999999</v>
      </c>
      <c r="M19">
        <v>-4.4409677493748537E-2</v>
      </c>
      <c r="N19">
        <v>1134.355</v>
      </c>
      <c r="O19">
        <v>-334.86065359999998</v>
      </c>
      <c r="P19">
        <v>-0.137903072523548</v>
      </c>
    </row>
    <row r="20" spans="1:16" x14ac:dyDescent="0.2">
      <c r="A20" t="s">
        <v>51</v>
      </c>
      <c r="B20">
        <v>15390.5118</v>
      </c>
      <c r="C20">
        <v>457.05799999999999</v>
      </c>
      <c r="D20">
        <v>947.42399999999998</v>
      </c>
      <c r="E20">
        <v>1254.6490000000001</v>
      </c>
      <c r="F20">
        <v>16.244587217549903</v>
      </c>
      <c r="G20">
        <v>12.266786806509231</v>
      </c>
      <c r="H20">
        <v>1.0728747773805511</v>
      </c>
      <c r="I20">
        <v>0.32427403147904221</v>
      </c>
      <c r="J20">
        <v>769.6390129394531</v>
      </c>
      <c r="K20">
        <v>0.81234907806795387</v>
      </c>
      <c r="L20">
        <v>43.517999999999994</v>
      </c>
      <c r="M20">
        <v>4.5932971932313299E-2</v>
      </c>
      <c r="N20">
        <v>1410.3389999999999</v>
      </c>
      <c r="O20">
        <v>-301.38798999999995</v>
      </c>
      <c r="P20">
        <v>-0.31811310458675307</v>
      </c>
    </row>
    <row r="21" spans="1:16" x14ac:dyDescent="0.2">
      <c r="A21" t="s">
        <v>600</v>
      </c>
      <c r="B21">
        <v>1670.4738</v>
      </c>
      <c r="C21">
        <v>254.18799999999999</v>
      </c>
      <c r="D21">
        <v>505.65300000000002</v>
      </c>
      <c r="E21">
        <v>700.99199999999996</v>
      </c>
      <c r="F21">
        <v>3.3035971308387371</v>
      </c>
      <c r="G21">
        <v>2.3830140714872639</v>
      </c>
      <c r="H21">
        <v>0.98928745652823913</v>
      </c>
      <c r="I21">
        <v>0.38631037490136499</v>
      </c>
      <c r="J21">
        <v>233.04500000000002</v>
      </c>
      <c r="K21">
        <v>0.46087929864946914</v>
      </c>
      <c r="L21">
        <v>12.508000000000003</v>
      </c>
      <c r="M21">
        <v>2.4736331041247658E-2</v>
      </c>
      <c r="N21">
        <v>238.43299999999999</v>
      </c>
      <c r="O21">
        <v>-25.145819318402001</v>
      </c>
      <c r="P21">
        <v>-4.9729398062311504E-2</v>
      </c>
    </row>
    <row r="22" spans="1:16" x14ac:dyDescent="0.2">
      <c r="A22" t="s">
        <v>223</v>
      </c>
      <c r="B22">
        <v>1905.4384</v>
      </c>
      <c r="C22">
        <v>141.84100000000001</v>
      </c>
      <c r="D22">
        <v>282.14300000000003</v>
      </c>
      <c r="E22">
        <v>349.18299999999999</v>
      </c>
      <c r="F22">
        <v>6.7534491374941066</v>
      </c>
      <c r="G22">
        <v>5.4568475555797393</v>
      </c>
      <c r="H22">
        <v>0.98914982268878537</v>
      </c>
      <c r="I22">
        <v>0.23761000627341433</v>
      </c>
      <c r="J22">
        <v>206.71999600219726</v>
      </c>
      <c r="K22">
        <v>0.73267809586697963</v>
      </c>
      <c r="L22">
        <v>17.619</v>
      </c>
      <c r="M22">
        <v>6.2447056988831899E-2</v>
      </c>
      <c r="N22">
        <v>78.338999999999999</v>
      </c>
      <c r="O22">
        <v>-11.200076829023001</v>
      </c>
      <c r="P22">
        <v>-3.9696454737572787E-2</v>
      </c>
    </row>
    <row r="23" spans="1:16" x14ac:dyDescent="0.2">
      <c r="A23" t="s">
        <v>327</v>
      </c>
      <c r="B23">
        <v>2001.8032000000001</v>
      </c>
      <c r="C23">
        <v>789.92600000000004</v>
      </c>
      <c r="D23">
        <v>1528.231</v>
      </c>
      <c r="E23">
        <v>1645</v>
      </c>
      <c r="F23">
        <v>1.3098826028264052</v>
      </c>
      <c r="G23">
        <v>1.2169016413373861</v>
      </c>
      <c r="H23">
        <v>0.93465084071166149</v>
      </c>
      <c r="I23">
        <v>7.6407951415721875E-2</v>
      </c>
      <c r="J23">
        <v>375.46800091552734</v>
      </c>
      <c r="K23">
        <v>0.24568798886786575</v>
      </c>
      <c r="L23">
        <v>275.851</v>
      </c>
      <c r="M23">
        <v>0.18050347100667372</v>
      </c>
      <c r="N23">
        <v>39</v>
      </c>
      <c r="O23">
        <v>-52.607639999999996</v>
      </c>
      <c r="P23">
        <v>-3.4423879635997433E-2</v>
      </c>
    </row>
    <row r="24" spans="1:16" x14ac:dyDescent="0.2">
      <c r="A24" t="s">
        <v>189</v>
      </c>
      <c r="B24">
        <v>2363.1176</v>
      </c>
      <c r="C24">
        <v>85.79</v>
      </c>
      <c r="D24">
        <v>162.35999999999999</v>
      </c>
      <c r="E24">
        <v>224.28800000000001</v>
      </c>
      <c r="F24">
        <v>14.554801675289482</v>
      </c>
      <c r="G24">
        <v>10.536085746896847</v>
      </c>
      <c r="H24">
        <v>0.89252826669774998</v>
      </c>
      <c r="I24">
        <v>0.3814239960581427</v>
      </c>
      <c r="J24">
        <v>140.40400271606444</v>
      </c>
      <c r="K24">
        <v>0.86476966442513215</v>
      </c>
      <c r="L24">
        <v>-13.546000000000001</v>
      </c>
      <c r="M24">
        <v>-8.3431879773343209E-2</v>
      </c>
      <c r="N24">
        <v>119.71599999999999</v>
      </c>
      <c r="O24">
        <v>-19.666589999999999</v>
      </c>
      <c r="P24">
        <v>-0.12112952697708795</v>
      </c>
    </row>
    <row r="25" spans="1:16" x14ac:dyDescent="0.2">
      <c r="A25" t="s">
        <v>353</v>
      </c>
      <c r="B25">
        <v>388.22890000000001</v>
      </c>
      <c r="C25">
        <v>15.507</v>
      </c>
      <c r="D25">
        <v>29.199000000000002</v>
      </c>
      <c r="E25">
        <v>39.658999999999999</v>
      </c>
      <c r="F25">
        <v>13.295965615260796</v>
      </c>
      <c r="G25">
        <v>9.7891752187397572</v>
      </c>
      <c r="H25">
        <v>0.88295608434900386</v>
      </c>
      <c r="I25">
        <v>0.35823144628240677</v>
      </c>
      <c r="J25">
        <v>15.933999778747559</v>
      </c>
      <c r="K25">
        <v>0.54570361240958798</v>
      </c>
      <c r="L25">
        <v>0.91400000000000003</v>
      </c>
      <c r="M25">
        <v>3.130244186444741E-2</v>
      </c>
      <c r="N25">
        <v>19.567</v>
      </c>
      <c r="O25">
        <v>-4.5880099999999997</v>
      </c>
      <c r="P25">
        <v>-0.15712901126750914</v>
      </c>
    </row>
    <row r="26" spans="1:16" x14ac:dyDescent="0.2">
      <c r="A26" t="s">
        <v>588</v>
      </c>
      <c r="B26">
        <v>11492.5267</v>
      </c>
      <c r="C26">
        <v>409.221</v>
      </c>
      <c r="D26">
        <v>766.22400000000005</v>
      </c>
      <c r="E26">
        <v>912.07100000000003</v>
      </c>
      <c r="F26">
        <v>14.998912459019817</v>
      </c>
      <c r="G26">
        <v>12.600473756977253</v>
      </c>
      <c r="H26">
        <v>0.87239657788823166</v>
      </c>
      <c r="I26">
        <v>0.19034512100899992</v>
      </c>
      <c r="J26">
        <v>534.71100567626956</v>
      </c>
      <c r="K26">
        <v>0.69785207155645024</v>
      </c>
      <c r="L26">
        <v>188.203</v>
      </c>
      <c r="M26">
        <v>0.24562399507193719</v>
      </c>
      <c r="N26">
        <v>320.18299999999999</v>
      </c>
      <c r="O26">
        <v>162.85600955123999</v>
      </c>
      <c r="P26">
        <v>0.21254360285143767</v>
      </c>
    </row>
    <row r="27" spans="1:16" x14ac:dyDescent="0.2">
      <c r="A27" t="s">
        <v>185</v>
      </c>
      <c r="B27">
        <v>2584.7898</v>
      </c>
      <c r="C27">
        <v>302.70400000000001</v>
      </c>
      <c r="D27">
        <v>554.70800000000008</v>
      </c>
      <c r="E27">
        <v>668.68299999999999</v>
      </c>
      <c r="F27">
        <v>4.6597305248887695</v>
      </c>
      <c r="G27">
        <v>3.8654935148642928</v>
      </c>
      <c r="H27">
        <v>0.83250964638723002</v>
      </c>
      <c r="I27">
        <v>0.20546846268667451</v>
      </c>
      <c r="J27">
        <v>403.28800524902346</v>
      </c>
      <c r="K27">
        <v>0.72702756269789404</v>
      </c>
      <c r="L27">
        <v>-104.10600000000001</v>
      </c>
      <c r="M27">
        <v>-0.18767712021459937</v>
      </c>
      <c r="N27">
        <v>208.07599999999999</v>
      </c>
      <c r="O27">
        <v>-150.31100000000001</v>
      </c>
      <c r="P27">
        <v>-0.27097319670889908</v>
      </c>
    </row>
    <row r="28" spans="1:16" x14ac:dyDescent="0.2">
      <c r="A28" t="s">
        <v>227</v>
      </c>
      <c r="B28">
        <v>2202.7654000000002</v>
      </c>
      <c r="C28">
        <v>92.183999999999997</v>
      </c>
      <c r="D28">
        <v>167.92599999999999</v>
      </c>
      <c r="E28">
        <v>255.9</v>
      </c>
      <c r="F28">
        <v>13.117476745709421</v>
      </c>
      <c r="G28">
        <v>8.6079148104728418</v>
      </c>
      <c r="H28">
        <v>0.82163933003558087</v>
      </c>
      <c r="I28">
        <v>0.52388552100329933</v>
      </c>
      <c r="J28">
        <v>88.019999999999982</v>
      </c>
      <c r="K28">
        <v>0.52415945118683227</v>
      </c>
      <c r="L28">
        <v>-39.728000000000002</v>
      </c>
      <c r="M28">
        <v>-0.23658039850886703</v>
      </c>
      <c r="N28">
        <v>48.207999999999998</v>
      </c>
      <c r="O28">
        <v>-47.155000000000001</v>
      </c>
      <c r="P28">
        <v>-0.28080821314150284</v>
      </c>
    </row>
    <row r="29" spans="1:16" x14ac:dyDescent="0.2">
      <c r="A29" t="s">
        <v>401</v>
      </c>
      <c r="B29">
        <v>796.41120000000001</v>
      </c>
      <c r="C29">
        <v>124.65427</v>
      </c>
      <c r="D29">
        <v>226.47071799999998</v>
      </c>
      <c r="E29">
        <v>566</v>
      </c>
      <c r="F29">
        <v>3.5166188681399424</v>
      </c>
      <c r="G29">
        <v>1.4070869257950531</v>
      </c>
      <c r="H29">
        <v>0.81679069637967461</v>
      </c>
      <c r="I29">
        <v>1.4992193472005511</v>
      </c>
      <c r="J29">
        <v>104.50188414001465</v>
      </c>
      <c r="K29">
        <v>0.46143662661066259</v>
      </c>
      <c r="L29">
        <v>45.785221999999997</v>
      </c>
      <c r="M29">
        <v>0.20216839688740687</v>
      </c>
      <c r="N29">
        <v>2.5303879999999999</v>
      </c>
      <c r="O29">
        <v>-20.271996980000001</v>
      </c>
      <c r="P29">
        <v>-8.9512662648069161E-2</v>
      </c>
    </row>
    <row r="30" spans="1:16" x14ac:dyDescent="0.2">
      <c r="A30" t="s">
        <v>139</v>
      </c>
      <c r="B30">
        <v>4485.9957999999997</v>
      </c>
      <c r="C30">
        <v>280.87400000000002</v>
      </c>
      <c r="D30">
        <v>509.43599999999998</v>
      </c>
      <c r="E30">
        <v>735.4</v>
      </c>
      <c r="F30">
        <v>8.8058083841738704</v>
      </c>
      <c r="G30">
        <v>6.1000758770737011</v>
      </c>
      <c r="H30">
        <v>0.81375278594672318</v>
      </c>
      <c r="I30">
        <v>0.44355718873420802</v>
      </c>
      <c r="J30">
        <v>281.04199999999997</v>
      </c>
      <c r="K30">
        <v>0.55167283034571557</v>
      </c>
      <c r="L30">
        <v>-146.059</v>
      </c>
      <c r="M30">
        <v>-0.2867072605783651</v>
      </c>
      <c r="N30">
        <v>73.012</v>
      </c>
      <c r="O30">
        <v>-163.51499999999999</v>
      </c>
      <c r="P30">
        <v>-0.32097260499846886</v>
      </c>
    </row>
    <row r="31" spans="1:16" x14ac:dyDescent="0.2">
      <c r="A31" t="s">
        <v>603</v>
      </c>
      <c r="B31">
        <v>1498.6233999999999</v>
      </c>
      <c r="C31">
        <v>94.061999999999998</v>
      </c>
      <c r="D31">
        <v>169.74299999999999</v>
      </c>
      <c r="E31">
        <v>217.958</v>
      </c>
      <c r="F31">
        <v>8.8287788008931152</v>
      </c>
      <c r="G31">
        <v>6.8757439506693947</v>
      </c>
      <c r="H31">
        <v>0.8045863366715571</v>
      </c>
      <c r="I31">
        <v>0.2840470593780009</v>
      </c>
      <c r="J31">
        <v>52.637000358581545</v>
      </c>
      <c r="K31">
        <v>0.3100982094023409</v>
      </c>
      <c r="L31">
        <v>17.134</v>
      </c>
      <c r="M31">
        <v>0.10094083408446888</v>
      </c>
      <c r="N31">
        <v>10.43</v>
      </c>
      <c r="O31">
        <v>8.8915167711629994</v>
      </c>
      <c r="P31">
        <v>5.2382229436047437E-2</v>
      </c>
    </row>
    <row r="32" spans="1:16" x14ac:dyDescent="0.2">
      <c r="A32" t="s">
        <v>559</v>
      </c>
      <c r="B32">
        <v>6079.7704000000003</v>
      </c>
      <c r="C32">
        <v>277.33499999999998</v>
      </c>
      <c r="D32">
        <v>492.64800000000002</v>
      </c>
      <c r="E32">
        <v>667.76099999999997</v>
      </c>
      <c r="F32">
        <v>12.341002906740716</v>
      </c>
      <c r="G32">
        <v>9.104710218176864</v>
      </c>
      <c r="H32">
        <v>0.7763643247336256</v>
      </c>
      <c r="I32">
        <v>0.35545257465776769</v>
      </c>
      <c r="J32">
        <v>261.8499954833984</v>
      </c>
      <c r="K32">
        <v>0.5315153933100274</v>
      </c>
      <c r="L32">
        <v>-68.85692307692301</v>
      </c>
      <c r="M32">
        <v>-0.13976900967206404</v>
      </c>
      <c r="N32">
        <v>115.286</v>
      </c>
      <c r="O32">
        <v>-90.092929999999996</v>
      </c>
      <c r="P32">
        <v>-0.1828748518211786</v>
      </c>
    </row>
    <row r="33" spans="1:16" x14ac:dyDescent="0.2">
      <c r="A33" t="s">
        <v>11</v>
      </c>
      <c r="B33">
        <v>103894.19990000001</v>
      </c>
      <c r="C33">
        <v>6667.2160000000003</v>
      </c>
      <c r="D33">
        <v>11817.844000000001</v>
      </c>
      <c r="E33">
        <v>14404.651</v>
      </c>
      <c r="F33">
        <v>8.7912989797462213</v>
      </c>
      <c r="G33">
        <v>7.2125454410523382</v>
      </c>
      <c r="H33">
        <v>0.77253054348321704</v>
      </c>
      <c r="I33">
        <v>0.2188899261151187</v>
      </c>
      <c r="J33">
        <v>8749.5439453125</v>
      </c>
      <c r="K33">
        <v>0.74036718925317502</v>
      </c>
      <c r="L33">
        <v>1308.0920000000001</v>
      </c>
      <c r="M33">
        <v>0.11068787166254691</v>
      </c>
      <c r="N33">
        <v>2543</v>
      </c>
      <c r="O33">
        <v>482.47887560000004</v>
      </c>
      <c r="P33">
        <v>4.0826302631850615E-2</v>
      </c>
    </row>
    <row r="34" spans="1:16" x14ac:dyDescent="0.2">
      <c r="A34" t="s">
        <v>563</v>
      </c>
      <c r="B34">
        <v>4154.2816999999995</v>
      </c>
      <c r="C34">
        <v>290.10300000000001</v>
      </c>
      <c r="D34">
        <v>513.48300000000006</v>
      </c>
      <c r="E34">
        <v>674.78300000000002</v>
      </c>
      <c r="F34">
        <v>8.0903977346864426</v>
      </c>
      <c r="G34">
        <v>6.1564705986961723</v>
      </c>
      <c r="H34">
        <v>0.77000237846557962</v>
      </c>
      <c r="I34">
        <v>0.31412919220305247</v>
      </c>
      <c r="J34">
        <v>418.44500848388674</v>
      </c>
      <c r="K34">
        <v>0.81491501857683057</v>
      </c>
      <c r="L34">
        <v>-27.757000000000005</v>
      </c>
      <c r="M34">
        <v>-5.4056317346436011E-2</v>
      </c>
      <c r="N34">
        <v>85.22999999999999</v>
      </c>
      <c r="O34">
        <v>-41.129518560316001</v>
      </c>
      <c r="P34">
        <v>-8.0099085189414249E-2</v>
      </c>
    </row>
    <row r="35" spans="1:16" x14ac:dyDescent="0.2">
      <c r="A35" t="s">
        <v>161</v>
      </c>
      <c r="B35">
        <v>3162.8121999999998</v>
      </c>
      <c r="C35">
        <v>205.864</v>
      </c>
      <c r="D35">
        <v>346.63900000000001</v>
      </c>
      <c r="E35">
        <v>473.83300000000003</v>
      </c>
      <c r="F35">
        <v>9.1242249141037206</v>
      </c>
      <c r="G35">
        <v>6.6749513014078792</v>
      </c>
      <c r="H35">
        <v>0.68382524385030896</v>
      </c>
      <c r="I35">
        <v>0.3669350534706135</v>
      </c>
      <c r="J35">
        <v>287.72500283813474</v>
      </c>
      <c r="K35">
        <v>0.83004221347896434</v>
      </c>
      <c r="L35">
        <v>-26.742999999999999</v>
      </c>
      <c r="M35">
        <v>-7.7149426348448957E-2</v>
      </c>
      <c r="N35">
        <v>223.36999999999998</v>
      </c>
      <c r="O35">
        <v>-47.448000000000008</v>
      </c>
      <c r="P35">
        <v>-0.13688015485851276</v>
      </c>
    </row>
    <row r="36" spans="1:16" x14ac:dyDescent="0.2">
      <c r="A36" t="s">
        <v>267</v>
      </c>
      <c r="B36">
        <v>1375.7365</v>
      </c>
      <c r="C36">
        <v>184.46100000000001</v>
      </c>
      <c r="D36">
        <v>309.411</v>
      </c>
      <c r="E36">
        <v>376.04599999999999</v>
      </c>
      <c r="F36">
        <v>4.4463076619771114</v>
      </c>
      <c r="G36">
        <v>3.6584260968073057</v>
      </c>
      <c r="H36">
        <v>0.67737895815375593</v>
      </c>
      <c r="I36">
        <v>0.21536079842022415</v>
      </c>
      <c r="J36">
        <v>220.4609998474121</v>
      </c>
      <c r="K36">
        <v>0.71251830040758768</v>
      </c>
      <c r="L36">
        <v>-163.124</v>
      </c>
      <c r="M36">
        <v>-0.52720814709237873</v>
      </c>
      <c r="N36">
        <v>62.738999999999997</v>
      </c>
      <c r="O36">
        <v>-176.84800000000001</v>
      </c>
      <c r="P36">
        <v>-0.57156338979545007</v>
      </c>
    </row>
    <row r="37" spans="1:16" x14ac:dyDescent="0.2">
      <c r="A37" t="s">
        <v>305</v>
      </c>
      <c r="B37">
        <v>1011.2338999999999</v>
      </c>
      <c r="C37">
        <v>110.88</v>
      </c>
      <c r="D37">
        <v>184.83700000000002</v>
      </c>
      <c r="E37">
        <v>231.28900000000002</v>
      </c>
      <c r="F37">
        <v>5.4709495393238363</v>
      </c>
      <c r="G37">
        <v>4.3721659914652227</v>
      </c>
      <c r="H37">
        <v>0.66700036075036095</v>
      </c>
      <c r="I37">
        <v>0.25131331930295331</v>
      </c>
      <c r="J37">
        <v>130.4860018157959</v>
      </c>
      <c r="K37">
        <v>0.70595174026734853</v>
      </c>
      <c r="L37">
        <v>-40.238</v>
      </c>
      <c r="M37">
        <v>-0.21769450921622832</v>
      </c>
      <c r="N37">
        <v>35.692999999999998</v>
      </c>
      <c r="O37">
        <v>-49.079000000000001</v>
      </c>
      <c r="P37">
        <v>-0.2655258416875409</v>
      </c>
    </row>
    <row r="38" spans="1:16" x14ac:dyDescent="0.2">
      <c r="A38" t="s">
        <v>245</v>
      </c>
      <c r="B38">
        <v>1708.3059000000001</v>
      </c>
      <c r="C38">
        <v>105.98399999999999</v>
      </c>
      <c r="D38">
        <v>176.48500000000001</v>
      </c>
      <c r="E38">
        <v>232.17500000000001</v>
      </c>
      <c r="F38">
        <v>9.679609598549451</v>
      </c>
      <c r="G38">
        <v>7.357837407128244</v>
      </c>
      <c r="H38">
        <v>0.66520418176328522</v>
      </c>
      <c r="I38">
        <v>0.31555089667677128</v>
      </c>
      <c r="J38">
        <v>135.33699801635743</v>
      </c>
      <c r="K38">
        <v>0.76684702958527584</v>
      </c>
      <c r="L38">
        <v>-30.723999999999997</v>
      </c>
      <c r="M38">
        <v>-0.17408844944329543</v>
      </c>
      <c r="N38">
        <v>87.024000000000001</v>
      </c>
      <c r="O38">
        <v>-34.695</v>
      </c>
      <c r="P38">
        <v>-0.19658894523613904</v>
      </c>
    </row>
    <row r="39" spans="1:16" x14ac:dyDescent="0.2">
      <c r="A39" t="s">
        <v>604</v>
      </c>
      <c r="B39">
        <v>751.91750000000002</v>
      </c>
      <c r="C39">
        <v>200.58099999999999</v>
      </c>
      <c r="D39">
        <v>332.99599999999998</v>
      </c>
      <c r="E39">
        <v>392.42</v>
      </c>
      <c r="F39">
        <v>2.2580376340856949</v>
      </c>
      <c r="G39">
        <v>1.9161039192701697</v>
      </c>
      <c r="H39">
        <v>0.66015724320847935</v>
      </c>
      <c r="I39">
        <v>0.17845259402515357</v>
      </c>
      <c r="J39">
        <v>180.10199858093262</v>
      </c>
      <c r="K39">
        <v>0.54085333932219193</v>
      </c>
      <c r="L39">
        <v>-42.642000000000003</v>
      </c>
      <c r="M39">
        <v>-0.1280555922593665</v>
      </c>
      <c r="N39">
        <v>63.763999999999996</v>
      </c>
      <c r="O39">
        <v>-26.043469999999999</v>
      </c>
      <c r="P39">
        <v>-7.820955807276965E-2</v>
      </c>
    </row>
    <row r="40" spans="1:16" x14ac:dyDescent="0.2">
      <c r="A40" t="s">
        <v>207</v>
      </c>
      <c r="B40">
        <v>2165.1192999999998</v>
      </c>
      <c r="C40">
        <v>123.123</v>
      </c>
      <c r="D40">
        <v>202.84200000000001</v>
      </c>
      <c r="E40">
        <v>246.78800000000001</v>
      </c>
      <c r="F40">
        <v>10.673920095443743</v>
      </c>
      <c r="G40">
        <v>8.7731952120848646</v>
      </c>
      <c r="H40">
        <v>0.64747447674276948</v>
      </c>
      <c r="I40">
        <v>0.21665138383569471</v>
      </c>
      <c r="J40">
        <v>157.49099987792968</v>
      </c>
      <c r="K40">
        <v>0.77642204217040689</v>
      </c>
      <c r="L40">
        <v>-13.472000000000001</v>
      </c>
      <c r="M40">
        <v>-6.6416225436546669E-2</v>
      </c>
      <c r="N40">
        <v>31.103999999999999</v>
      </c>
      <c r="O40">
        <v>-33.920332731689001</v>
      </c>
      <c r="P40">
        <v>-0.16722539085440391</v>
      </c>
    </row>
    <row r="41" spans="1:16" x14ac:dyDescent="0.2">
      <c r="A41" t="s">
        <v>167</v>
      </c>
      <c r="B41">
        <v>3202.2395999999999</v>
      </c>
      <c r="C41">
        <v>230.70099999999999</v>
      </c>
      <c r="D41">
        <v>377.52699999999999</v>
      </c>
      <c r="E41">
        <v>452.61400000000003</v>
      </c>
      <c r="F41">
        <v>8.482147237151251</v>
      </c>
      <c r="G41">
        <v>7.0749901682228113</v>
      </c>
      <c r="H41">
        <v>0.63643417237029742</v>
      </c>
      <c r="I41">
        <v>0.19889173489578238</v>
      </c>
      <c r="J41">
        <v>228.32999908447266</v>
      </c>
      <c r="K41">
        <v>0.60480442215913743</v>
      </c>
      <c r="L41">
        <v>46.511999999999993</v>
      </c>
      <c r="M41">
        <v>0.12320178424324617</v>
      </c>
      <c r="N41">
        <v>137.19299999999998</v>
      </c>
      <c r="O41">
        <v>3.8283299999999998</v>
      </c>
      <c r="P41">
        <v>1.0140546239076941E-2</v>
      </c>
    </row>
    <row r="42" spans="1:16" x14ac:dyDescent="0.2">
      <c r="A42" t="s">
        <v>127</v>
      </c>
      <c r="B42">
        <v>5177.2318999999998</v>
      </c>
      <c r="C42">
        <v>375.49599999999998</v>
      </c>
      <c r="D42">
        <v>614.04600000000005</v>
      </c>
      <c r="E42">
        <v>792.19399999999996</v>
      </c>
      <c r="F42">
        <v>8.4313421144344218</v>
      </c>
      <c r="G42">
        <v>6.5353081442171996</v>
      </c>
      <c r="H42">
        <v>0.63529305238937317</v>
      </c>
      <c r="I42">
        <v>0.29012158698208257</v>
      </c>
      <c r="J42">
        <v>439.7080033569336</v>
      </c>
      <c r="K42">
        <v>0.71608316536046746</v>
      </c>
      <c r="L42">
        <v>-23.048000000000005</v>
      </c>
      <c r="M42">
        <v>-3.7534647241411888E-2</v>
      </c>
      <c r="N42">
        <v>286.072</v>
      </c>
      <c r="O42">
        <v>-78.538188416806008</v>
      </c>
      <c r="P42">
        <v>-0.12790277669230971</v>
      </c>
    </row>
    <row r="43" spans="1:16" x14ac:dyDescent="0.2">
      <c r="A43" t="s">
        <v>129</v>
      </c>
      <c r="B43">
        <v>4738.1673000000001</v>
      </c>
      <c r="C43">
        <v>270.96699999999998</v>
      </c>
      <c r="D43">
        <v>441.399</v>
      </c>
      <c r="E43">
        <v>558.06700000000001</v>
      </c>
      <c r="F43">
        <v>10.734431432785303</v>
      </c>
      <c r="G43">
        <v>8.490319800310715</v>
      </c>
      <c r="H43">
        <v>0.62897696029405803</v>
      </c>
      <c r="I43">
        <v>0.26431414661111607</v>
      </c>
      <c r="J43">
        <v>354.10500488281252</v>
      </c>
      <c r="K43">
        <v>0.80223336455862504</v>
      </c>
      <c r="L43">
        <v>-24.503810126582</v>
      </c>
      <c r="M43">
        <v>-5.5513968374604379E-2</v>
      </c>
      <c r="N43">
        <v>87.679999999999993</v>
      </c>
      <c r="O43">
        <v>-55.844099999999997</v>
      </c>
      <c r="P43">
        <v>-0.1265161452563327</v>
      </c>
    </row>
    <row r="44" spans="1:16" x14ac:dyDescent="0.2">
      <c r="A44" t="s">
        <v>23</v>
      </c>
      <c r="B44">
        <v>30069.100900000001</v>
      </c>
      <c r="C44">
        <v>1390.5129999999999</v>
      </c>
      <c r="D44">
        <v>2264.8180000000002</v>
      </c>
      <c r="E44">
        <v>2957.73</v>
      </c>
      <c r="F44">
        <v>13.27660805415711</v>
      </c>
      <c r="G44">
        <v>10.166276468778422</v>
      </c>
      <c r="H44">
        <v>0.62876434812188042</v>
      </c>
      <c r="I44">
        <v>0.30594599654365151</v>
      </c>
      <c r="J44">
        <v>1706.5400173339845</v>
      </c>
      <c r="K44">
        <v>0.75349984737580866</v>
      </c>
      <c r="L44">
        <v>59.362000000000002</v>
      </c>
      <c r="M44">
        <v>2.6210494618110591E-2</v>
      </c>
      <c r="N44">
        <v>726.495</v>
      </c>
      <c r="O44">
        <v>-89.498374022804001</v>
      </c>
      <c r="P44">
        <v>-3.9516806217013457E-2</v>
      </c>
    </row>
    <row r="45" spans="1:16" x14ac:dyDescent="0.2">
      <c r="A45" t="s">
        <v>113</v>
      </c>
      <c r="B45">
        <v>5616.1094999999996</v>
      </c>
      <c r="C45">
        <v>311.99900000000002</v>
      </c>
      <c r="D45">
        <v>507.88499999999999</v>
      </c>
      <c r="E45">
        <v>667.96900000000005</v>
      </c>
      <c r="F45">
        <v>11.057836911899347</v>
      </c>
      <c r="G45">
        <v>8.4077397304365906</v>
      </c>
      <c r="H45">
        <v>0.62784175590306368</v>
      </c>
      <c r="I45">
        <v>0.31519733798005456</v>
      </c>
      <c r="J45">
        <v>356.01800524902342</v>
      </c>
      <c r="K45">
        <v>0.70098153174246813</v>
      </c>
      <c r="L45">
        <v>-86.045139240506003</v>
      </c>
      <c r="M45">
        <v>-0.16941854797937722</v>
      </c>
      <c r="N45">
        <v>109.36999999999999</v>
      </c>
      <c r="O45">
        <v>-115.405</v>
      </c>
      <c r="P45">
        <v>-0.22722663595105191</v>
      </c>
    </row>
    <row r="46" spans="1:16" x14ac:dyDescent="0.2">
      <c r="A46" t="s">
        <v>331</v>
      </c>
      <c r="B46">
        <v>789.97940000000006</v>
      </c>
      <c r="C46">
        <v>74.766999999999996</v>
      </c>
      <c r="D46">
        <v>121.47999999999999</v>
      </c>
      <c r="E46">
        <v>163.429</v>
      </c>
      <c r="F46">
        <v>6.5029585116891679</v>
      </c>
      <c r="G46">
        <v>4.8337773589754578</v>
      </c>
      <c r="H46">
        <v>0.62478098626399348</v>
      </c>
      <c r="I46">
        <v>0.34531610141587099</v>
      </c>
      <c r="J46">
        <v>81.369998809814447</v>
      </c>
      <c r="K46">
        <v>0.66982218315619402</v>
      </c>
      <c r="L46">
        <v>25.582999999999998</v>
      </c>
      <c r="M46">
        <v>0.210594336516299</v>
      </c>
      <c r="N46">
        <v>22.326000000000001</v>
      </c>
      <c r="O46">
        <v>-2.0403708767979998</v>
      </c>
      <c r="P46">
        <v>-1.6795940704626276E-2</v>
      </c>
    </row>
    <row r="47" spans="1:16" x14ac:dyDescent="0.2">
      <c r="A47" t="s">
        <v>259</v>
      </c>
      <c r="B47">
        <v>1346.6967</v>
      </c>
      <c r="C47">
        <v>79.929000000000002</v>
      </c>
      <c r="D47">
        <v>128.28899999999999</v>
      </c>
      <c r="E47">
        <v>156.166</v>
      </c>
      <c r="F47">
        <v>10.497366882585414</v>
      </c>
      <c r="G47">
        <v>8.6234948708425652</v>
      </c>
      <c r="H47">
        <v>0.605036970311151</v>
      </c>
      <c r="I47">
        <v>0.21729844335835513</v>
      </c>
      <c r="J47">
        <v>95.234000320434575</v>
      </c>
      <c r="K47">
        <v>0.74233956395664935</v>
      </c>
      <c r="L47">
        <v>4.5019999999999998</v>
      </c>
      <c r="M47">
        <v>3.5092642393346273E-2</v>
      </c>
      <c r="N47">
        <v>175.49599999999998</v>
      </c>
      <c r="O47">
        <v>-4.702</v>
      </c>
      <c r="P47">
        <v>-3.6651622508554908E-2</v>
      </c>
    </row>
    <row r="48" spans="1:16" x14ac:dyDescent="0.2">
      <c r="A48" t="s">
        <v>269</v>
      </c>
      <c r="B48">
        <v>1455.3159000000001</v>
      </c>
      <c r="C48">
        <v>76.846000000000004</v>
      </c>
      <c r="D48">
        <v>122.828</v>
      </c>
      <c r="E48">
        <v>163.084</v>
      </c>
      <c r="F48">
        <v>11.848405086788029</v>
      </c>
      <c r="G48">
        <v>8.9237196782026444</v>
      </c>
      <c r="H48">
        <v>0.59836556229341797</v>
      </c>
      <c r="I48">
        <v>0.32774285993421692</v>
      </c>
      <c r="J48">
        <v>85.026000061035163</v>
      </c>
      <c r="K48">
        <v>0.69223629840944378</v>
      </c>
      <c r="L48">
        <v>-24.664999999999999</v>
      </c>
      <c r="M48">
        <v>-0.20080926173185265</v>
      </c>
      <c r="N48">
        <v>102.75399999999999</v>
      </c>
      <c r="O48">
        <v>-39.188639999999999</v>
      </c>
      <c r="P48">
        <v>-0.3190529846614778</v>
      </c>
    </row>
    <row r="49" spans="1:16" x14ac:dyDescent="0.2">
      <c r="A49" t="s">
        <v>369</v>
      </c>
      <c r="B49">
        <v>305.15159999999997</v>
      </c>
      <c r="C49">
        <v>34.701000000000001</v>
      </c>
      <c r="D49">
        <v>55.426000000000002</v>
      </c>
      <c r="E49">
        <v>77.417000000000002</v>
      </c>
      <c r="F49">
        <v>5.505567784072456</v>
      </c>
      <c r="G49">
        <v>3.9416613922006789</v>
      </c>
      <c r="H49">
        <v>0.5972450361661048</v>
      </c>
      <c r="I49">
        <v>0.39676325190343875</v>
      </c>
      <c r="J49">
        <v>48.276000267028806</v>
      </c>
      <c r="K49">
        <v>0.87099917488234413</v>
      </c>
      <c r="L49">
        <v>6.4513846153849999</v>
      </c>
      <c r="M49">
        <v>0.11639635938702053</v>
      </c>
      <c r="N49">
        <v>9.0860000000000003</v>
      </c>
      <c r="O49">
        <v>2.9750000000000001</v>
      </c>
      <c r="P49">
        <v>5.3675170497600407E-2</v>
      </c>
    </row>
    <row r="50" spans="1:16" x14ac:dyDescent="0.2">
      <c r="A50" t="s">
        <v>587</v>
      </c>
      <c r="B50">
        <v>28442.0455</v>
      </c>
      <c r="C50">
        <v>1708.721</v>
      </c>
      <c r="D50">
        <v>2684.7350000000001</v>
      </c>
      <c r="E50">
        <v>1858.0640000000001</v>
      </c>
      <c r="F50">
        <v>10.593986184856233</v>
      </c>
      <c r="G50">
        <v>15.307355128779202</v>
      </c>
      <c r="H50">
        <v>0.57119564867523731</v>
      </c>
      <c r="I50">
        <v>-0.30791530635239606</v>
      </c>
      <c r="J50">
        <v>1029.4319973144532</v>
      </c>
      <c r="K50">
        <v>0.38343896038694808</v>
      </c>
      <c r="L50">
        <v>-3.8120000000000012</v>
      </c>
      <c r="M50">
        <v>-1.4198794294408949E-3</v>
      </c>
      <c r="N50">
        <v>696.47399999999993</v>
      </c>
      <c r="O50">
        <v>-55.131</v>
      </c>
      <c r="P50">
        <v>-2.0534987624476902E-2</v>
      </c>
    </row>
    <row r="51" spans="1:16" x14ac:dyDescent="0.2">
      <c r="A51" t="s">
        <v>225</v>
      </c>
      <c r="B51">
        <v>2014.3187</v>
      </c>
      <c r="C51">
        <v>105.586</v>
      </c>
      <c r="D51">
        <v>165.38</v>
      </c>
      <c r="E51">
        <v>205.85</v>
      </c>
      <c r="F51">
        <v>12.179941347200387</v>
      </c>
      <c r="G51">
        <v>9.7853713869322334</v>
      </c>
      <c r="H51">
        <v>0.56630613907146776</v>
      </c>
      <c r="I51">
        <v>0.24470915467408383</v>
      </c>
      <c r="J51">
        <v>102.44899972534179</v>
      </c>
      <c r="K51">
        <v>0.6194763558189732</v>
      </c>
      <c r="L51">
        <v>31.149000000000001</v>
      </c>
      <c r="M51">
        <v>0.18834804692223969</v>
      </c>
      <c r="N51">
        <v>16.109000000000002</v>
      </c>
      <c r="O51">
        <v>18.071339999999999</v>
      </c>
      <c r="P51">
        <v>0.1092716168823316</v>
      </c>
    </row>
    <row r="52" spans="1:16" x14ac:dyDescent="0.2">
      <c r="A52" t="s">
        <v>101</v>
      </c>
      <c r="B52">
        <v>6390.3563999999997</v>
      </c>
      <c r="C52">
        <v>424.44600000000003</v>
      </c>
      <c r="D52">
        <v>661.06700000000001</v>
      </c>
      <c r="E52">
        <v>749.7</v>
      </c>
      <c r="F52">
        <v>9.6667303011646322</v>
      </c>
      <c r="G52">
        <v>8.5238847539015605</v>
      </c>
      <c r="H52">
        <v>0.55748198828590667</v>
      </c>
      <c r="I52">
        <v>0.13407566857822273</v>
      </c>
      <c r="J52">
        <v>364.36000024414062</v>
      </c>
      <c r="K52">
        <v>0.55116954899297743</v>
      </c>
      <c r="L52">
        <v>28.280999999999985</v>
      </c>
      <c r="M52">
        <v>4.2780837645805925E-2</v>
      </c>
      <c r="N52">
        <v>437.14</v>
      </c>
      <c r="O52">
        <v>35.34196</v>
      </c>
      <c r="P52">
        <v>5.3461994018760582E-2</v>
      </c>
    </row>
    <row r="53" spans="1:16" x14ac:dyDescent="0.2">
      <c r="A53" t="s">
        <v>265</v>
      </c>
      <c r="B53">
        <v>1409.3098</v>
      </c>
      <c r="C53">
        <v>132.923</v>
      </c>
      <c r="D53">
        <v>206.78900000000002</v>
      </c>
      <c r="E53">
        <v>220.108</v>
      </c>
      <c r="F53">
        <v>6.8152068050041343</v>
      </c>
      <c r="G53">
        <v>6.4028104385120033</v>
      </c>
      <c r="H53">
        <v>0.55570518269975855</v>
      </c>
      <c r="I53">
        <v>6.44086484290749E-2</v>
      </c>
      <c r="J53">
        <v>128.89599989318847</v>
      </c>
      <c r="K53">
        <v>0.62332135603532324</v>
      </c>
      <c r="L53">
        <v>-30.616</v>
      </c>
      <c r="M53">
        <v>-0.148054296892001</v>
      </c>
      <c r="N53">
        <v>73.757999999999996</v>
      </c>
      <c r="O53">
        <v>-33.673000000000002</v>
      </c>
      <c r="P53">
        <v>-0.16283748168422885</v>
      </c>
    </row>
    <row r="54" spans="1:16" x14ac:dyDescent="0.2">
      <c r="A54" t="s">
        <v>299</v>
      </c>
      <c r="B54">
        <v>949.03020000000004</v>
      </c>
      <c r="C54">
        <v>166.84100000000001</v>
      </c>
      <c r="D54">
        <v>257.60300000000001</v>
      </c>
      <c r="E54">
        <v>302.613</v>
      </c>
      <c r="F54">
        <v>3.6840805425402654</v>
      </c>
      <c r="G54">
        <v>3.1361184086605665</v>
      </c>
      <c r="H54">
        <v>0.54400297289035671</v>
      </c>
      <c r="I54">
        <v>0.17472622601444865</v>
      </c>
      <c r="J54">
        <v>194.42499871826172</v>
      </c>
      <c r="K54">
        <v>0.75474664005567371</v>
      </c>
      <c r="L54">
        <v>-82.965000000000003</v>
      </c>
      <c r="M54">
        <v>-0.32206534861783442</v>
      </c>
      <c r="N54">
        <v>63.009</v>
      </c>
      <c r="O54">
        <v>-92.112000000000009</v>
      </c>
      <c r="P54">
        <v>-0.35757347546418328</v>
      </c>
    </row>
    <row r="55" spans="1:16" x14ac:dyDescent="0.2">
      <c r="A55" t="s">
        <v>37</v>
      </c>
      <c r="B55">
        <v>19172.8344</v>
      </c>
      <c r="C55">
        <v>2052.23</v>
      </c>
      <c r="D55">
        <v>3156.587</v>
      </c>
      <c r="E55">
        <v>3599.1820000000002</v>
      </c>
      <c r="F55">
        <v>6.0739128685507477</v>
      </c>
      <c r="G55">
        <v>5.3269977455988604</v>
      </c>
      <c r="H55">
        <v>0.5381253563197107</v>
      </c>
      <c r="I55">
        <v>0.14021314793477901</v>
      </c>
      <c r="J55">
        <v>2690.5739580078125</v>
      </c>
      <c r="K55">
        <v>0.85236806652495634</v>
      </c>
      <c r="L55">
        <v>602.68600000000004</v>
      </c>
      <c r="M55">
        <v>0.19092963381018804</v>
      </c>
      <c r="N55">
        <v>1724.1319999999998</v>
      </c>
      <c r="O55">
        <v>417.021865536652</v>
      </c>
      <c r="P55">
        <v>0.13211163371598883</v>
      </c>
    </row>
    <row r="56" spans="1:16" x14ac:dyDescent="0.2">
      <c r="A56" t="s">
        <v>115</v>
      </c>
      <c r="B56">
        <v>5688.8769000000002</v>
      </c>
      <c r="C56">
        <v>379.72399999999999</v>
      </c>
      <c r="D56">
        <v>581.47399999999993</v>
      </c>
      <c r="E56">
        <v>724.625</v>
      </c>
      <c r="F56">
        <v>9.7835447500662127</v>
      </c>
      <c r="G56">
        <v>7.8507875107814389</v>
      </c>
      <c r="H56">
        <v>0.53130694925788191</v>
      </c>
      <c r="I56">
        <v>0.24618641590165691</v>
      </c>
      <c r="J56">
        <v>443.33000299072262</v>
      </c>
      <c r="K56">
        <v>0.762424464362504</v>
      </c>
      <c r="L56">
        <v>1.981681596884</v>
      </c>
      <c r="M56">
        <v>3.4080313081651117E-3</v>
      </c>
      <c r="N56">
        <v>181.19199999999998</v>
      </c>
      <c r="O56">
        <v>-22.126999999999999</v>
      </c>
      <c r="P56">
        <v>-3.8053292150637866E-2</v>
      </c>
    </row>
    <row r="57" spans="1:16" x14ac:dyDescent="0.2">
      <c r="A57" t="s">
        <v>257</v>
      </c>
      <c r="B57">
        <v>1454.999</v>
      </c>
      <c r="C57">
        <v>139.02099999999999</v>
      </c>
      <c r="D57">
        <v>211.739</v>
      </c>
      <c r="E57">
        <v>279.25700000000001</v>
      </c>
      <c r="F57">
        <v>6.8716627546177129</v>
      </c>
      <c r="G57">
        <v>5.2102507725858258</v>
      </c>
      <c r="H57">
        <v>0.52307205386236633</v>
      </c>
      <c r="I57">
        <v>0.31887370772507673</v>
      </c>
      <c r="J57">
        <v>149.78799795532225</v>
      </c>
      <c r="K57">
        <v>0.70741808526214944</v>
      </c>
      <c r="L57">
        <v>-11.435911392404998</v>
      </c>
      <c r="M57">
        <v>-5.4009471058260393E-2</v>
      </c>
      <c r="N57">
        <v>232.01899999999998</v>
      </c>
      <c r="O57">
        <v>-22.763379999999998</v>
      </c>
      <c r="P57">
        <v>-0.10750678901855586</v>
      </c>
    </row>
    <row r="58" spans="1:16" x14ac:dyDescent="0.2">
      <c r="A58" t="s">
        <v>97</v>
      </c>
      <c r="B58">
        <v>7407.2659999999996</v>
      </c>
      <c r="C58">
        <v>329.14100000000002</v>
      </c>
      <c r="D58">
        <v>498.02800000000002</v>
      </c>
      <c r="E58">
        <v>621.76</v>
      </c>
      <c r="F58">
        <v>14.87319186873027</v>
      </c>
      <c r="G58">
        <v>11.913384585692228</v>
      </c>
      <c r="H58">
        <v>0.5131144403158524</v>
      </c>
      <c r="I58">
        <v>0.24844386259407103</v>
      </c>
      <c r="J58">
        <v>416.48600439453128</v>
      </c>
      <c r="K58">
        <v>0.83627025868933325</v>
      </c>
      <c r="L58">
        <v>148.13299999999998</v>
      </c>
      <c r="M58">
        <v>0.29743909980964922</v>
      </c>
      <c r="N58">
        <v>46.076999999999998</v>
      </c>
      <c r="O58">
        <v>104.562799698118</v>
      </c>
      <c r="P58">
        <v>0.20995365661793713</v>
      </c>
    </row>
    <row r="59" spans="1:16" x14ac:dyDescent="0.2">
      <c r="A59" t="s">
        <v>187</v>
      </c>
      <c r="B59">
        <v>2961.8824</v>
      </c>
      <c r="C59">
        <v>124.371</v>
      </c>
      <c r="D59">
        <v>187.727</v>
      </c>
      <c r="E59">
        <v>294.17700000000002</v>
      </c>
      <c r="F59">
        <v>15.777604713227186</v>
      </c>
      <c r="G59">
        <v>10.068368363264293</v>
      </c>
      <c r="H59">
        <v>0.50941135795322068</v>
      </c>
      <c r="I59">
        <v>0.56704682863946054</v>
      </c>
      <c r="J59">
        <v>162.13900000000001</v>
      </c>
      <c r="K59">
        <v>0.86369568575644429</v>
      </c>
      <c r="L59">
        <v>-36.067999999999998</v>
      </c>
      <c r="M59">
        <v>-0.19213006120590004</v>
      </c>
      <c r="N59">
        <v>27.209999999999997</v>
      </c>
      <c r="O59">
        <v>-41.021999999999998</v>
      </c>
      <c r="P59">
        <v>-0.21851944579096239</v>
      </c>
    </row>
    <row r="60" spans="1:16" x14ac:dyDescent="0.2">
      <c r="A60" t="s">
        <v>65</v>
      </c>
      <c r="B60">
        <v>14343.2274</v>
      </c>
      <c r="C60">
        <v>2897</v>
      </c>
      <c r="D60">
        <v>4329.9000000000005</v>
      </c>
      <c r="E60">
        <v>4491.5709999999999</v>
      </c>
      <c r="F60">
        <v>3.3126001524284621</v>
      </c>
      <c r="G60">
        <v>3.1933653948696348</v>
      </c>
      <c r="H60">
        <v>0.49461511908871264</v>
      </c>
      <c r="I60">
        <v>3.7338275710755209E-2</v>
      </c>
      <c r="J60">
        <v>1160.2999847412111</v>
      </c>
      <c r="K60">
        <v>0.26797385268509921</v>
      </c>
      <c r="L60">
        <v>810.10000000000014</v>
      </c>
      <c r="M60">
        <v>0.1870943901706737</v>
      </c>
      <c r="N60">
        <v>263.89999999999998</v>
      </c>
      <c r="O60">
        <v>445.40826848170406</v>
      </c>
      <c r="P60">
        <v>0.102868026624565</v>
      </c>
    </row>
    <row r="61" spans="1:16" x14ac:dyDescent="0.2">
      <c r="A61" t="s">
        <v>253</v>
      </c>
      <c r="B61">
        <v>1478.7066</v>
      </c>
      <c r="C61">
        <v>209.33600000000001</v>
      </c>
      <c r="D61">
        <v>310.62700000000001</v>
      </c>
      <c r="E61">
        <v>366.35300000000001</v>
      </c>
      <c r="F61">
        <v>4.7603930115540498</v>
      </c>
      <c r="G61">
        <v>4.0362890436273213</v>
      </c>
      <c r="H61">
        <v>0.48386803989758087</v>
      </c>
      <c r="I61">
        <v>0.17939844250499792</v>
      </c>
      <c r="J61">
        <v>234.64100097656251</v>
      </c>
      <c r="K61">
        <v>0.75537864054497039</v>
      </c>
      <c r="L61">
        <v>-13.42</v>
      </c>
      <c r="M61">
        <v>-4.3202941148065041E-2</v>
      </c>
      <c r="N61">
        <v>31.702999999999999</v>
      </c>
      <c r="O61">
        <v>42.356312490929</v>
      </c>
      <c r="P61">
        <v>0.13635747211584634</v>
      </c>
    </row>
    <row r="62" spans="1:16" x14ac:dyDescent="0.2">
      <c r="A62" t="s">
        <v>241</v>
      </c>
      <c r="B62">
        <v>1637.1987999999999</v>
      </c>
      <c r="C62">
        <v>164.45599999999999</v>
      </c>
      <c r="D62">
        <v>242.52799999999999</v>
      </c>
      <c r="E62">
        <v>285.279</v>
      </c>
      <c r="F62">
        <v>6.7505558121124158</v>
      </c>
      <c r="G62">
        <v>5.7389390736787496</v>
      </c>
      <c r="H62">
        <v>0.47472880284088148</v>
      </c>
      <c r="I62">
        <v>0.1762724303997889</v>
      </c>
      <c r="J62">
        <v>218.322998046875</v>
      </c>
      <c r="K62">
        <v>0.90019708259201003</v>
      </c>
      <c r="L62">
        <v>-20.379999999999995</v>
      </c>
      <c r="M62">
        <v>-8.4031534503232599E-2</v>
      </c>
      <c r="N62">
        <v>56.689</v>
      </c>
      <c r="O62">
        <v>-25.522279999999999</v>
      </c>
      <c r="P62">
        <v>-0.10523436469191186</v>
      </c>
    </row>
    <row r="63" spans="1:16" x14ac:dyDescent="0.2">
      <c r="A63" t="s">
        <v>613</v>
      </c>
      <c r="B63">
        <v>503.5813</v>
      </c>
      <c r="C63">
        <v>264.7</v>
      </c>
      <c r="D63">
        <v>390.21064688256155</v>
      </c>
      <c r="E63">
        <v>423.65500000000003</v>
      </c>
      <c r="F63">
        <v>1.2905370574154493</v>
      </c>
      <c r="G63">
        <v>1.1886589323860215</v>
      </c>
      <c r="H63">
        <v>0.47416186959789031</v>
      </c>
      <c r="I63">
        <v>8.5708458712311808E-2</v>
      </c>
      <c r="J63">
        <v>208.1033694655994</v>
      </c>
      <c r="K63">
        <v>0.53331033155594687</v>
      </c>
      <c r="L63">
        <v>41.081894131577933</v>
      </c>
      <c r="M63">
        <v>0.10528132550914739</v>
      </c>
      <c r="N63">
        <v>22.7</v>
      </c>
      <c r="O63">
        <v>28.187567163656766</v>
      </c>
      <c r="P63">
        <v>7.2236796686227123E-2</v>
      </c>
    </row>
    <row r="64" spans="1:16" x14ac:dyDescent="0.2">
      <c r="A64" t="s">
        <v>71</v>
      </c>
      <c r="B64">
        <v>18277.499500000002</v>
      </c>
      <c r="C64">
        <v>1481.4359999999999</v>
      </c>
      <c r="D64">
        <v>2174.3449999999998</v>
      </c>
      <c r="E64">
        <v>4355.393</v>
      </c>
      <c r="F64">
        <v>8.405979501872979</v>
      </c>
      <c r="G64">
        <v>4.1965213012924441</v>
      </c>
      <c r="H64">
        <v>0.46772793424758136</v>
      </c>
      <c r="I64">
        <v>1.003082767454107</v>
      </c>
      <c r="J64">
        <v>895.99100952148433</v>
      </c>
      <c r="K64">
        <v>0.4120739852790079</v>
      </c>
      <c r="L64">
        <v>748.41300000000001</v>
      </c>
      <c r="M64">
        <v>0.34420158714463439</v>
      </c>
      <c r="N64">
        <v>64.057000000000002</v>
      </c>
      <c r="O64">
        <v>260.79930813918901</v>
      </c>
      <c r="P64">
        <v>0.11994384890125027</v>
      </c>
    </row>
    <row r="65" spans="1:16" x14ac:dyDescent="0.2">
      <c r="A65" t="s">
        <v>9</v>
      </c>
      <c r="B65">
        <v>117401.54</v>
      </c>
      <c r="C65">
        <v>5854.43</v>
      </c>
      <c r="D65">
        <v>8571.9779999999992</v>
      </c>
      <c r="E65">
        <v>10315.565000000001</v>
      </c>
      <c r="F65">
        <v>13.695968421757499</v>
      </c>
      <c r="G65">
        <v>11.381009183694736</v>
      </c>
      <c r="H65">
        <v>0.46418660740669865</v>
      </c>
      <c r="I65">
        <v>0.20340544504430613</v>
      </c>
      <c r="J65">
        <v>7465.3680576171873</v>
      </c>
      <c r="K65">
        <v>0.8709037817895926</v>
      </c>
      <c r="L65">
        <v>3089.8100000000004</v>
      </c>
      <c r="M65">
        <v>0.36045472818525676</v>
      </c>
      <c r="N65">
        <v>2306.0720000000001</v>
      </c>
      <c r="O65">
        <v>2415.5068601730072</v>
      </c>
      <c r="P65">
        <v>0.28179107087920752</v>
      </c>
    </row>
    <row r="66" spans="1:16" x14ac:dyDescent="0.2">
      <c r="A66" t="s">
        <v>249</v>
      </c>
      <c r="B66">
        <v>1683.934</v>
      </c>
      <c r="C66">
        <v>322.85599999999999</v>
      </c>
      <c r="D66">
        <v>472.71199999999999</v>
      </c>
      <c r="E66">
        <v>564.25700000000006</v>
      </c>
      <c r="F66">
        <v>3.5622831660715191</v>
      </c>
      <c r="G66">
        <v>2.9843386967286181</v>
      </c>
      <c r="H66">
        <v>0.46415739524741678</v>
      </c>
      <c r="I66">
        <v>0.19365914129533435</v>
      </c>
      <c r="J66">
        <v>176.87399850463868</v>
      </c>
      <c r="K66">
        <v>0.37416862382304378</v>
      </c>
      <c r="L66">
        <v>71.519571428570998</v>
      </c>
      <c r="M66">
        <v>0.15129628913285678</v>
      </c>
      <c r="N66">
        <v>52.524999999999999</v>
      </c>
      <c r="O66">
        <v>48.062889999999996</v>
      </c>
      <c r="P66">
        <v>0.10167478295452621</v>
      </c>
    </row>
    <row r="67" spans="1:16" x14ac:dyDescent="0.2">
      <c r="A67" t="s">
        <v>602</v>
      </c>
      <c r="B67">
        <v>11136.6034</v>
      </c>
      <c r="C67">
        <v>1393.9970000000001</v>
      </c>
      <c r="D67">
        <v>2027.4701488016447</v>
      </c>
      <c r="E67">
        <v>2646.6010000000001</v>
      </c>
      <c r="F67">
        <v>5.4928569017809679</v>
      </c>
      <c r="G67">
        <v>4.2078890622349192</v>
      </c>
      <c r="H67">
        <v>0.45442934870135626</v>
      </c>
      <c r="I67">
        <v>0.30537113040322628</v>
      </c>
      <c r="J67">
        <v>1679.9929314420062</v>
      </c>
      <c r="K67">
        <v>0.82861537193777279</v>
      </c>
      <c r="L67">
        <v>942.26823079258611</v>
      </c>
      <c r="M67">
        <v>0.46475072954811325</v>
      </c>
      <c r="N67">
        <v>746.93899999999996</v>
      </c>
      <c r="O67">
        <v>205.69174478129477</v>
      </c>
      <c r="P67">
        <v>0.10145241590998064</v>
      </c>
    </row>
    <row r="68" spans="1:16" x14ac:dyDescent="0.2">
      <c r="A68" t="s">
        <v>339</v>
      </c>
      <c r="B68">
        <v>471.51530000000002</v>
      </c>
      <c r="C68">
        <v>106.971</v>
      </c>
      <c r="D68">
        <v>155.49099999999999</v>
      </c>
      <c r="E68">
        <v>150.45000000000002</v>
      </c>
      <c r="F68">
        <v>3.0324282434353118</v>
      </c>
      <c r="G68">
        <v>3.1340332336324357</v>
      </c>
      <c r="H68">
        <v>0.45358087706013761</v>
      </c>
      <c r="I68">
        <v>-3.2419882822799839E-2</v>
      </c>
      <c r="J68">
        <v>91.647999832153317</v>
      </c>
      <c r="K68">
        <v>0.58941031848887282</v>
      </c>
      <c r="L68">
        <v>-12.936999999999999</v>
      </c>
      <c r="M68">
        <v>-8.3200956968570536E-2</v>
      </c>
      <c r="N68">
        <v>56.704000000000001</v>
      </c>
      <c r="O68">
        <v>-30.891449999999999</v>
      </c>
      <c r="P68">
        <v>-0.19867034104867806</v>
      </c>
    </row>
    <row r="69" spans="1:16" x14ac:dyDescent="0.2">
      <c r="A69" t="s">
        <v>293</v>
      </c>
      <c r="B69">
        <v>1118.7239</v>
      </c>
      <c r="C69">
        <v>339.52199999999999</v>
      </c>
      <c r="D69">
        <v>493.41899999999998</v>
      </c>
      <c r="E69">
        <v>540.76700000000005</v>
      </c>
      <c r="F69">
        <v>2.2672898692591894</v>
      </c>
      <c r="G69">
        <v>2.0687725027599684</v>
      </c>
      <c r="H69">
        <v>0.45327548730273737</v>
      </c>
      <c r="I69">
        <v>9.5959012522825571E-2</v>
      </c>
      <c r="J69">
        <v>254.20199630737304</v>
      </c>
      <c r="K69">
        <v>0.51518485568527572</v>
      </c>
      <c r="L69">
        <v>-32.902000000000001</v>
      </c>
      <c r="M69">
        <v>-6.6681664062389165E-2</v>
      </c>
      <c r="N69">
        <v>101.539</v>
      </c>
      <c r="O69">
        <v>-51.781127336844001</v>
      </c>
      <c r="P69">
        <v>-0.10494352130105246</v>
      </c>
    </row>
    <row r="70" spans="1:16" x14ac:dyDescent="0.2">
      <c r="A70" t="s">
        <v>247</v>
      </c>
      <c r="B70">
        <v>2277.1129999999998</v>
      </c>
      <c r="C70">
        <v>298.29399999999998</v>
      </c>
      <c r="D70">
        <v>430.33699999999999</v>
      </c>
      <c r="E70">
        <v>547.33299999999997</v>
      </c>
      <c r="F70">
        <v>5.291464596351231</v>
      </c>
      <c r="G70">
        <v>4.16037951302041</v>
      </c>
      <c r="H70">
        <v>0.44266059659262341</v>
      </c>
      <c r="I70">
        <v>0.27187065021134593</v>
      </c>
      <c r="J70">
        <v>273.81199511718751</v>
      </c>
      <c r="K70">
        <v>0.63627342087059102</v>
      </c>
      <c r="L70">
        <v>145.13300000000001</v>
      </c>
      <c r="M70">
        <v>0.33725429140417862</v>
      </c>
      <c r="N70">
        <v>63.894999999999996</v>
      </c>
      <c r="O70">
        <v>106.145</v>
      </c>
      <c r="P70">
        <v>0.24665552810936545</v>
      </c>
    </row>
    <row r="71" spans="1:16" x14ac:dyDescent="0.2">
      <c r="A71" t="s">
        <v>213</v>
      </c>
      <c r="B71">
        <v>2086.6887999999999</v>
      </c>
      <c r="C71">
        <v>261.10599999999999</v>
      </c>
      <c r="D71">
        <v>375.99900000000002</v>
      </c>
      <c r="E71">
        <v>410.81200000000001</v>
      </c>
      <c r="F71">
        <v>5.5497190152101465</v>
      </c>
      <c r="G71">
        <v>5.0794251385061777</v>
      </c>
      <c r="H71">
        <v>0.44002435792360201</v>
      </c>
      <c r="I71">
        <v>9.2588012202160064E-2</v>
      </c>
      <c r="J71">
        <v>251.41600036621094</v>
      </c>
      <c r="K71">
        <v>0.66866135379671465</v>
      </c>
      <c r="L71">
        <v>78.801000000000002</v>
      </c>
      <c r="M71">
        <v>0.2095776850470347</v>
      </c>
      <c r="N71">
        <v>96.328999999999994</v>
      </c>
      <c r="O71">
        <v>54.195191958732003</v>
      </c>
      <c r="P71">
        <v>0.14413653216825575</v>
      </c>
    </row>
    <row r="72" spans="1:16" x14ac:dyDescent="0.2">
      <c r="A72" t="s">
        <v>219</v>
      </c>
      <c r="B72">
        <v>2059.2656000000002</v>
      </c>
      <c r="C72">
        <v>150.22399999999999</v>
      </c>
      <c r="D72">
        <v>215.20100000000002</v>
      </c>
      <c r="E72">
        <v>265.75200000000001</v>
      </c>
      <c r="F72">
        <v>9.5690336011449766</v>
      </c>
      <c r="G72">
        <v>7.7488244679249831</v>
      </c>
      <c r="H72">
        <v>0.43253408243689451</v>
      </c>
      <c r="I72">
        <v>0.2349013248079701</v>
      </c>
      <c r="J72">
        <v>106.53599938964844</v>
      </c>
      <c r="K72">
        <v>0.49505345881129004</v>
      </c>
      <c r="L72">
        <v>-7.5960000000000001</v>
      </c>
      <c r="M72">
        <v>-3.5297233748913803E-2</v>
      </c>
      <c r="N72">
        <v>57.960999999999999</v>
      </c>
      <c r="O72">
        <v>-24.3462</v>
      </c>
      <c r="P72">
        <v>-0.11313237392019553</v>
      </c>
    </row>
    <row r="73" spans="1:16" x14ac:dyDescent="0.2">
      <c r="A73" t="s">
        <v>263</v>
      </c>
      <c r="B73">
        <v>1443.3649</v>
      </c>
      <c r="C73">
        <v>157.43700000000001</v>
      </c>
      <c r="D73">
        <v>221.20800000000003</v>
      </c>
      <c r="E73">
        <v>260.59699999999998</v>
      </c>
      <c r="F73">
        <v>6.524921793063541</v>
      </c>
      <c r="G73">
        <v>5.5386857868663117</v>
      </c>
      <c r="H73">
        <v>0.40505726099963801</v>
      </c>
      <c r="I73">
        <v>0.17806318035514068</v>
      </c>
      <c r="J73">
        <v>155.65399899291992</v>
      </c>
      <c r="K73">
        <v>0.70365447448971064</v>
      </c>
      <c r="L73">
        <v>-47.295392405064</v>
      </c>
      <c r="M73">
        <v>-0.21380507217218181</v>
      </c>
      <c r="N73">
        <v>51.561999999999998</v>
      </c>
      <c r="O73">
        <v>-53.869</v>
      </c>
      <c r="P73">
        <v>-0.24352193410726553</v>
      </c>
    </row>
    <row r="74" spans="1:16" x14ac:dyDescent="0.2">
      <c r="A74" t="s">
        <v>289</v>
      </c>
      <c r="B74">
        <v>1444.5420999999999</v>
      </c>
      <c r="C74">
        <v>116.239</v>
      </c>
      <c r="D74">
        <v>162.01400000000001</v>
      </c>
      <c r="E74">
        <v>226.63</v>
      </c>
      <c r="F74">
        <v>8.9161560112089067</v>
      </c>
      <c r="G74">
        <v>6.3740109429466525</v>
      </c>
      <c r="H74">
        <v>0.39380070372250281</v>
      </c>
      <c r="I74">
        <v>0.39882973076400785</v>
      </c>
      <c r="J74">
        <v>126.376</v>
      </c>
      <c r="K74">
        <v>0.78003135531497281</v>
      </c>
      <c r="L74">
        <v>-48.109000000000002</v>
      </c>
      <c r="M74">
        <v>-0.29694347402076365</v>
      </c>
      <c r="N74">
        <v>36.073</v>
      </c>
      <c r="O74">
        <v>-55.826999999999998</v>
      </c>
      <c r="P74">
        <v>-0.34458133247744022</v>
      </c>
    </row>
    <row r="75" spans="1:16" x14ac:dyDescent="0.2">
      <c r="A75" t="s">
        <v>217</v>
      </c>
      <c r="B75">
        <v>2066.1927000000001</v>
      </c>
      <c r="C75">
        <v>162.09</v>
      </c>
      <c r="D75">
        <v>225.50900000000001</v>
      </c>
      <c r="E75">
        <v>266.108</v>
      </c>
      <c r="F75">
        <v>9.1623513917404615</v>
      </c>
      <c r="G75">
        <v>7.7644892299367179</v>
      </c>
      <c r="H75">
        <v>0.39125794311802092</v>
      </c>
      <c r="I75">
        <v>0.18003272596659103</v>
      </c>
      <c r="J75">
        <v>133.13299966430662</v>
      </c>
      <c r="K75">
        <v>0.59036668010725346</v>
      </c>
      <c r="L75">
        <v>10.643000000000001</v>
      </c>
      <c r="M75">
        <v>4.7195455613744906E-2</v>
      </c>
      <c r="N75">
        <v>68.947000000000003</v>
      </c>
      <c r="O75">
        <v>-2.3560000000000003</v>
      </c>
      <c r="P75">
        <v>-1.0447476597386358E-2</v>
      </c>
    </row>
    <row r="76" spans="1:16" x14ac:dyDescent="0.2">
      <c r="A76" t="s">
        <v>203</v>
      </c>
      <c r="B76">
        <v>2436.4575</v>
      </c>
      <c r="C76">
        <v>562.17899999999997</v>
      </c>
      <c r="D76">
        <v>777.6</v>
      </c>
      <c r="E76">
        <v>824</v>
      </c>
      <c r="F76">
        <v>3.1333043981481481</v>
      </c>
      <c r="G76">
        <v>2.9568658980582523</v>
      </c>
      <c r="H76">
        <v>0.38318934005005534</v>
      </c>
      <c r="I76">
        <v>5.967078189300401E-2</v>
      </c>
      <c r="J76">
        <v>266.30000152587888</v>
      </c>
      <c r="K76">
        <v>0.34246399373184011</v>
      </c>
      <c r="L76">
        <v>119.85900000000001</v>
      </c>
      <c r="M76">
        <v>0.15413966049382716</v>
      </c>
      <c r="N76">
        <v>99.828999999999994</v>
      </c>
      <c r="O76">
        <v>92.1</v>
      </c>
      <c r="P76">
        <v>0.11844135802469134</v>
      </c>
    </row>
    <row r="77" spans="1:16" x14ac:dyDescent="0.2">
      <c r="A77" t="s">
        <v>123</v>
      </c>
      <c r="B77">
        <v>5264.8521000000001</v>
      </c>
      <c r="C77">
        <v>568.12800000000004</v>
      </c>
      <c r="D77">
        <v>774.29099999999994</v>
      </c>
      <c r="E77">
        <v>940.42899999999997</v>
      </c>
      <c r="F77">
        <v>6.7995780656109917</v>
      </c>
      <c r="G77">
        <v>5.5983514970295474</v>
      </c>
      <c r="H77">
        <v>0.36288125211219985</v>
      </c>
      <c r="I77">
        <v>0.21456790793125591</v>
      </c>
      <c r="J77">
        <v>470.14299932861331</v>
      </c>
      <c r="K77">
        <v>0.60719161055548021</v>
      </c>
      <c r="L77">
        <v>151.96100000000001</v>
      </c>
      <c r="M77">
        <v>0.19625825432557015</v>
      </c>
      <c r="N77">
        <v>69.343000000000004</v>
      </c>
      <c r="O77">
        <v>39.375608755979997</v>
      </c>
      <c r="P77">
        <v>5.0853760092755822E-2</v>
      </c>
    </row>
    <row r="78" spans="1:16" x14ac:dyDescent="0.2">
      <c r="A78" t="s">
        <v>195</v>
      </c>
      <c r="B78">
        <v>2121.9027000000001</v>
      </c>
      <c r="C78">
        <v>216.613</v>
      </c>
      <c r="D78">
        <v>294.68199999999996</v>
      </c>
      <c r="E78">
        <v>349.25299999999999</v>
      </c>
      <c r="F78">
        <v>7.2006525678528055</v>
      </c>
      <c r="G78">
        <v>6.0755460940922488</v>
      </c>
      <c r="H78">
        <v>0.36040773176125146</v>
      </c>
      <c r="I78">
        <v>0.1851860649785193</v>
      </c>
      <c r="J78">
        <v>249.10499847412109</v>
      </c>
      <c r="K78">
        <v>0.84533496607909919</v>
      </c>
      <c r="L78">
        <v>33.942999999999998</v>
      </c>
      <c r="M78">
        <v>0.11518518267148996</v>
      </c>
      <c r="N78">
        <v>161.261</v>
      </c>
      <c r="O78">
        <v>27.055742028858003</v>
      </c>
      <c r="P78">
        <v>9.1813351439375343E-2</v>
      </c>
    </row>
    <row r="79" spans="1:16" x14ac:dyDescent="0.2">
      <c r="A79" t="s">
        <v>95</v>
      </c>
      <c r="B79">
        <v>9911.8019000000004</v>
      </c>
      <c r="C79">
        <v>1018.46</v>
      </c>
      <c r="D79">
        <v>1381.0119999999999</v>
      </c>
      <c r="E79">
        <v>1551.74</v>
      </c>
      <c r="F79">
        <v>7.1772018635609252</v>
      </c>
      <c r="G79">
        <v>6.3875403740317322</v>
      </c>
      <c r="H79">
        <v>0.35598059815800315</v>
      </c>
      <c r="I79">
        <v>0.12362528348776114</v>
      </c>
      <c r="J79">
        <v>1037.137987915039</v>
      </c>
      <c r="K79">
        <v>0.75099853434657993</v>
      </c>
      <c r="L79">
        <v>541.74800000000005</v>
      </c>
      <c r="M79">
        <v>0.3922833400433885</v>
      </c>
      <c r="N79">
        <v>508.072</v>
      </c>
      <c r="O79">
        <v>160.82074499958901</v>
      </c>
      <c r="P79">
        <v>0.11645137406451864</v>
      </c>
    </row>
    <row r="80" spans="1:16" x14ac:dyDescent="0.2">
      <c r="A80" t="s">
        <v>355</v>
      </c>
      <c r="B80">
        <v>374.9058</v>
      </c>
      <c r="C80">
        <v>201.64599999999999</v>
      </c>
      <c r="D80">
        <v>271.697</v>
      </c>
      <c r="E80">
        <v>301</v>
      </c>
      <c r="F80">
        <v>1.3798672786228776</v>
      </c>
      <c r="G80">
        <v>1.245534219269103</v>
      </c>
      <c r="H80">
        <v>0.3473959314838877</v>
      </c>
      <c r="I80">
        <v>0.10785176133707775</v>
      </c>
      <c r="J80">
        <v>87.58700073242187</v>
      </c>
      <c r="K80">
        <v>0.32237014296227734</v>
      </c>
      <c r="L80">
        <v>41.933999999999997</v>
      </c>
      <c r="M80">
        <v>0.15434104903624257</v>
      </c>
      <c r="N80">
        <v>76.075999999999993</v>
      </c>
      <c r="O80">
        <v>18.194142797403998</v>
      </c>
      <c r="P80">
        <v>6.6964827721336634E-2</v>
      </c>
    </row>
    <row r="81" spans="1:16" x14ac:dyDescent="0.2">
      <c r="A81" t="s">
        <v>605</v>
      </c>
      <c r="B81">
        <v>877.18060000000003</v>
      </c>
      <c r="C81">
        <v>49.845999999999997</v>
      </c>
      <c r="D81">
        <v>67.067000000000007</v>
      </c>
      <c r="E81">
        <v>79</v>
      </c>
      <c r="F81">
        <v>13.079168592601427</v>
      </c>
      <c r="G81">
        <v>11.103551898734178</v>
      </c>
      <c r="H81">
        <v>0.3454840910002811</v>
      </c>
      <c r="I81">
        <v>0.1779265510608794</v>
      </c>
      <c r="J81">
        <v>63.660000076293947</v>
      </c>
      <c r="K81">
        <v>0.94920005481524361</v>
      </c>
      <c r="L81">
        <v>20.859000000000002</v>
      </c>
      <c r="M81">
        <v>0.31101734086808713</v>
      </c>
      <c r="N81">
        <v>52.832999999999998</v>
      </c>
      <c r="O81">
        <v>15.805099999999999</v>
      </c>
      <c r="P81">
        <v>0.23566135357180129</v>
      </c>
    </row>
    <row r="82" spans="1:16" x14ac:dyDescent="0.2">
      <c r="A82" t="s">
        <v>73</v>
      </c>
      <c r="B82">
        <v>14628.111500000001</v>
      </c>
      <c r="C82">
        <v>3600</v>
      </c>
      <c r="D82">
        <v>4827</v>
      </c>
      <c r="E82">
        <v>4770.0380000000005</v>
      </c>
      <c r="F82">
        <v>3.0304767971825153</v>
      </c>
      <c r="G82">
        <v>3.066665611468923</v>
      </c>
      <c r="H82">
        <v>0.34083333333333332</v>
      </c>
      <c r="I82">
        <v>-1.180070437124503E-2</v>
      </c>
      <c r="J82">
        <v>3803</v>
      </c>
      <c r="K82">
        <v>0.78785995442303713</v>
      </c>
      <c r="L82">
        <v>1276</v>
      </c>
      <c r="M82">
        <v>0.26434638491816864</v>
      </c>
      <c r="N82">
        <v>1774</v>
      </c>
      <c r="O82">
        <v>412.36329172576399</v>
      </c>
      <c r="P82">
        <v>8.5428483887666037E-2</v>
      </c>
    </row>
    <row r="83" spans="1:16" x14ac:dyDescent="0.2">
      <c r="A83" t="s">
        <v>365</v>
      </c>
      <c r="B83">
        <v>304.52499999999998</v>
      </c>
      <c r="C83">
        <v>54.494</v>
      </c>
      <c r="D83">
        <v>72.800999999999988</v>
      </c>
      <c r="E83">
        <v>86.84</v>
      </c>
      <c r="F83">
        <v>4.1829782557931896</v>
      </c>
      <c r="G83">
        <v>3.5067365269461073</v>
      </c>
      <c r="H83">
        <v>0.33594524167798268</v>
      </c>
      <c r="I83">
        <v>0.19284075768190023</v>
      </c>
      <c r="J83">
        <v>62.064999832153319</v>
      </c>
      <c r="K83">
        <v>0.85252949591562377</v>
      </c>
      <c r="L83">
        <v>3.6139999999999999</v>
      </c>
      <c r="M83">
        <v>4.9642175244845543E-2</v>
      </c>
      <c r="N83">
        <v>29.087</v>
      </c>
      <c r="O83">
        <v>-1.5870000000000002</v>
      </c>
      <c r="P83">
        <v>-2.1799151110561674E-2</v>
      </c>
    </row>
    <row r="84" spans="1:16" x14ac:dyDescent="0.2">
      <c r="A84" t="s">
        <v>87</v>
      </c>
      <c r="B84">
        <v>8730.4277999999995</v>
      </c>
      <c r="C84">
        <v>781.29100000000005</v>
      </c>
      <c r="D84">
        <v>1035.461</v>
      </c>
      <c r="E84">
        <v>1245.01</v>
      </c>
      <c r="F84">
        <v>8.4314404888257499</v>
      </c>
      <c r="G84">
        <v>7.0123354832491298</v>
      </c>
      <c r="H84">
        <v>0.32532052717873361</v>
      </c>
      <c r="I84">
        <v>0.20237266299744738</v>
      </c>
      <c r="J84">
        <v>648.36900695800773</v>
      </c>
      <c r="K84">
        <v>0.62616458462270208</v>
      </c>
      <c r="L84">
        <v>114.41199999999999</v>
      </c>
      <c r="M84">
        <v>0.11049378006511108</v>
      </c>
      <c r="N84">
        <v>155.685</v>
      </c>
      <c r="O84">
        <v>46.960708818636007</v>
      </c>
      <c r="P84">
        <v>4.5352465055309668E-2</v>
      </c>
    </row>
    <row r="85" spans="1:16" x14ac:dyDescent="0.2">
      <c r="A85" t="s">
        <v>157</v>
      </c>
      <c r="B85">
        <v>4272.2191999999995</v>
      </c>
      <c r="C85">
        <v>874.255</v>
      </c>
      <c r="D85">
        <v>1158.5079999999998</v>
      </c>
      <c r="E85">
        <v>1252.3330000000001</v>
      </c>
      <c r="F85">
        <v>3.6876907194425934</v>
      </c>
      <c r="G85">
        <v>3.4114083075348165</v>
      </c>
      <c r="H85">
        <v>0.3251374027028725</v>
      </c>
      <c r="I85">
        <v>8.0987787740784078E-2</v>
      </c>
      <c r="J85">
        <v>974.26899780273436</v>
      </c>
      <c r="K85">
        <v>0.84096872684757851</v>
      </c>
      <c r="L85">
        <v>412.85069230769199</v>
      </c>
      <c r="M85">
        <v>0.35636412722889443</v>
      </c>
      <c r="N85">
        <v>350.94499999999999</v>
      </c>
      <c r="O85">
        <v>150.78399999999999</v>
      </c>
      <c r="P85">
        <v>0.1301536113691058</v>
      </c>
    </row>
    <row r="86" spans="1:16" x14ac:dyDescent="0.2">
      <c r="A86" t="s">
        <v>291</v>
      </c>
      <c r="B86">
        <v>1016.1319</v>
      </c>
      <c r="C86">
        <v>160.56899999999999</v>
      </c>
      <c r="D86">
        <v>212.47800000000001</v>
      </c>
      <c r="E86">
        <v>249.06300000000002</v>
      </c>
      <c r="F86">
        <v>4.7822922843776761</v>
      </c>
      <c r="G86">
        <v>4.0798187607151597</v>
      </c>
      <c r="H86">
        <v>0.32328157988154638</v>
      </c>
      <c r="I86">
        <v>0.17218253183859034</v>
      </c>
      <c r="J86">
        <v>147.23399932861327</v>
      </c>
      <c r="K86">
        <v>0.69293761861751924</v>
      </c>
      <c r="L86">
        <v>-14.339075949367</v>
      </c>
      <c r="M86">
        <v>-6.748499114904602E-2</v>
      </c>
      <c r="N86">
        <v>55.068999999999996</v>
      </c>
      <c r="O86">
        <v>-23.346969999999999</v>
      </c>
      <c r="P86">
        <v>-0.10987946987452818</v>
      </c>
    </row>
    <row r="87" spans="1:16" x14ac:dyDescent="0.2">
      <c r="A87" t="s">
        <v>590</v>
      </c>
      <c r="B87">
        <v>4083.6496999999999</v>
      </c>
      <c r="C87">
        <v>463.38099999999997</v>
      </c>
      <c r="D87">
        <v>609.726</v>
      </c>
      <c r="E87">
        <v>719.86699999999996</v>
      </c>
      <c r="F87">
        <v>6.6975160973945673</v>
      </c>
      <c r="G87">
        <v>5.6727835836341995</v>
      </c>
      <c r="H87">
        <v>0.31582002714828628</v>
      </c>
      <c r="I87">
        <v>0.1806401563981197</v>
      </c>
      <c r="J87">
        <v>460.99100408935544</v>
      </c>
      <c r="K87">
        <v>0.75606256595479848</v>
      </c>
      <c r="L87">
        <v>82.144000000000005</v>
      </c>
      <c r="M87">
        <v>0.13472280991789756</v>
      </c>
      <c r="N87">
        <v>237.32499999999999</v>
      </c>
      <c r="O87">
        <v>48.942264632863001</v>
      </c>
      <c r="P87">
        <v>8.0269276089363087E-2</v>
      </c>
    </row>
    <row r="88" spans="1:16" x14ac:dyDescent="0.2">
      <c r="A88" t="s">
        <v>55</v>
      </c>
      <c r="B88">
        <v>14085.412700000001</v>
      </c>
      <c r="C88">
        <v>2125.0859999999998</v>
      </c>
      <c r="D88">
        <v>2794.5149999999999</v>
      </c>
      <c r="E88">
        <v>3253.5360000000001</v>
      </c>
      <c r="F88">
        <v>5.0403782767313832</v>
      </c>
      <c r="G88">
        <v>4.3292629004258751</v>
      </c>
      <c r="H88">
        <v>0.31501266301693209</v>
      </c>
      <c r="I88">
        <v>0.16425784080600758</v>
      </c>
      <c r="J88">
        <v>2459.358009765625</v>
      </c>
      <c r="K88">
        <v>0.88006613303762016</v>
      </c>
      <c r="L88">
        <v>707.22400000000005</v>
      </c>
      <c r="M88">
        <v>0.25307575733177318</v>
      </c>
      <c r="N88">
        <v>488.964</v>
      </c>
      <c r="O88">
        <v>288.48589500000003</v>
      </c>
      <c r="P88">
        <v>0.10323290266826267</v>
      </c>
    </row>
    <row r="89" spans="1:16" x14ac:dyDescent="0.2">
      <c r="A89" t="s">
        <v>199</v>
      </c>
      <c r="B89">
        <v>2777.4384</v>
      </c>
      <c r="C89">
        <v>578.16399999999999</v>
      </c>
      <c r="D89">
        <v>757.60300000000007</v>
      </c>
      <c r="E89">
        <v>863.7</v>
      </c>
      <c r="F89">
        <v>3.6660868555166752</v>
      </c>
      <c r="G89">
        <v>3.215744355679055</v>
      </c>
      <c r="H89">
        <v>0.31036003625268971</v>
      </c>
      <c r="I89">
        <v>0.14004300405357428</v>
      </c>
      <c r="J89">
        <v>512.96599737548831</v>
      </c>
      <c r="K89">
        <v>0.67709076835161464</v>
      </c>
      <c r="L89">
        <v>106.039</v>
      </c>
      <c r="M89">
        <v>0.13996644680657283</v>
      </c>
      <c r="N89">
        <v>60.114999999999995</v>
      </c>
      <c r="O89">
        <v>32.882268060742</v>
      </c>
      <c r="P89">
        <v>4.3403033067110346E-2</v>
      </c>
    </row>
    <row r="90" spans="1:16" x14ac:dyDescent="0.2">
      <c r="A90" t="s">
        <v>83</v>
      </c>
      <c r="B90">
        <v>9553.6566000000003</v>
      </c>
      <c r="C90">
        <v>844.8</v>
      </c>
      <c r="D90">
        <v>1106.8</v>
      </c>
      <c r="E90">
        <v>1480.6469999999999</v>
      </c>
      <c r="F90">
        <v>8.6317822551499823</v>
      </c>
      <c r="G90">
        <v>6.4523526539411495</v>
      </c>
      <c r="H90">
        <v>0.3101325757575758</v>
      </c>
      <c r="I90">
        <v>0.33777285869172391</v>
      </c>
      <c r="J90">
        <v>737.9</v>
      </c>
      <c r="K90">
        <v>0.66669678352005779</v>
      </c>
      <c r="L90">
        <v>68.100000000000009</v>
      </c>
      <c r="M90">
        <v>6.1528731478135174E-2</v>
      </c>
      <c r="N90">
        <v>430</v>
      </c>
      <c r="O90">
        <v>-50</v>
      </c>
      <c r="P90">
        <v>-4.517528008673654E-2</v>
      </c>
    </row>
    <row r="91" spans="1:16" x14ac:dyDescent="0.2">
      <c r="A91" t="s">
        <v>229</v>
      </c>
      <c r="B91">
        <v>1544.9141</v>
      </c>
      <c r="C91">
        <v>264.45499999999998</v>
      </c>
      <c r="D91">
        <v>344.017</v>
      </c>
      <c r="E91">
        <v>369.76900000000001</v>
      </c>
      <c r="F91">
        <v>4.4908074310281174</v>
      </c>
      <c r="G91">
        <v>4.1780519729885413</v>
      </c>
      <c r="H91">
        <v>0.30085269705620998</v>
      </c>
      <c r="I91">
        <v>7.4856765799364622E-2</v>
      </c>
      <c r="J91">
        <v>274.43599694824218</v>
      </c>
      <c r="K91">
        <v>0.79773963771628198</v>
      </c>
      <c r="L91">
        <v>7.0558987341769992</v>
      </c>
      <c r="M91">
        <v>2.0510319938192006E-2</v>
      </c>
      <c r="N91">
        <v>192.53799999999998</v>
      </c>
      <c r="O91">
        <v>-22.831899999999997</v>
      </c>
      <c r="P91">
        <v>-6.636852248580738E-2</v>
      </c>
    </row>
    <row r="92" spans="1:16" x14ac:dyDescent="0.2">
      <c r="A92" t="s">
        <v>606</v>
      </c>
      <c r="B92">
        <v>4269.3923999999997</v>
      </c>
      <c r="C92">
        <v>1549.8989999999999</v>
      </c>
      <c r="D92">
        <v>2006.2450000000001</v>
      </c>
      <c r="E92">
        <v>2239.0819999999999</v>
      </c>
      <c r="F92">
        <v>2.1280513596295565</v>
      </c>
      <c r="G92">
        <v>1.9067601811813948</v>
      </c>
      <c r="H92">
        <v>0.29443596002062089</v>
      </c>
      <c r="I92">
        <v>0.11605611478159439</v>
      </c>
      <c r="J92">
        <v>861.35701245117184</v>
      </c>
      <c r="K92">
        <v>0.4293378986370916</v>
      </c>
      <c r="L92">
        <v>376.78800000000001</v>
      </c>
      <c r="M92">
        <v>0.18780757085998967</v>
      </c>
      <c r="N92">
        <v>155.839</v>
      </c>
      <c r="O92">
        <v>-22.321651615104003</v>
      </c>
      <c r="P92">
        <v>-1.112608460836239E-2</v>
      </c>
    </row>
    <row r="93" spans="1:16" x14ac:dyDescent="0.2">
      <c r="A93" t="s">
        <v>173</v>
      </c>
      <c r="B93">
        <v>2532.3746999999998</v>
      </c>
      <c r="C93">
        <v>197.92500000000001</v>
      </c>
      <c r="D93">
        <v>255.43600000000001</v>
      </c>
      <c r="E93">
        <v>303.84500000000003</v>
      </c>
      <c r="F93">
        <v>9.9139302995662302</v>
      </c>
      <c r="G93">
        <v>8.3344293965673266</v>
      </c>
      <c r="H93">
        <v>0.2905696602248326</v>
      </c>
      <c r="I93">
        <v>0.18951518188509064</v>
      </c>
      <c r="J93">
        <v>196.15400054931641</v>
      </c>
      <c r="K93">
        <v>0.76791838483736197</v>
      </c>
      <c r="L93">
        <v>67.129000000000005</v>
      </c>
      <c r="M93">
        <v>0.2628016411155828</v>
      </c>
      <c r="N93">
        <v>86.590999999999994</v>
      </c>
      <c r="O93">
        <v>42.557038674647998</v>
      </c>
      <c r="P93">
        <v>0.166605485032055</v>
      </c>
    </row>
    <row r="94" spans="1:16" x14ac:dyDescent="0.2">
      <c r="A94" t="s">
        <v>183</v>
      </c>
      <c r="B94">
        <v>2538.9832999999999</v>
      </c>
      <c r="C94">
        <v>360.28500000000003</v>
      </c>
      <c r="D94">
        <v>462.851</v>
      </c>
      <c r="E94">
        <v>534.75</v>
      </c>
      <c r="F94">
        <v>5.4855305487078994</v>
      </c>
      <c r="G94">
        <v>4.7479818606825619</v>
      </c>
      <c r="H94">
        <v>0.28468018374342524</v>
      </c>
      <c r="I94">
        <v>0.15533940728225715</v>
      </c>
      <c r="J94">
        <v>273.98900335693361</v>
      </c>
      <c r="K94">
        <v>0.59195940671389624</v>
      </c>
      <c r="L94">
        <v>85.867999999999995</v>
      </c>
      <c r="M94">
        <v>0.1855197460953957</v>
      </c>
      <c r="N94">
        <v>137.69800000000001</v>
      </c>
      <c r="O94">
        <v>19.337490000000003</v>
      </c>
      <c r="P94">
        <v>4.177908225325213E-2</v>
      </c>
    </row>
    <row r="95" spans="1:16" x14ac:dyDescent="0.2">
      <c r="A95" t="s">
        <v>45</v>
      </c>
      <c r="B95">
        <v>21757.589</v>
      </c>
      <c r="C95">
        <v>2898.15</v>
      </c>
      <c r="D95">
        <v>3721.3010000000004</v>
      </c>
      <c r="E95">
        <v>4117.8980000000001</v>
      </c>
      <c r="F95">
        <v>5.8467694497166445</v>
      </c>
      <c r="G95">
        <v>5.2836638984258473</v>
      </c>
      <c r="H95">
        <v>0.28402636164449746</v>
      </c>
      <c r="I95">
        <v>0.10657482423485765</v>
      </c>
      <c r="J95">
        <v>2202.0189868164061</v>
      </c>
      <c r="K95">
        <v>0.59173364014800356</v>
      </c>
      <c r="L95">
        <v>1229.5550000000001</v>
      </c>
      <c r="M95">
        <v>0.33040998296026036</v>
      </c>
      <c r="N95">
        <v>1335.855</v>
      </c>
      <c r="O95">
        <v>446.25907235741499</v>
      </c>
      <c r="P95">
        <v>0.11992017639997811</v>
      </c>
    </row>
    <row r="96" spans="1:16" x14ac:dyDescent="0.2">
      <c r="A96" t="s">
        <v>577</v>
      </c>
      <c r="B96">
        <v>1234.2756999999999</v>
      </c>
      <c r="C96">
        <v>206.98599999999999</v>
      </c>
      <c r="D96">
        <v>265.089</v>
      </c>
      <c r="E96">
        <v>329.13800000000003</v>
      </c>
      <c r="F96">
        <v>4.6560804107299809</v>
      </c>
      <c r="G96">
        <v>3.750024913562092</v>
      </c>
      <c r="H96">
        <v>0.28070980646034038</v>
      </c>
      <c r="I96">
        <v>0.24161319405935378</v>
      </c>
      <c r="J96">
        <v>189.59500091552735</v>
      </c>
      <c r="K96">
        <v>0.71521263015639036</v>
      </c>
      <c r="L96">
        <v>35.430999999999997</v>
      </c>
      <c r="M96">
        <v>0.1336569982156936</v>
      </c>
      <c r="N96">
        <v>128.23099999999999</v>
      </c>
      <c r="O96">
        <v>-1.8899511748109996</v>
      </c>
      <c r="P96">
        <v>-7.1294967909305918E-3</v>
      </c>
    </row>
    <row r="97" spans="1:16" x14ac:dyDescent="0.2">
      <c r="A97" t="s">
        <v>59</v>
      </c>
      <c r="B97">
        <v>12362.801600000001</v>
      </c>
      <c r="C97">
        <v>1275.443</v>
      </c>
      <c r="D97">
        <v>1631.1849999999999</v>
      </c>
      <c r="E97">
        <v>1909.7080000000001</v>
      </c>
      <c r="F97">
        <v>7.5790309498922568</v>
      </c>
      <c r="G97">
        <v>6.4736606852984853</v>
      </c>
      <c r="H97">
        <v>0.27891642354852392</v>
      </c>
      <c r="I97">
        <v>0.17074887275201789</v>
      </c>
      <c r="J97">
        <v>1221.8169738769532</v>
      </c>
      <c r="K97">
        <v>0.74903642068615961</v>
      </c>
      <c r="L97">
        <v>213.77799999999999</v>
      </c>
      <c r="M97">
        <v>0.1310568696990225</v>
      </c>
      <c r="N97">
        <v>811.00400000000002</v>
      </c>
      <c r="O97">
        <v>136.69200000000001</v>
      </c>
      <c r="P97">
        <v>8.3799201194223835E-2</v>
      </c>
    </row>
    <row r="98" spans="1:16" x14ac:dyDescent="0.2">
      <c r="A98" t="s">
        <v>211</v>
      </c>
      <c r="B98">
        <v>2527.3155999999999</v>
      </c>
      <c r="C98">
        <v>167.42599999999999</v>
      </c>
      <c r="D98">
        <v>213.15899999999999</v>
      </c>
      <c r="E98">
        <v>282.81</v>
      </c>
      <c r="F98">
        <v>11.85648084293884</v>
      </c>
      <c r="G98">
        <v>8.9364435486722531</v>
      </c>
      <c r="H98">
        <v>0.27315351259660992</v>
      </c>
      <c r="I98">
        <v>0.32675608348697449</v>
      </c>
      <c r="J98">
        <v>155.18199999999999</v>
      </c>
      <c r="K98">
        <v>0.72801054611815585</v>
      </c>
      <c r="L98">
        <v>-43.302999999999997</v>
      </c>
      <c r="M98">
        <v>-0.20314882317894153</v>
      </c>
      <c r="N98">
        <v>14.074999999999999</v>
      </c>
      <c r="O98">
        <v>-55.233550000000001</v>
      </c>
      <c r="P98">
        <v>-0.25911901444461649</v>
      </c>
    </row>
    <row r="99" spans="1:16" x14ac:dyDescent="0.2">
      <c r="A99" t="s">
        <v>119</v>
      </c>
      <c r="B99">
        <v>5499.3319000000001</v>
      </c>
      <c r="C99">
        <v>1958.615</v>
      </c>
      <c r="D99">
        <v>2491.8389999999999</v>
      </c>
      <c r="E99">
        <v>2815.54</v>
      </c>
      <c r="F99">
        <v>2.2069370854216506</v>
      </c>
      <c r="G99">
        <v>1.9532068093509594</v>
      </c>
      <c r="H99">
        <v>0.27224543874115126</v>
      </c>
      <c r="I99">
        <v>0.12990446011961443</v>
      </c>
      <c r="J99">
        <v>1021.3030059814453</v>
      </c>
      <c r="K99">
        <v>0.40985914659070882</v>
      </c>
      <c r="L99">
        <v>464.61600000000004</v>
      </c>
      <c r="M99">
        <v>0.18645506391062988</v>
      </c>
      <c r="N99">
        <v>819.14400000000001</v>
      </c>
      <c r="O99">
        <v>221.308428571429</v>
      </c>
      <c r="P99">
        <v>8.8813293544016694E-2</v>
      </c>
    </row>
    <row r="100" spans="1:16" x14ac:dyDescent="0.2">
      <c r="A100" t="s">
        <v>19</v>
      </c>
      <c r="B100">
        <v>52287.719499999999</v>
      </c>
      <c r="C100">
        <v>4694</v>
      </c>
      <c r="D100">
        <v>5964</v>
      </c>
      <c r="E100">
        <v>6610.5380000000005</v>
      </c>
      <c r="F100">
        <v>8.7672232562038896</v>
      </c>
      <c r="G100">
        <v>7.9097525042591084</v>
      </c>
      <c r="H100">
        <v>0.27055815935236471</v>
      </c>
      <c r="I100">
        <v>0.10840677397719656</v>
      </c>
      <c r="J100">
        <v>4992</v>
      </c>
      <c r="K100">
        <v>0.83702213279678073</v>
      </c>
      <c r="L100">
        <v>1823</v>
      </c>
      <c r="M100">
        <v>0.3056673373574782</v>
      </c>
      <c r="N100">
        <v>1464</v>
      </c>
      <c r="O100">
        <v>1268.9562790151069</v>
      </c>
      <c r="P100">
        <v>0.21276932914404878</v>
      </c>
    </row>
    <row r="101" spans="1:16" x14ac:dyDescent="0.2">
      <c r="A101" t="s">
        <v>407</v>
      </c>
      <c r="B101">
        <v>275.41230000000002</v>
      </c>
      <c r="C101">
        <v>216.499</v>
      </c>
      <c r="D101">
        <v>274.86399999999998</v>
      </c>
      <c r="E101">
        <v>293.875</v>
      </c>
      <c r="F101">
        <v>1.0019948047034171</v>
      </c>
      <c r="G101">
        <v>0.93717498936622723</v>
      </c>
      <c r="H101">
        <v>0.26958554081081199</v>
      </c>
      <c r="I101">
        <v>6.9165114383840764E-2</v>
      </c>
      <c r="J101">
        <v>116.03600010681151</v>
      </c>
      <c r="K101">
        <v>0.42215786755199491</v>
      </c>
      <c r="L101">
        <v>25.126000000000001</v>
      </c>
      <c r="M101">
        <v>9.1412480353920494E-2</v>
      </c>
      <c r="N101">
        <v>28.419999999999998</v>
      </c>
      <c r="O101">
        <v>2.5753330869909998</v>
      </c>
      <c r="P101">
        <v>9.3694812234086673E-3</v>
      </c>
    </row>
    <row r="102" spans="1:16" x14ac:dyDescent="0.2">
      <c r="A102" t="s">
        <v>169</v>
      </c>
      <c r="B102">
        <v>3692.9135000000001</v>
      </c>
      <c r="C102">
        <v>131.84100000000001</v>
      </c>
      <c r="D102">
        <v>166.82400000000001</v>
      </c>
      <c r="E102">
        <v>257.7</v>
      </c>
      <c r="F102">
        <v>22.136584064642975</v>
      </c>
      <c r="G102">
        <v>14.330281334885527</v>
      </c>
      <c r="H102">
        <v>0.26534234418731656</v>
      </c>
      <c r="I102">
        <v>0.54474176377499628</v>
      </c>
      <c r="J102">
        <v>116.99600000000001</v>
      </c>
      <c r="K102">
        <v>0.70131395962211673</v>
      </c>
      <c r="L102">
        <v>-66.082999999999998</v>
      </c>
      <c r="M102">
        <v>-0.39612405888840929</v>
      </c>
      <c r="N102">
        <v>28.266999999999999</v>
      </c>
      <c r="O102">
        <v>-95.293880000000001</v>
      </c>
      <c r="P102">
        <v>-0.57122404450199005</v>
      </c>
    </row>
    <row r="103" spans="1:16" x14ac:dyDescent="0.2">
      <c r="A103" t="s">
        <v>279</v>
      </c>
      <c r="B103">
        <v>1360.3652</v>
      </c>
      <c r="C103">
        <v>178.64599999999999</v>
      </c>
      <c r="D103">
        <v>225.61</v>
      </c>
      <c r="E103">
        <v>255.92000000000002</v>
      </c>
      <c r="F103">
        <v>6.0297203138158766</v>
      </c>
      <c r="G103">
        <v>5.3155876836511409</v>
      </c>
      <c r="H103">
        <v>0.26288861771324312</v>
      </c>
      <c r="I103">
        <v>0.13434688178715493</v>
      </c>
      <c r="J103">
        <v>161.06200064086914</v>
      </c>
      <c r="K103">
        <v>0.71389566349394595</v>
      </c>
      <c r="L103">
        <v>-48.74664556962</v>
      </c>
      <c r="M103">
        <v>-0.21606597921023002</v>
      </c>
      <c r="N103">
        <v>60.332999999999998</v>
      </c>
      <c r="O103">
        <v>-53.88</v>
      </c>
      <c r="P103">
        <v>-0.23881920127653916</v>
      </c>
    </row>
    <row r="104" spans="1:16" x14ac:dyDescent="0.2">
      <c r="A104" t="s">
        <v>63</v>
      </c>
      <c r="B104">
        <v>13254.6572</v>
      </c>
      <c r="C104">
        <v>2422.5320000000002</v>
      </c>
      <c r="D104">
        <v>3022.62</v>
      </c>
      <c r="E104">
        <v>3239.1</v>
      </c>
      <c r="F104">
        <v>4.3851549979818829</v>
      </c>
      <c r="G104">
        <v>4.0920802692105829</v>
      </c>
      <c r="H104">
        <v>0.24771107254723557</v>
      </c>
      <c r="I104">
        <v>7.1619985310756862E-2</v>
      </c>
      <c r="J104">
        <v>2310.4400556640626</v>
      </c>
      <c r="K104">
        <v>0.76438323562474364</v>
      </c>
      <c r="L104">
        <v>650.30199999999991</v>
      </c>
      <c r="M104">
        <v>0.21514513898538351</v>
      </c>
      <c r="N104">
        <v>1048.356</v>
      </c>
      <c r="O104">
        <v>367.32709702556298</v>
      </c>
      <c r="P104">
        <v>0.12152605918890333</v>
      </c>
    </row>
    <row r="105" spans="1:16" x14ac:dyDescent="0.2">
      <c r="A105" t="s">
        <v>598</v>
      </c>
      <c r="B105">
        <v>11310.248799999999</v>
      </c>
      <c r="C105">
        <v>1413.6980000000001</v>
      </c>
      <c r="D105">
        <v>1762.6579999999999</v>
      </c>
      <c r="E105">
        <v>3002.8670000000002</v>
      </c>
      <c r="F105">
        <v>6.4165872222518496</v>
      </c>
      <c r="G105">
        <v>3.766483430668091</v>
      </c>
      <c r="H105">
        <v>0.24684197049157583</v>
      </c>
      <c r="I105">
        <v>0.70360160621062073</v>
      </c>
      <c r="J105">
        <v>927.55099047851559</v>
      </c>
      <c r="K105">
        <v>0.52622289206330197</v>
      </c>
      <c r="L105">
        <v>287.15600000000006</v>
      </c>
      <c r="M105">
        <v>0.16291078586997595</v>
      </c>
      <c r="N105">
        <v>808.97299999999996</v>
      </c>
      <c r="O105">
        <v>192.85892999999999</v>
      </c>
      <c r="P105">
        <v>0.10941369794934695</v>
      </c>
    </row>
    <row r="106" spans="1:16" x14ac:dyDescent="0.2">
      <c r="A106" t="s">
        <v>251</v>
      </c>
      <c r="B106">
        <v>1563.4879000000001</v>
      </c>
      <c r="C106">
        <v>115.95099999999999</v>
      </c>
      <c r="D106">
        <v>143.75199999999998</v>
      </c>
      <c r="E106">
        <v>169.75800000000001</v>
      </c>
      <c r="F106">
        <v>10.876286242974013</v>
      </c>
      <c r="G106">
        <v>9.2100984931490704</v>
      </c>
      <c r="H106">
        <v>0.23976507317746279</v>
      </c>
      <c r="I106">
        <v>0.18090878735600224</v>
      </c>
      <c r="J106">
        <v>101.70600183105469</v>
      </c>
      <c r="K106">
        <v>0.70751016911802767</v>
      </c>
      <c r="L106">
        <v>35.331999999999994</v>
      </c>
      <c r="M106">
        <v>0.2457844064778229</v>
      </c>
      <c r="N106">
        <v>158.398</v>
      </c>
      <c r="O106">
        <v>20.335000000000001</v>
      </c>
      <c r="P106">
        <v>0.14145890144137127</v>
      </c>
    </row>
    <row r="107" spans="1:16" x14ac:dyDescent="0.2">
      <c r="A107" t="s">
        <v>193</v>
      </c>
      <c r="B107">
        <v>2665.1181000000001</v>
      </c>
      <c r="C107">
        <v>263.86500000000001</v>
      </c>
      <c r="D107">
        <v>325.887</v>
      </c>
      <c r="E107">
        <v>515.72500000000002</v>
      </c>
      <c r="F107">
        <v>8.1780436163455441</v>
      </c>
      <c r="G107">
        <v>5.1677116680401376</v>
      </c>
      <c r="H107">
        <v>0.23505201523506333</v>
      </c>
      <c r="I107">
        <v>0.58252707226738099</v>
      </c>
      <c r="J107">
        <v>236.179</v>
      </c>
      <c r="K107">
        <v>0.72472666906013439</v>
      </c>
      <c r="L107">
        <v>150.26899999999998</v>
      </c>
      <c r="M107">
        <v>0.46110768456550882</v>
      </c>
      <c r="N107">
        <v>224.61399999999998</v>
      </c>
      <c r="O107">
        <v>138.66800000000001</v>
      </c>
      <c r="P107">
        <v>0.42550945573158794</v>
      </c>
    </row>
    <row r="108" spans="1:16" x14ac:dyDescent="0.2">
      <c r="A108" t="s">
        <v>179</v>
      </c>
      <c r="B108">
        <v>2710.8598999999999</v>
      </c>
      <c r="C108">
        <v>423.12400000000002</v>
      </c>
      <c r="D108">
        <v>519.38200000000006</v>
      </c>
      <c r="E108">
        <v>532.57500000000005</v>
      </c>
      <c r="F108">
        <v>5.2193951657931921</v>
      </c>
      <c r="G108">
        <v>5.0900997981504945</v>
      </c>
      <c r="H108">
        <v>0.22749359525812771</v>
      </c>
      <c r="I108">
        <v>2.540134236457936E-2</v>
      </c>
      <c r="J108">
        <v>372.4000010986328</v>
      </c>
      <c r="K108">
        <v>0.71700598229941115</v>
      </c>
      <c r="L108">
        <v>15.740000000000002</v>
      </c>
      <c r="M108">
        <v>3.0305247390167545E-2</v>
      </c>
      <c r="N108">
        <v>393.57599999999996</v>
      </c>
      <c r="O108">
        <v>-40.478999999999999</v>
      </c>
      <c r="P108">
        <v>-7.793685572468817E-2</v>
      </c>
    </row>
    <row r="109" spans="1:16" x14ac:dyDescent="0.2">
      <c r="A109" t="s">
        <v>271</v>
      </c>
      <c r="B109">
        <v>1335.0657000000001</v>
      </c>
      <c r="C109">
        <v>193.29499999999999</v>
      </c>
      <c r="D109">
        <v>234.53299999999999</v>
      </c>
      <c r="E109">
        <v>255.227</v>
      </c>
      <c r="F109">
        <v>5.6924428545236712</v>
      </c>
      <c r="G109">
        <v>5.2308952422745243</v>
      </c>
      <c r="H109">
        <v>0.21334230062857293</v>
      </c>
      <c r="I109">
        <v>8.8234917900679388E-2</v>
      </c>
      <c r="J109">
        <v>156.26900183105468</v>
      </c>
      <c r="K109">
        <v>0.666298567071818</v>
      </c>
      <c r="L109">
        <v>24.942</v>
      </c>
      <c r="M109">
        <v>0.10634750760020978</v>
      </c>
      <c r="N109">
        <v>123.127</v>
      </c>
      <c r="O109">
        <v>10.046000000000001</v>
      </c>
      <c r="P109">
        <v>4.2834057467392654E-2</v>
      </c>
    </row>
    <row r="110" spans="1:16" x14ac:dyDescent="0.2">
      <c r="A110" t="s">
        <v>1</v>
      </c>
      <c r="B110">
        <v>759109.37990000006</v>
      </c>
      <c r="C110">
        <v>91154</v>
      </c>
      <c r="D110">
        <v>110360</v>
      </c>
      <c r="E110">
        <v>122897.462</v>
      </c>
      <c r="F110">
        <v>6.8784829639362091</v>
      </c>
      <c r="G110">
        <v>6.1767701915601814</v>
      </c>
      <c r="H110">
        <v>0.21069837856813745</v>
      </c>
      <c r="I110">
        <v>0.1136051286698079</v>
      </c>
      <c r="J110">
        <v>72007</v>
      </c>
      <c r="K110">
        <v>0.65247372236317502</v>
      </c>
      <c r="L110">
        <v>45319</v>
      </c>
      <c r="M110">
        <v>0.41064697354113811</v>
      </c>
      <c r="N110">
        <v>11946</v>
      </c>
      <c r="O110">
        <v>27500.14</v>
      </c>
      <c r="P110">
        <v>0.24918575570859006</v>
      </c>
    </row>
    <row r="111" spans="1:16" x14ac:dyDescent="0.2">
      <c r="A111" t="s">
        <v>89</v>
      </c>
      <c r="B111">
        <v>7440.2691999999997</v>
      </c>
      <c r="C111">
        <v>826.94299999999998</v>
      </c>
      <c r="D111">
        <v>992.76900000000001</v>
      </c>
      <c r="E111">
        <v>1052.4590000000001</v>
      </c>
      <c r="F111">
        <v>7.494461652207109</v>
      </c>
      <c r="G111">
        <v>7.0694147705516315</v>
      </c>
      <c r="H111">
        <v>0.20052893609353972</v>
      </c>
      <c r="I111">
        <v>6.0124762155143952E-2</v>
      </c>
      <c r="J111">
        <v>864.88000952148434</v>
      </c>
      <c r="K111">
        <v>0.87117950854779347</v>
      </c>
      <c r="L111">
        <v>-123.949</v>
      </c>
      <c r="M111">
        <v>-0.12485180339031537</v>
      </c>
      <c r="N111">
        <v>627.87799999999993</v>
      </c>
      <c r="O111">
        <v>-146.929</v>
      </c>
      <c r="P111">
        <v>-0.14799918208566143</v>
      </c>
    </row>
    <row r="112" spans="1:16" x14ac:dyDescent="0.2">
      <c r="A112" t="s">
        <v>303</v>
      </c>
      <c r="B112">
        <v>1209.0925</v>
      </c>
      <c r="C112">
        <v>153.27600000000001</v>
      </c>
      <c r="D112">
        <v>183.61700000000002</v>
      </c>
      <c r="E112">
        <v>205.86799999999999</v>
      </c>
      <c r="F112">
        <v>6.5848614235065375</v>
      </c>
      <c r="G112">
        <v>5.8731444420696759</v>
      </c>
      <c r="H112">
        <v>0.19795010308202202</v>
      </c>
      <c r="I112">
        <v>0.12118158993992911</v>
      </c>
      <c r="J112">
        <v>109.50099978637695</v>
      </c>
      <c r="K112">
        <v>0.59635545611995044</v>
      </c>
      <c r="L112">
        <v>-44.247999999999998</v>
      </c>
      <c r="M112">
        <v>-0.24097986569870977</v>
      </c>
      <c r="N112">
        <v>160.505</v>
      </c>
      <c r="O112">
        <v>-63.304550127549</v>
      </c>
      <c r="P112">
        <v>-0.3447641020578105</v>
      </c>
    </row>
    <row r="113" spans="1:16" x14ac:dyDescent="0.2">
      <c r="A113" t="s">
        <v>403</v>
      </c>
      <c r="B113">
        <v>200.29679999999999</v>
      </c>
      <c r="C113">
        <v>140.84399999999999</v>
      </c>
      <c r="D113">
        <v>168.36399999999998</v>
      </c>
      <c r="E113">
        <v>181.1</v>
      </c>
      <c r="F113">
        <v>1.1896652491031339</v>
      </c>
      <c r="G113">
        <v>1.1060011043622309</v>
      </c>
      <c r="H113">
        <v>0.19539348499048581</v>
      </c>
      <c r="I113">
        <v>7.5645624955453794E-2</v>
      </c>
      <c r="J113">
        <v>62.756998718261713</v>
      </c>
      <c r="K113">
        <v>0.37274594757942148</v>
      </c>
      <c r="L113">
        <v>16.504999999999999</v>
      </c>
      <c r="M113">
        <v>9.8031645719987653E-2</v>
      </c>
      <c r="N113">
        <v>18.823</v>
      </c>
      <c r="O113">
        <v>2.1417899999999994</v>
      </c>
      <c r="P113">
        <v>1.2721187427240977E-2</v>
      </c>
    </row>
    <row r="114" spans="1:16" x14ac:dyDescent="0.2">
      <c r="A114" t="s">
        <v>317</v>
      </c>
      <c r="B114">
        <v>759.31349999999998</v>
      </c>
      <c r="C114">
        <v>203.441</v>
      </c>
      <c r="D114">
        <v>242.89300000000003</v>
      </c>
      <c r="E114">
        <v>247.21700000000001</v>
      </c>
      <c r="F114">
        <v>3.1261234370689972</v>
      </c>
      <c r="G114">
        <v>3.0714453294069579</v>
      </c>
      <c r="H114">
        <v>0.19392354540136958</v>
      </c>
      <c r="I114">
        <v>1.7802077457975241E-2</v>
      </c>
      <c r="J114">
        <v>197.1649987182617</v>
      </c>
      <c r="K114">
        <v>0.8117360266383209</v>
      </c>
      <c r="L114">
        <v>40.060203810127</v>
      </c>
      <c r="M114">
        <v>0.16492942904952795</v>
      </c>
      <c r="N114">
        <v>82.822000000000003</v>
      </c>
      <c r="O114">
        <v>15.346821010000001</v>
      </c>
      <c r="P114">
        <v>6.3183463541559445E-2</v>
      </c>
    </row>
    <row r="115" spans="1:16" x14ac:dyDescent="0.2">
      <c r="A115" t="s">
        <v>273</v>
      </c>
      <c r="B115">
        <v>2032.1335999999999</v>
      </c>
      <c r="C115">
        <v>649.09299999999996</v>
      </c>
      <c r="D115">
        <v>774.83100000000002</v>
      </c>
      <c r="E115">
        <v>685.5</v>
      </c>
      <c r="F115">
        <v>2.6226797843658809</v>
      </c>
      <c r="G115">
        <v>2.9644545587162652</v>
      </c>
      <c r="H115">
        <v>0.19371338159554957</v>
      </c>
      <c r="I115">
        <v>-0.11529094731625344</v>
      </c>
      <c r="J115">
        <v>572.46900695800787</v>
      </c>
      <c r="K115">
        <v>0.73883079917815353</v>
      </c>
      <c r="L115">
        <v>202.02800000000002</v>
      </c>
      <c r="M115">
        <v>0.26073814806067391</v>
      </c>
      <c r="N115">
        <v>128.965</v>
      </c>
      <c r="O115">
        <v>-55.119129999999998</v>
      </c>
      <c r="P115">
        <v>-7.1136970513570055E-2</v>
      </c>
    </row>
    <row r="116" spans="1:16" x14ac:dyDescent="0.2">
      <c r="A116" t="s">
        <v>17</v>
      </c>
      <c r="B116">
        <v>49272.508399999999</v>
      </c>
      <c r="C116">
        <v>7093</v>
      </c>
      <c r="D116">
        <v>8467</v>
      </c>
      <c r="E116">
        <v>9081.755000000001</v>
      </c>
      <c r="F116">
        <v>5.8193584976969408</v>
      </c>
      <c r="G116">
        <v>5.4254390698714063</v>
      </c>
      <c r="H116">
        <v>0.19371211053150994</v>
      </c>
      <c r="I116">
        <v>7.2605999763788898E-2</v>
      </c>
      <c r="J116">
        <v>7285</v>
      </c>
      <c r="K116">
        <v>0.8603991968820125</v>
      </c>
      <c r="L116">
        <v>2515</v>
      </c>
      <c r="M116">
        <v>0.29703554978150465</v>
      </c>
      <c r="N116">
        <v>5971</v>
      </c>
      <c r="O116">
        <v>3395.5353242424239</v>
      </c>
      <c r="P116">
        <v>0.40103169059199528</v>
      </c>
    </row>
    <row r="117" spans="1:16" x14ac:dyDescent="0.2">
      <c r="A117" t="s">
        <v>191</v>
      </c>
      <c r="B117">
        <v>2249.4695999999999</v>
      </c>
      <c r="C117">
        <v>595.12599999999998</v>
      </c>
      <c r="D117">
        <v>709.59799999999996</v>
      </c>
      <c r="E117">
        <v>761.19500000000005</v>
      </c>
      <c r="F117">
        <v>3.1700619223842232</v>
      </c>
      <c r="G117">
        <v>2.955181786533017</v>
      </c>
      <c r="H117">
        <v>0.19234918319817987</v>
      </c>
      <c r="I117">
        <v>7.2713000882189682E-2</v>
      </c>
      <c r="J117">
        <v>605.50099267578128</v>
      </c>
      <c r="K117">
        <v>0.85330143641298495</v>
      </c>
      <c r="L117">
        <v>20.122</v>
      </c>
      <c r="M117">
        <v>2.8356900667701995E-2</v>
      </c>
      <c r="N117">
        <v>330.78399999999999</v>
      </c>
      <c r="O117">
        <v>-7.6881895614599998</v>
      </c>
      <c r="P117">
        <v>-1.0834570505356555E-2</v>
      </c>
    </row>
    <row r="118" spans="1:16" x14ac:dyDescent="0.2">
      <c r="A118" t="s">
        <v>608</v>
      </c>
      <c r="B118">
        <v>2858.7084</v>
      </c>
      <c r="C118">
        <v>741.42</v>
      </c>
      <c r="D118">
        <v>883.15200000000004</v>
      </c>
      <c r="E118">
        <v>981.11099999999999</v>
      </c>
      <c r="F118">
        <v>3.2369381488124351</v>
      </c>
      <c r="G118">
        <v>2.9137461510471292</v>
      </c>
      <c r="H118">
        <v>0.19116290361738297</v>
      </c>
      <c r="I118">
        <v>0.11091975107342789</v>
      </c>
      <c r="J118">
        <v>610.00600537109381</v>
      </c>
      <c r="K118">
        <v>0.69071462825322683</v>
      </c>
      <c r="L118">
        <v>82.168000000000006</v>
      </c>
      <c r="M118">
        <v>9.3039476783158506E-2</v>
      </c>
      <c r="N118">
        <v>372.87</v>
      </c>
      <c r="O118">
        <v>49.854209999999995</v>
      </c>
      <c r="P118">
        <v>5.6450316593293103E-2</v>
      </c>
    </row>
    <row r="119" spans="1:16" x14ac:dyDescent="0.2">
      <c r="A119" t="s">
        <v>610</v>
      </c>
      <c r="B119">
        <v>4868.8302000000003</v>
      </c>
      <c r="C119">
        <v>1082.9000000000001</v>
      </c>
      <c r="D119">
        <v>1286.5</v>
      </c>
      <c r="E119">
        <v>1414.836</v>
      </c>
      <c r="F119">
        <v>3.7845551496307817</v>
      </c>
      <c r="G119">
        <v>3.4412682459309774</v>
      </c>
      <c r="H119">
        <v>0.18801366700526354</v>
      </c>
      <c r="I119">
        <v>9.9755926933540628E-2</v>
      </c>
      <c r="J119">
        <v>696.89999084472652</v>
      </c>
      <c r="K119">
        <v>0.54170228592672098</v>
      </c>
      <c r="L119">
        <v>325.79999999999995</v>
      </c>
      <c r="M119">
        <v>0.25324523902059848</v>
      </c>
      <c r="N119">
        <v>165.1</v>
      </c>
      <c r="O119">
        <v>132.49198895886499</v>
      </c>
      <c r="P119">
        <v>0.10298638861940536</v>
      </c>
    </row>
    <row r="120" spans="1:16" x14ac:dyDescent="0.2">
      <c r="A120" t="s">
        <v>69</v>
      </c>
      <c r="B120">
        <v>11715.847599999999</v>
      </c>
      <c r="C120">
        <v>988.46500000000003</v>
      </c>
      <c r="D120">
        <v>1172.3630000000001</v>
      </c>
      <c r="E120">
        <v>1282.5710000000001</v>
      </c>
      <c r="F120">
        <v>9.9933617829972441</v>
      </c>
      <c r="G120">
        <v>9.1346581202911938</v>
      </c>
      <c r="H120">
        <v>0.18604401774468496</v>
      </c>
      <c r="I120">
        <v>9.4005013805451121E-2</v>
      </c>
      <c r="J120">
        <v>1016.0799910888672</v>
      </c>
      <c r="K120">
        <v>0.86669401123104972</v>
      </c>
      <c r="L120">
        <v>497.34900000000005</v>
      </c>
      <c r="M120">
        <v>0.42422782022291733</v>
      </c>
      <c r="N120">
        <v>881.50099999999998</v>
      </c>
      <c r="O120">
        <v>334.11229267563596</v>
      </c>
      <c r="P120">
        <v>0.28499047878143197</v>
      </c>
    </row>
    <row r="121" spans="1:16" x14ac:dyDescent="0.2">
      <c r="A121" t="s">
        <v>297</v>
      </c>
      <c r="B121">
        <v>1386.7829999999999</v>
      </c>
      <c r="C121">
        <v>1275.258</v>
      </c>
      <c r="D121">
        <v>1510.7610000000002</v>
      </c>
      <c r="E121">
        <v>1523.8330000000001</v>
      </c>
      <c r="F121">
        <v>0.91793672195668252</v>
      </c>
      <c r="G121">
        <v>0.91006232310233459</v>
      </c>
      <c r="H121">
        <v>0.18467086660111143</v>
      </c>
      <c r="I121">
        <v>8.6525929647376376E-3</v>
      </c>
      <c r="J121">
        <v>364.96499401855471</v>
      </c>
      <c r="K121">
        <v>0.24157692316557991</v>
      </c>
      <c r="L121">
        <v>185.99944985394302</v>
      </c>
      <c r="M121">
        <v>0.12311639620955465</v>
      </c>
      <c r="N121">
        <v>74.436999999999998</v>
      </c>
      <c r="O121">
        <v>69.219760000000008</v>
      </c>
      <c r="P121">
        <v>4.5817809699879732E-2</v>
      </c>
    </row>
    <row r="122" spans="1:16" x14ac:dyDescent="0.2">
      <c r="A122" t="s">
        <v>313</v>
      </c>
      <c r="B122">
        <v>684.58810000000005</v>
      </c>
      <c r="C122">
        <v>277.85199999999998</v>
      </c>
      <c r="D122">
        <v>328.411</v>
      </c>
      <c r="E122">
        <v>339.733</v>
      </c>
      <c r="F122">
        <v>2.0845468026345038</v>
      </c>
      <c r="G122">
        <v>2.0150768397535712</v>
      </c>
      <c r="H122">
        <v>0.18196377927817697</v>
      </c>
      <c r="I122">
        <v>3.4475093708797866E-2</v>
      </c>
      <c r="J122">
        <v>169.04300082397461</v>
      </c>
      <c r="K122">
        <v>0.51473002068741491</v>
      </c>
      <c r="L122">
        <v>6.7769999999999992</v>
      </c>
      <c r="M122">
        <v>2.0635727792309023E-2</v>
      </c>
      <c r="N122">
        <v>147.023</v>
      </c>
      <c r="O122">
        <v>-1.2028757999999999</v>
      </c>
      <c r="P122">
        <v>-3.6627147080944304E-3</v>
      </c>
    </row>
    <row r="123" spans="1:16" x14ac:dyDescent="0.2">
      <c r="A123" t="s">
        <v>91</v>
      </c>
      <c r="B123">
        <v>7952.1031999999996</v>
      </c>
      <c r="C123">
        <v>756.04300000000001</v>
      </c>
      <c r="D123">
        <v>891.15700000000004</v>
      </c>
      <c r="E123">
        <v>1005.667</v>
      </c>
      <c r="F123">
        <v>8.9233470645464266</v>
      </c>
      <c r="G123">
        <v>7.9072925729888714</v>
      </c>
      <c r="H123">
        <v>0.17871205738297957</v>
      </c>
      <c r="I123">
        <v>0.12849587670859353</v>
      </c>
      <c r="J123">
        <v>422.93600115966797</v>
      </c>
      <c r="K123">
        <v>0.47459202044047005</v>
      </c>
      <c r="L123">
        <v>222.82000000000002</v>
      </c>
      <c r="M123">
        <v>0.25003450570438207</v>
      </c>
      <c r="N123">
        <v>185.92599999999999</v>
      </c>
      <c r="O123">
        <v>145.27799871199099</v>
      </c>
      <c r="P123">
        <v>0.16302177810642904</v>
      </c>
    </row>
    <row r="124" spans="1:16" x14ac:dyDescent="0.2">
      <c r="A124" t="s">
        <v>221</v>
      </c>
      <c r="B124">
        <v>1943.9061999999999</v>
      </c>
      <c r="C124">
        <v>685.98800000000006</v>
      </c>
      <c r="D124">
        <v>807.30500000000006</v>
      </c>
      <c r="E124">
        <v>961.45699999999999</v>
      </c>
      <c r="F124">
        <v>2.4078956528201854</v>
      </c>
      <c r="G124">
        <v>2.0218337377542626</v>
      </c>
      <c r="H124">
        <v>0.17685003236208213</v>
      </c>
      <c r="I124">
        <v>0.19094642049782906</v>
      </c>
      <c r="J124">
        <v>275.29600018310543</v>
      </c>
      <c r="K124">
        <v>0.34100618747945993</v>
      </c>
      <c r="L124">
        <v>101.57077215189899</v>
      </c>
      <c r="M124">
        <v>0.12581462043700831</v>
      </c>
      <c r="N124">
        <v>86.795000000000002</v>
      </c>
      <c r="O124">
        <v>66.466239999999999</v>
      </c>
      <c r="P124">
        <v>8.233101492001163E-2</v>
      </c>
    </row>
    <row r="125" spans="1:16" x14ac:dyDescent="0.2">
      <c r="A125" t="s">
        <v>35</v>
      </c>
      <c r="B125">
        <v>23118.2019</v>
      </c>
      <c r="C125">
        <v>2951.9</v>
      </c>
      <c r="D125">
        <v>3426.9</v>
      </c>
      <c r="E125">
        <v>3662.9560000000001</v>
      </c>
      <c r="F125">
        <v>6.7460976100849166</v>
      </c>
      <c r="G125">
        <v>6.3113512420023605</v>
      </c>
      <c r="H125">
        <v>0.16091331007147938</v>
      </c>
      <c r="I125">
        <v>6.8883247249700963E-2</v>
      </c>
      <c r="J125">
        <v>2375.6999633789064</v>
      </c>
      <c r="K125">
        <v>0.69325044891269261</v>
      </c>
      <c r="L125">
        <v>1437.8257196663981</v>
      </c>
      <c r="M125">
        <v>0.41957037546073656</v>
      </c>
      <c r="N125">
        <v>358.2</v>
      </c>
      <c r="O125">
        <v>914.04665999999997</v>
      </c>
      <c r="P125">
        <v>0.26672697189880062</v>
      </c>
    </row>
    <row r="126" spans="1:16" x14ac:dyDescent="0.2">
      <c r="A126" t="s">
        <v>197</v>
      </c>
      <c r="B126">
        <v>2344.0949000000001</v>
      </c>
      <c r="C126">
        <v>313.24</v>
      </c>
      <c r="D126">
        <v>362.10199999999998</v>
      </c>
      <c r="E126">
        <v>403.58300000000003</v>
      </c>
      <c r="F126">
        <v>6.473576229902072</v>
      </c>
      <c r="G126">
        <v>5.8082102070701689</v>
      </c>
      <c r="H126">
        <v>0.15598901800536319</v>
      </c>
      <c r="I126">
        <v>0.11455611954642619</v>
      </c>
      <c r="J126">
        <v>250.68500076293947</v>
      </c>
      <c r="K126">
        <v>0.69230493276187233</v>
      </c>
      <c r="L126">
        <v>-3.4740000000000002</v>
      </c>
      <c r="M126">
        <v>-9.5939818062313938E-3</v>
      </c>
      <c r="N126">
        <v>39.213000000000001</v>
      </c>
      <c r="O126">
        <v>-84.54</v>
      </c>
      <c r="P126">
        <v>-0.23347012720172772</v>
      </c>
    </row>
    <row r="127" spans="1:16" x14ac:dyDescent="0.2">
      <c r="A127" t="s">
        <v>181</v>
      </c>
      <c r="B127">
        <v>2781.2797</v>
      </c>
      <c r="C127">
        <v>343.274</v>
      </c>
      <c r="D127">
        <v>394.09599999999995</v>
      </c>
      <c r="E127">
        <v>427.56700000000001</v>
      </c>
      <c r="F127">
        <v>7.0573659717429269</v>
      </c>
      <c r="G127">
        <v>6.5048979458190175</v>
      </c>
      <c r="H127">
        <v>0.14805082820137833</v>
      </c>
      <c r="I127">
        <v>8.4931082781860345E-2</v>
      </c>
      <c r="J127">
        <v>220.96600073242186</v>
      </c>
      <c r="K127">
        <v>0.56069079800967758</v>
      </c>
      <c r="L127">
        <v>54.477999999999994</v>
      </c>
      <c r="M127">
        <v>0.13823535382241892</v>
      </c>
      <c r="N127">
        <v>124.613</v>
      </c>
      <c r="O127">
        <v>4.2689791113369981</v>
      </c>
      <c r="P127">
        <v>1.0832333013623581E-2</v>
      </c>
    </row>
    <row r="128" spans="1:16" x14ac:dyDescent="0.2">
      <c r="A128" t="s">
        <v>15</v>
      </c>
      <c r="B128">
        <v>61613.105499999998</v>
      </c>
      <c r="C128">
        <v>11667.8</v>
      </c>
      <c r="D128">
        <v>13325.8</v>
      </c>
      <c r="E128">
        <v>14165.857</v>
      </c>
      <c r="F128">
        <v>4.6235952438127539</v>
      </c>
      <c r="G128">
        <v>4.3494089697502947</v>
      </c>
      <c r="H128">
        <v>0.14210048166749517</v>
      </c>
      <c r="I128">
        <v>6.303989253928477E-2</v>
      </c>
      <c r="J128">
        <v>5483.0999511718746</v>
      </c>
      <c r="K128">
        <v>0.41146497404822785</v>
      </c>
      <c r="L128">
        <v>3327.1</v>
      </c>
      <c r="M128">
        <v>0.24967356556454398</v>
      </c>
      <c r="N128">
        <v>2170</v>
      </c>
      <c r="O128">
        <v>1929.6169999999997</v>
      </c>
      <c r="P128">
        <v>0.144803088745141</v>
      </c>
    </row>
    <row r="129" spans="1:16" x14ac:dyDescent="0.2">
      <c r="A129" t="s">
        <v>117</v>
      </c>
      <c r="B129">
        <v>6521.5419000000002</v>
      </c>
      <c r="C129">
        <v>881.35599999999999</v>
      </c>
      <c r="D129">
        <v>1005.8890000000001</v>
      </c>
      <c r="E129">
        <v>1083.6669999999999</v>
      </c>
      <c r="F129">
        <v>6.4833613848048834</v>
      </c>
      <c r="G129">
        <v>6.0180312771358739</v>
      </c>
      <c r="H129">
        <v>0.14129704682330424</v>
      </c>
      <c r="I129">
        <v>7.732264693221591E-2</v>
      </c>
      <c r="J129">
        <v>699.41901611328126</v>
      </c>
      <c r="K129">
        <v>0.69532425159563449</v>
      </c>
      <c r="L129">
        <v>228.197</v>
      </c>
      <c r="M129">
        <v>0.2268610154798392</v>
      </c>
      <c r="N129">
        <v>90.022999999999996</v>
      </c>
      <c r="O129">
        <v>130.87135000000001</v>
      </c>
      <c r="P129">
        <v>0.13010516070858713</v>
      </c>
    </row>
    <row r="130" spans="1:16" x14ac:dyDescent="0.2">
      <c r="A130" t="s">
        <v>163</v>
      </c>
      <c r="B130">
        <v>3579.8489</v>
      </c>
      <c r="C130">
        <v>730.81500000000005</v>
      </c>
      <c r="D130">
        <v>833.04499999999996</v>
      </c>
      <c r="E130">
        <v>871.04500000000007</v>
      </c>
      <c r="F130">
        <v>4.2973055477195112</v>
      </c>
      <c r="G130">
        <v>4.1098323278361049</v>
      </c>
      <c r="H130">
        <v>0.13988492299692795</v>
      </c>
      <c r="I130">
        <v>4.5615783060939163E-2</v>
      </c>
      <c r="J130">
        <v>461.10500335693359</v>
      </c>
      <c r="K130">
        <v>0.55351752109061769</v>
      </c>
      <c r="L130">
        <v>162.346</v>
      </c>
      <c r="M130">
        <v>0.19488262938976889</v>
      </c>
      <c r="N130">
        <v>29.83</v>
      </c>
      <c r="O130">
        <v>80.155496400630994</v>
      </c>
      <c r="P130">
        <v>9.621988776192282E-2</v>
      </c>
    </row>
    <row r="131" spans="1:16" x14ac:dyDescent="0.2">
      <c r="A131" t="s">
        <v>67</v>
      </c>
      <c r="B131">
        <v>12773.614</v>
      </c>
      <c r="C131">
        <v>1816.0830000000001</v>
      </c>
      <c r="D131">
        <v>2069.8940000000002</v>
      </c>
      <c r="E131">
        <v>2201.5</v>
      </c>
      <c r="F131">
        <v>6.1711440295976496</v>
      </c>
      <c r="G131">
        <v>5.8022321144674081</v>
      </c>
      <c r="H131">
        <v>0.13975737893036835</v>
      </c>
      <c r="I131">
        <v>6.3581033618146598E-2</v>
      </c>
      <c r="J131">
        <v>1826.9869919433593</v>
      </c>
      <c r="K131">
        <v>0.88264760994686642</v>
      </c>
      <c r="L131">
        <v>518.21699999999998</v>
      </c>
      <c r="M131">
        <v>0.25035919713763116</v>
      </c>
      <c r="N131">
        <v>688.08699999999999</v>
      </c>
      <c r="O131">
        <v>347.59648759077601</v>
      </c>
      <c r="P131">
        <v>0.16792960779188498</v>
      </c>
    </row>
    <row r="132" spans="1:16" x14ac:dyDescent="0.2">
      <c r="A132" t="s">
        <v>283</v>
      </c>
      <c r="B132">
        <v>2037.6169</v>
      </c>
      <c r="C132">
        <v>1265.364</v>
      </c>
      <c r="D132">
        <v>1442.086</v>
      </c>
      <c r="E132">
        <v>1299.5</v>
      </c>
      <c r="F132">
        <v>1.4129648994581461</v>
      </c>
      <c r="G132">
        <v>1.568000692574067</v>
      </c>
      <c r="H132">
        <v>0.13966099873238055</v>
      </c>
      <c r="I132">
        <v>-9.8874824386340321E-2</v>
      </c>
      <c r="J132">
        <v>493.43699993896485</v>
      </c>
      <c r="K132">
        <v>0.34216891360082885</v>
      </c>
      <c r="L132">
        <v>321.95100000000002</v>
      </c>
      <c r="M132">
        <v>0.22325367557829423</v>
      </c>
      <c r="N132">
        <v>51.37</v>
      </c>
      <c r="O132">
        <v>65.558989999999994</v>
      </c>
      <c r="P132">
        <v>4.546122075937218E-2</v>
      </c>
    </row>
    <row r="133" spans="1:16" x14ac:dyDescent="0.2">
      <c r="A133" t="s">
        <v>147</v>
      </c>
      <c r="B133">
        <v>3887.6603</v>
      </c>
      <c r="C133">
        <v>750.26599999999996</v>
      </c>
      <c r="D133">
        <v>851.31600000000003</v>
      </c>
      <c r="E133">
        <v>927.80000000000007</v>
      </c>
      <c r="F133">
        <v>4.5666477547702611</v>
      </c>
      <c r="G133">
        <v>4.1901921750377236</v>
      </c>
      <c r="H133">
        <v>0.1346855648529989</v>
      </c>
      <c r="I133">
        <v>8.9842079791757845E-2</v>
      </c>
      <c r="J133">
        <v>558.17699633789061</v>
      </c>
      <c r="K133">
        <v>0.65566369754343934</v>
      </c>
      <c r="L133">
        <v>16.656999999999996</v>
      </c>
      <c r="M133">
        <v>1.9566177541594419E-2</v>
      </c>
      <c r="N133">
        <v>162.279</v>
      </c>
      <c r="O133">
        <v>16.697999999999997</v>
      </c>
      <c r="P133">
        <v>1.9614338271570129E-2</v>
      </c>
    </row>
    <row r="134" spans="1:16" x14ac:dyDescent="0.2">
      <c r="A134" t="s">
        <v>75</v>
      </c>
      <c r="B134">
        <v>11659.7503</v>
      </c>
      <c r="C134">
        <v>1354.646</v>
      </c>
      <c r="D134">
        <v>1536.6029999999998</v>
      </c>
      <c r="E134">
        <v>1642.25</v>
      </c>
      <c r="F134">
        <v>7.5880043836957238</v>
      </c>
      <c r="G134">
        <v>7.0998631755213886</v>
      </c>
      <c r="H134">
        <v>0.13432070075872213</v>
      </c>
      <c r="I134">
        <v>6.8753607795897898E-2</v>
      </c>
      <c r="J134">
        <v>662.96098620605471</v>
      </c>
      <c r="K134">
        <v>0.43144584919205209</v>
      </c>
      <c r="L134">
        <v>542.40800000000002</v>
      </c>
      <c r="M134">
        <v>0.35299163154048252</v>
      </c>
      <c r="N134">
        <v>31.439999999999998</v>
      </c>
      <c r="O134">
        <v>282.15797000000003</v>
      </c>
      <c r="P134">
        <v>0.18362450808699454</v>
      </c>
    </row>
    <row r="135" spans="1:16" x14ac:dyDescent="0.2">
      <c r="A135" t="s">
        <v>367</v>
      </c>
      <c r="B135">
        <v>268.75810000000001</v>
      </c>
      <c r="C135">
        <v>113.2</v>
      </c>
      <c r="D135">
        <v>128.30699999999999</v>
      </c>
      <c r="E135">
        <v>134.50399999999999</v>
      </c>
      <c r="F135">
        <v>2.094648772085701</v>
      </c>
      <c r="G135">
        <v>1.9981420626895856</v>
      </c>
      <c r="H135">
        <v>0.13345406360424014</v>
      </c>
      <c r="I135">
        <v>4.8298222232614041E-2</v>
      </c>
      <c r="J135">
        <v>101.39099937438965</v>
      </c>
      <c r="K135">
        <v>0.79022188481056888</v>
      </c>
      <c r="L135">
        <v>-4.3410000000000002</v>
      </c>
      <c r="M135">
        <v>-3.383291636465665E-2</v>
      </c>
      <c r="N135">
        <v>53.421999999999997</v>
      </c>
      <c r="O135">
        <v>-10.436999999999999</v>
      </c>
      <c r="P135">
        <v>-8.1343964086137158E-2</v>
      </c>
    </row>
    <row r="136" spans="1:16" x14ac:dyDescent="0.2">
      <c r="A136" t="s">
        <v>371</v>
      </c>
      <c r="B136">
        <v>255.0078</v>
      </c>
      <c r="C136">
        <v>21.792999999999999</v>
      </c>
      <c r="D136">
        <v>24.585999999999999</v>
      </c>
      <c r="E136">
        <v>25.216999999999999</v>
      </c>
      <c r="F136">
        <v>10.372073537785733</v>
      </c>
      <c r="G136">
        <v>10.11253519451164</v>
      </c>
      <c r="H136">
        <v>0.12816041848299911</v>
      </c>
      <c r="I136">
        <v>2.5665012608801829E-2</v>
      </c>
      <c r="J136">
        <v>16.067000110626221</v>
      </c>
      <c r="K136">
        <v>0.6535019975037103</v>
      </c>
      <c r="L136">
        <v>-27.398</v>
      </c>
      <c r="M136">
        <v>-1.1143740340030912</v>
      </c>
      <c r="N136">
        <v>40.823</v>
      </c>
      <c r="O136">
        <v>-28.759999999999998</v>
      </c>
      <c r="P136">
        <v>-1.1697714146262099</v>
      </c>
    </row>
    <row r="137" spans="1:16" x14ac:dyDescent="0.2">
      <c r="A137" t="s">
        <v>285</v>
      </c>
      <c r="B137">
        <v>1236.1941999999999</v>
      </c>
      <c r="C137">
        <v>1460.037</v>
      </c>
      <c r="D137">
        <v>1637.712</v>
      </c>
      <c r="E137">
        <v>1656.5</v>
      </c>
      <c r="F137">
        <v>0.75483003116543079</v>
      </c>
      <c r="G137">
        <v>0.74626875943253845</v>
      </c>
      <c r="H137">
        <v>0.12169212150103043</v>
      </c>
      <c r="I137">
        <v>1.147210254305997E-2</v>
      </c>
      <c r="J137">
        <v>553.73400109863292</v>
      </c>
      <c r="K137">
        <v>0.33811439441039259</v>
      </c>
      <c r="L137">
        <v>168.06400000000002</v>
      </c>
      <c r="M137">
        <v>0.10262121789423294</v>
      </c>
      <c r="N137">
        <v>343.73399999999998</v>
      </c>
      <c r="O137">
        <v>71.187725335842003</v>
      </c>
      <c r="P137">
        <v>4.3467792466466634E-2</v>
      </c>
    </row>
    <row r="138" spans="1:16" x14ac:dyDescent="0.2">
      <c r="A138" t="s">
        <v>383</v>
      </c>
      <c r="B138">
        <v>259.96980000000002</v>
      </c>
      <c r="C138">
        <v>73.161190000000005</v>
      </c>
      <c r="D138">
        <v>81.967006999999995</v>
      </c>
      <c r="E138">
        <v>89.275000000000006</v>
      </c>
      <c r="F138">
        <v>3.1716395354047759</v>
      </c>
      <c r="G138">
        <v>2.9120112013441615</v>
      </c>
      <c r="H138">
        <v>0.12036186125458033</v>
      </c>
      <c r="I138">
        <v>8.9157738796050046E-2</v>
      </c>
      <c r="J138">
        <v>44.329346749023436</v>
      </c>
      <c r="K138">
        <v>0.54081939028252479</v>
      </c>
      <c r="L138">
        <v>-4.3256870000000003</v>
      </c>
      <c r="M138">
        <v>-5.2773514104278572E-2</v>
      </c>
      <c r="N138">
        <v>9.3606009999999991</v>
      </c>
      <c r="O138">
        <v>-10.418129</v>
      </c>
      <c r="P138">
        <v>-0.12710149340941534</v>
      </c>
    </row>
    <row r="139" spans="1:16" x14ac:dyDescent="0.2">
      <c r="A139" t="s">
        <v>561</v>
      </c>
      <c r="B139">
        <v>2404.9515999999999</v>
      </c>
      <c r="C139">
        <v>427.58800000000002</v>
      </c>
      <c r="D139">
        <v>476.02700000000004</v>
      </c>
      <c r="E139">
        <v>635.75</v>
      </c>
      <c r="F139">
        <v>5.0521327571755377</v>
      </c>
      <c r="G139">
        <v>3.7828574125049155</v>
      </c>
      <c r="H139">
        <v>0.11328428300139391</v>
      </c>
      <c r="I139">
        <v>0.33553348864665233</v>
      </c>
      <c r="J139">
        <v>327.95800305175783</v>
      </c>
      <c r="K139">
        <v>0.68894832236776027</v>
      </c>
      <c r="L139">
        <v>100.64099999999999</v>
      </c>
      <c r="M139">
        <v>0.21141868003285524</v>
      </c>
      <c r="N139">
        <v>208.94399999999999</v>
      </c>
      <c r="O139">
        <v>7.2179362649929981</v>
      </c>
      <c r="P139">
        <v>1.5162871570295377E-2</v>
      </c>
    </row>
    <row r="140" spans="1:16" x14ac:dyDescent="0.2">
      <c r="A140" t="s">
        <v>109</v>
      </c>
      <c r="B140">
        <v>9733.1316000000006</v>
      </c>
      <c r="C140">
        <v>3373.3870000000002</v>
      </c>
      <c r="D140">
        <v>3755.2129999999997</v>
      </c>
      <c r="E140">
        <v>3945.0750000000003</v>
      </c>
      <c r="F140">
        <v>2.5918986752549058</v>
      </c>
      <c r="G140">
        <v>2.4671600920134598</v>
      </c>
      <c r="H140">
        <v>0.11318772497789301</v>
      </c>
      <c r="I140">
        <v>5.0559582106261436E-2</v>
      </c>
      <c r="J140">
        <v>1077.0209764404296</v>
      </c>
      <c r="K140">
        <v>0.28680689389401604</v>
      </c>
      <c r="L140">
        <v>972.27599999999995</v>
      </c>
      <c r="M140">
        <v>0.2589136754692743</v>
      </c>
      <c r="N140">
        <v>361.38099999999997</v>
      </c>
      <c r="O140">
        <v>307.796316586464</v>
      </c>
      <c r="P140">
        <v>8.1965075372945298E-2</v>
      </c>
    </row>
    <row r="141" spans="1:16" x14ac:dyDescent="0.2">
      <c r="A141" t="s">
        <v>121</v>
      </c>
      <c r="B141">
        <v>6190.1469999999999</v>
      </c>
      <c r="C141">
        <v>2570.7559999999999</v>
      </c>
      <c r="D141">
        <v>2860.71</v>
      </c>
      <c r="E141">
        <v>3102.7919999999999</v>
      </c>
      <c r="F141">
        <v>2.1638498834205495</v>
      </c>
      <c r="G141">
        <v>1.9950248034673288</v>
      </c>
      <c r="H141">
        <v>0.11278938958034142</v>
      </c>
      <c r="I141">
        <v>8.4623048124416567E-2</v>
      </c>
      <c r="J141">
        <v>1068.4139918212891</v>
      </c>
      <c r="K141">
        <v>0.37347860909399733</v>
      </c>
      <c r="L141">
        <v>407.05099999999999</v>
      </c>
      <c r="M141">
        <v>0.14229020068444545</v>
      </c>
      <c r="N141">
        <v>504.46799999999996</v>
      </c>
      <c r="O141">
        <v>271.84730999999999</v>
      </c>
      <c r="P141">
        <v>9.5027916146690858E-2</v>
      </c>
    </row>
    <row r="142" spans="1:16" x14ac:dyDescent="0.2">
      <c r="A142" t="s">
        <v>165</v>
      </c>
      <c r="B142">
        <v>3196.73</v>
      </c>
      <c r="C142">
        <v>714.11400000000003</v>
      </c>
      <c r="D142">
        <v>793.64200000000005</v>
      </c>
      <c r="E142">
        <v>853.05899999999997</v>
      </c>
      <c r="F142">
        <v>4.0279244294026775</v>
      </c>
      <c r="G142">
        <v>3.7473726905173033</v>
      </c>
      <c r="H142">
        <v>0.11136597237976012</v>
      </c>
      <c r="I142">
        <v>7.4866249518044548E-2</v>
      </c>
      <c r="J142">
        <v>520.84100958251952</v>
      </c>
      <c r="K142">
        <v>0.65626694351170867</v>
      </c>
      <c r="L142">
        <v>-128.273</v>
      </c>
      <c r="M142">
        <v>-0.1616257708135406</v>
      </c>
      <c r="N142">
        <v>180.89099999999999</v>
      </c>
      <c r="O142">
        <v>-257.473708220025</v>
      </c>
      <c r="P142">
        <v>-0.32442046693600513</v>
      </c>
    </row>
    <row r="143" spans="1:16" x14ac:dyDescent="0.2">
      <c r="A143" t="s">
        <v>343</v>
      </c>
      <c r="B143">
        <v>343.18979999999999</v>
      </c>
      <c r="C143">
        <v>163.92599999999999</v>
      </c>
      <c r="D143">
        <v>181.369</v>
      </c>
      <c r="E143">
        <v>204.3</v>
      </c>
      <c r="F143">
        <v>1.8922186261158191</v>
      </c>
      <c r="G143">
        <v>1.6798325991189427</v>
      </c>
      <c r="H143">
        <v>0.10640776935934515</v>
      </c>
      <c r="I143">
        <v>0.12643285236175972</v>
      </c>
      <c r="J143">
        <v>150.5580012512207</v>
      </c>
      <c r="K143">
        <v>0.83011981789181555</v>
      </c>
      <c r="L143">
        <v>-47.040999999999997</v>
      </c>
      <c r="M143">
        <v>-0.25936626435609172</v>
      </c>
      <c r="N143">
        <v>85.832999999999998</v>
      </c>
      <c r="O143">
        <v>-51.76737</v>
      </c>
      <c r="P143">
        <v>-0.28542567914031614</v>
      </c>
    </row>
    <row r="144" spans="1:16" x14ac:dyDescent="0.2">
      <c r="A144" t="s">
        <v>29</v>
      </c>
      <c r="B144">
        <v>37238.548000000003</v>
      </c>
      <c r="C144">
        <v>3578.991</v>
      </c>
      <c r="D144">
        <v>3957.0110000000004</v>
      </c>
      <c r="E144">
        <v>4123.2660000000005</v>
      </c>
      <c r="F144">
        <v>9.4107769728211519</v>
      </c>
      <c r="G144">
        <v>9.0313232277519813</v>
      </c>
      <c r="H144">
        <v>0.10562194763831495</v>
      </c>
      <c r="I144">
        <v>4.2015298921332267E-2</v>
      </c>
      <c r="J144">
        <v>2980.6710327148439</v>
      </c>
      <c r="K144">
        <v>0.75326326682307521</v>
      </c>
      <c r="L144">
        <v>1336.268</v>
      </c>
      <c r="M144">
        <v>0.33769630663144479</v>
      </c>
      <c r="N144">
        <v>126.503</v>
      </c>
      <c r="O144">
        <v>93.840450000000004</v>
      </c>
      <c r="P144">
        <v>2.3714983354860525E-2</v>
      </c>
    </row>
    <row r="145" spans="1:16" x14ac:dyDescent="0.2">
      <c r="A145" t="s">
        <v>607</v>
      </c>
      <c r="B145">
        <v>25857.610499999999</v>
      </c>
      <c r="C145">
        <v>4396</v>
      </c>
      <c r="D145">
        <v>4838</v>
      </c>
      <c r="E145">
        <v>5394.9750000000004</v>
      </c>
      <c r="F145">
        <v>5.3446900578751544</v>
      </c>
      <c r="G145">
        <v>4.7929064546174907</v>
      </c>
      <c r="H145">
        <v>0.1005459508644222</v>
      </c>
      <c r="I145">
        <v>0.11512505167424569</v>
      </c>
      <c r="J145">
        <v>3503</v>
      </c>
      <c r="K145">
        <v>0.72405952873088053</v>
      </c>
      <c r="L145">
        <v>1151</v>
      </c>
      <c r="M145">
        <v>0.23790822653989252</v>
      </c>
      <c r="N145">
        <v>4258</v>
      </c>
      <c r="O145">
        <v>881.07999999999993</v>
      </c>
      <c r="P145">
        <v>0.18211657709797435</v>
      </c>
    </row>
  </sheetData>
  <autoFilter ref="A1:P145" xr:uid="{D7732E78-9483-4441-974D-E94DC32681D4}">
    <sortState xmlns:xlrd2="http://schemas.microsoft.com/office/spreadsheetml/2017/richdata2" ref="A2:P145">
      <sortCondition descending="1" ref="H1:H145"/>
    </sortState>
  </autoFilter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5B64F-C590-43C6-9FE3-8EFB1EF8C1CB}">
  <dimension ref="A1:P193"/>
  <sheetViews>
    <sheetView zoomScale="85" zoomScaleNormal="85" workbookViewId="0">
      <selection activeCell="H41" sqref="H41"/>
    </sheetView>
  </sheetViews>
  <sheetFormatPr defaultRowHeight="12.75" x14ac:dyDescent="0.2"/>
  <cols>
    <col min="1" max="1" width="18.28515625" customWidth="1"/>
    <col min="2" max="2" width="10.5703125" bestFit="1" customWidth="1"/>
    <col min="3" max="3" width="10.5703125" customWidth="1"/>
    <col min="4" max="4" width="14" customWidth="1"/>
    <col min="5" max="5" width="11.28515625" bestFit="1" customWidth="1"/>
    <col min="6" max="7" width="9.7109375" style="174" customWidth="1"/>
    <col min="8" max="8" width="9.7109375" customWidth="1"/>
    <col min="9" max="9" width="14.85546875" style="181" bestFit="1" customWidth="1"/>
    <col min="10" max="10" width="9.42578125" customWidth="1"/>
    <col min="11" max="11" width="13.5703125" style="177" bestFit="1" customWidth="1"/>
    <col min="12" max="12" width="14" customWidth="1"/>
    <col min="13" max="13" width="12.28515625" style="184" customWidth="1"/>
    <col min="14" max="15" width="12.28515625" customWidth="1"/>
    <col min="16" max="16" width="14.85546875" bestFit="1" customWidth="1"/>
    <col min="18" max="18" width="26.28515625" customWidth="1"/>
    <col min="19" max="25" width="16.28515625" customWidth="1"/>
  </cols>
  <sheetData>
    <row r="1" spans="1:16" ht="55.5" customHeight="1" x14ac:dyDescent="0.2">
      <c r="A1" t="s">
        <v>424</v>
      </c>
      <c r="B1" t="s">
        <v>718</v>
      </c>
      <c r="C1" t="s">
        <v>962</v>
      </c>
      <c r="D1" t="s">
        <v>963</v>
      </c>
      <c r="E1" t="s">
        <v>964</v>
      </c>
      <c r="F1" t="s">
        <v>902</v>
      </c>
      <c r="G1" t="s">
        <v>957</v>
      </c>
      <c r="H1" t="s">
        <v>965</v>
      </c>
      <c r="I1" t="s">
        <v>966</v>
      </c>
      <c r="J1" t="s">
        <v>959</v>
      </c>
      <c r="K1" t="s">
        <v>967</v>
      </c>
      <c r="L1" t="s">
        <v>438</v>
      </c>
      <c r="M1" t="s">
        <v>974</v>
      </c>
      <c r="N1" t="s">
        <v>956</v>
      </c>
      <c r="O1" t="s">
        <v>976</v>
      </c>
      <c r="P1" t="s">
        <v>977</v>
      </c>
    </row>
    <row r="2" spans="1:16" x14ac:dyDescent="0.2">
      <c r="A2" t="s">
        <v>1</v>
      </c>
      <c r="B2">
        <v>759109.37990000006</v>
      </c>
      <c r="C2">
        <v>91154</v>
      </c>
      <c r="D2">
        <v>110360</v>
      </c>
      <c r="E2">
        <v>122897.462</v>
      </c>
      <c r="F2">
        <v>6.8784829639362091</v>
      </c>
      <c r="G2">
        <v>6.1767701915601814</v>
      </c>
      <c r="H2">
        <v>0.21069837856813745</v>
      </c>
      <c r="I2">
        <v>0.1136051286698079</v>
      </c>
      <c r="J2">
        <v>72007</v>
      </c>
      <c r="K2">
        <v>0.65247372236317502</v>
      </c>
      <c r="L2">
        <v>45319</v>
      </c>
      <c r="M2">
        <v>0.41064697354113811</v>
      </c>
      <c r="N2">
        <v>11946</v>
      </c>
      <c r="O2">
        <v>27500.14</v>
      </c>
      <c r="P2">
        <v>0.24918575570859006</v>
      </c>
    </row>
    <row r="3" spans="1:16" x14ac:dyDescent="0.2">
      <c r="A3" t="s">
        <v>7</v>
      </c>
      <c r="B3">
        <v>178833.2904</v>
      </c>
      <c r="C3">
        <v>37047</v>
      </c>
      <c r="D3">
        <v>39836</v>
      </c>
      <c r="E3">
        <v>40369.717000000004</v>
      </c>
      <c r="F3">
        <v>4.4892381363590719</v>
      </c>
      <c r="G3">
        <v>4.429887145357001</v>
      </c>
      <c r="H3">
        <v>7.5282748940534994E-2</v>
      </c>
      <c r="I3">
        <v>1.3397856210463003E-2</v>
      </c>
      <c r="J3">
        <v>31737</v>
      </c>
      <c r="K3">
        <v>0.79669143488302041</v>
      </c>
      <c r="L3">
        <v>17054</v>
      </c>
      <c r="M3">
        <v>0.42810523144894064</v>
      </c>
      <c r="N3">
        <v>21620</v>
      </c>
      <c r="O3">
        <v>11273.48040882633</v>
      </c>
      <c r="P3">
        <v>0.2829972991471616</v>
      </c>
    </row>
    <row r="4" spans="1:16" x14ac:dyDescent="0.2">
      <c r="A4" t="s">
        <v>9</v>
      </c>
      <c r="B4">
        <v>117401.54</v>
      </c>
      <c r="C4">
        <v>5854.43</v>
      </c>
      <c r="D4">
        <v>8571.9779999999992</v>
      </c>
      <c r="E4">
        <v>10315.565000000001</v>
      </c>
      <c r="F4">
        <v>13.695968421757499</v>
      </c>
      <c r="G4">
        <v>11.381009183694736</v>
      </c>
      <c r="H4">
        <v>0.46418660740669865</v>
      </c>
      <c r="I4">
        <v>0.20340544504430613</v>
      </c>
      <c r="J4">
        <v>7465.3680576171873</v>
      </c>
      <c r="K4">
        <v>0.8709037817895926</v>
      </c>
      <c r="L4">
        <v>3089.8100000000004</v>
      </c>
      <c r="M4">
        <v>0.36045472818525676</v>
      </c>
      <c r="N4">
        <v>2306.0720000000001</v>
      </c>
      <c r="O4">
        <v>2415.5068601730072</v>
      </c>
      <c r="P4">
        <v>0.28179107087920752</v>
      </c>
    </row>
    <row r="5" spans="1:16" x14ac:dyDescent="0.2">
      <c r="A5" t="s">
        <v>11</v>
      </c>
      <c r="B5">
        <v>103894.19990000001</v>
      </c>
      <c r="C5">
        <v>6667.2160000000003</v>
      </c>
      <c r="D5">
        <v>11817.844000000001</v>
      </c>
      <c r="E5">
        <v>14404.651</v>
      </c>
      <c r="F5">
        <v>8.7912989797462213</v>
      </c>
      <c r="G5">
        <v>7.2125454410523382</v>
      </c>
      <c r="H5">
        <v>0.77253054348321704</v>
      </c>
      <c r="I5">
        <v>0.2188899261151187</v>
      </c>
      <c r="J5">
        <v>8749.5439453125</v>
      </c>
      <c r="K5">
        <v>0.74036718925317502</v>
      </c>
      <c r="L5">
        <v>1308.0920000000001</v>
      </c>
      <c r="M5">
        <v>0.11068787166254691</v>
      </c>
      <c r="N5">
        <v>2543</v>
      </c>
      <c r="O5">
        <v>482.47887560000004</v>
      </c>
      <c r="P5">
        <v>4.0826302631850615E-2</v>
      </c>
    </row>
    <row r="6" spans="1:16" x14ac:dyDescent="0.2">
      <c r="A6" t="s">
        <v>15</v>
      </c>
      <c r="B6">
        <v>61613.105499999998</v>
      </c>
      <c r="C6">
        <v>11667.8</v>
      </c>
      <c r="D6">
        <v>13325.8</v>
      </c>
      <c r="E6">
        <v>14165.857</v>
      </c>
      <c r="F6">
        <v>4.6235952438127539</v>
      </c>
      <c r="G6">
        <v>4.3494089697502947</v>
      </c>
      <c r="H6">
        <v>0.14210048166749517</v>
      </c>
      <c r="I6">
        <v>6.303989253928477E-2</v>
      </c>
      <c r="J6">
        <v>5483.0999511718746</v>
      </c>
      <c r="K6">
        <v>0.41146497404822785</v>
      </c>
      <c r="L6">
        <v>3327.1</v>
      </c>
      <c r="M6">
        <v>0.24967356556454398</v>
      </c>
      <c r="N6">
        <v>2170</v>
      </c>
      <c r="O6">
        <v>1929.6169999999997</v>
      </c>
      <c r="P6">
        <v>0.144803088745141</v>
      </c>
    </row>
    <row r="7" spans="1:16" x14ac:dyDescent="0.2">
      <c r="A7" t="s">
        <v>17</v>
      </c>
      <c r="B7">
        <v>49272.508399999999</v>
      </c>
      <c r="C7">
        <v>7093</v>
      </c>
      <c r="D7">
        <v>8467</v>
      </c>
      <c r="E7">
        <v>9081.755000000001</v>
      </c>
      <c r="F7">
        <v>5.8193584976969408</v>
      </c>
      <c r="G7">
        <v>5.4254390698714063</v>
      </c>
      <c r="H7">
        <v>0.19371211053150994</v>
      </c>
      <c r="I7">
        <v>7.2605999763788898E-2</v>
      </c>
      <c r="J7">
        <v>7285</v>
      </c>
      <c r="K7">
        <v>0.8603991968820125</v>
      </c>
      <c r="L7">
        <v>2515</v>
      </c>
      <c r="M7">
        <v>0.29703554978150465</v>
      </c>
      <c r="N7">
        <v>5971</v>
      </c>
      <c r="O7">
        <v>3395.5353242424239</v>
      </c>
      <c r="P7">
        <v>0.40103169059199528</v>
      </c>
    </row>
    <row r="8" spans="1:16" x14ac:dyDescent="0.2">
      <c r="A8" t="s">
        <v>19</v>
      </c>
      <c r="B8">
        <v>52287.719499999999</v>
      </c>
      <c r="C8">
        <v>4694</v>
      </c>
      <c r="D8">
        <v>5964</v>
      </c>
      <c r="E8">
        <v>6610.5380000000005</v>
      </c>
      <c r="F8">
        <v>8.7672232562038896</v>
      </c>
      <c r="G8">
        <v>7.9097525042591084</v>
      </c>
      <c r="H8">
        <v>0.27055815935236471</v>
      </c>
      <c r="I8">
        <v>0.10840677397719656</v>
      </c>
      <c r="J8">
        <v>4992</v>
      </c>
      <c r="K8">
        <v>0.83702213279678073</v>
      </c>
      <c r="L8">
        <v>1823</v>
      </c>
      <c r="M8">
        <v>0.3056673373574782</v>
      </c>
      <c r="N8">
        <v>1464</v>
      </c>
      <c r="O8">
        <v>1268.9562790151069</v>
      </c>
      <c r="P8">
        <v>0.21276932914404878</v>
      </c>
    </row>
    <row r="9" spans="1:16" x14ac:dyDescent="0.2">
      <c r="A9" t="s">
        <v>23</v>
      </c>
      <c r="B9">
        <v>30069.100900000001</v>
      </c>
      <c r="C9">
        <v>1390.5129999999999</v>
      </c>
      <c r="D9">
        <v>2264.8180000000002</v>
      </c>
      <c r="E9">
        <v>2957.73</v>
      </c>
      <c r="F9">
        <v>13.27660805415711</v>
      </c>
      <c r="G9">
        <v>10.166276468778422</v>
      </c>
      <c r="H9">
        <v>0.62876434812188042</v>
      </c>
      <c r="I9">
        <v>0.30594599654365151</v>
      </c>
      <c r="J9">
        <v>1706.5400173339845</v>
      </c>
      <c r="K9">
        <v>0.75349984737580866</v>
      </c>
      <c r="L9">
        <v>59.362000000000002</v>
      </c>
      <c r="M9">
        <v>2.6210494618110591E-2</v>
      </c>
      <c r="N9">
        <v>726.495</v>
      </c>
      <c r="O9">
        <v>-89.498374022804001</v>
      </c>
      <c r="P9">
        <v>-3.9516806217013457E-2</v>
      </c>
    </row>
    <row r="10" spans="1:16" x14ac:dyDescent="0.2">
      <c r="A10" t="s">
        <v>29</v>
      </c>
      <c r="B10">
        <v>37238.548000000003</v>
      </c>
      <c r="C10">
        <v>3578.991</v>
      </c>
      <c r="D10">
        <v>3957.0110000000004</v>
      </c>
      <c r="E10">
        <v>4123.2660000000005</v>
      </c>
      <c r="F10">
        <v>9.4107769728211519</v>
      </c>
      <c r="G10">
        <v>9.0313232277519813</v>
      </c>
      <c r="H10">
        <v>0.10562194763831495</v>
      </c>
      <c r="I10">
        <v>4.2015298921332267E-2</v>
      </c>
      <c r="J10">
        <v>2980.6710327148439</v>
      </c>
      <c r="K10">
        <v>0.75326326682307521</v>
      </c>
      <c r="L10">
        <v>1336.268</v>
      </c>
      <c r="M10">
        <v>0.33769630663144479</v>
      </c>
      <c r="N10">
        <v>126.503</v>
      </c>
      <c r="O10">
        <v>93.840450000000004</v>
      </c>
      <c r="P10">
        <v>2.3714983354860525E-2</v>
      </c>
    </row>
    <row r="11" spans="1:16" x14ac:dyDescent="0.2">
      <c r="A11" t="s">
        <v>31</v>
      </c>
      <c r="B11">
        <v>28484.287400000001</v>
      </c>
      <c r="C11">
        <v>2504.1</v>
      </c>
      <c r="D11">
        <v>2240.6999999999998</v>
      </c>
      <c r="E11">
        <v>2807.2000000000003</v>
      </c>
      <c r="F11">
        <v>12.712227161154997</v>
      </c>
      <c r="G11">
        <v>10.146867839840409</v>
      </c>
      <c r="H11">
        <v>-0.10518749251227991</v>
      </c>
      <c r="I11">
        <v>0.25282277859597468</v>
      </c>
      <c r="J11">
        <v>1953.5000061035157</v>
      </c>
      <c r="K11">
        <v>0.87182577145691786</v>
      </c>
      <c r="L11">
        <v>-131.1</v>
      </c>
      <c r="M11">
        <v>-5.8508501807470879E-2</v>
      </c>
      <c r="N11">
        <v>1078</v>
      </c>
      <c r="O11">
        <v>-301.367196788814</v>
      </c>
      <c r="P11">
        <v>-0.13449689685759542</v>
      </c>
    </row>
    <row r="12" spans="1:16" x14ac:dyDescent="0.2">
      <c r="A12" t="s">
        <v>33</v>
      </c>
      <c r="B12">
        <v>25456.8783</v>
      </c>
      <c r="C12">
        <v>1156.69</v>
      </c>
      <c r="D12">
        <v>2428.232</v>
      </c>
      <c r="E12">
        <v>3119.846</v>
      </c>
      <c r="F12">
        <v>10.483709258423414</v>
      </c>
      <c r="G12">
        <v>8.1596586177651069</v>
      </c>
      <c r="H12">
        <v>1.0992936741910104</v>
      </c>
      <c r="I12">
        <v>0.28482204336323713</v>
      </c>
      <c r="J12">
        <v>1715.5240270996094</v>
      </c>
      <c r="K12">
        <v>0.70649098895806062</v>
      </c>
      <c r="L12">
        <v>-107.83699999999999</v>
      </c>
      <c r="M12">
        <v>-4.4409677493748537E-2</v>
      </c>
      <c r="N12">
        <v>1134.355</v>
      </c>
      <c r="O12">
        <v>-334.86065359999998</v>
      </c>
      <c r="P12">
        <v>-0.137903072523548</v>
      </c>
    </row>
    <row r="13" spans="1:16" x14ac:dyDescent="0.2">
      <c r="A13" t="s">
        <v>35</v>
      </c>
      <c r="B13">
        <v>23118.2019</v>
      </c>
      <c r="C13">
        <v>2951.9</v>
      </c>
      <c r="D13">
        <v>3426.9</v>
      </c>
      <c r="E13">
        <v>3662.9560000000001</v>
      </c>
      <c r="F13">
        <v>6.7460976100849166</v>
      </c>
      <c r="G13">
        <v>6.3113512420023605</v>
      </c>
      <c r="H13">
        <v>0.16091331007147938</v>
      </c>
      <c r="I13">
        <v>6.8883247249700963E-2</v>
      </c>
      <c r="J13">
        <v>2375.6999633789064</v>
      </c>
      <c r="K13">
        <v>0.69325044891269261</v>
      </c>
      <c r="L13">
        <v>1437.8257196663981</v>
      </c>
      <c r="M13">
        <v>0.41957037546073656</v>
      </c>
      <c r="N13">
        <v>358.2</v>
      </c>
      <c r="O13">
        <v>914.04665999999997</v>
      </c>
      <c r="P13">
        <v>0.26672697189880062</v>
      </c>
    </row>
    <row r="14" spans="1:16" x14ac:dyDescent="0.2">
      <c r="A14" t="s">
        <v>37</v>
      </c>
      <c r="B14">
        <v>19172.8344</v>
      </c>
      <c r="C14">
        <v>2052.23</v>
      </c>
      <c r="D14">
        <v>3156.587</v>
      </c>
      <c r="E14">
        <v>3599.1820000000002</v>
      </c>
      <c r="F14">
        <v>6.0739128685507477</v>
      </c>
      <c r="G14">
        <v>5.3269977455988604</v>
      </c>
      <c r="H14">
        <v>0.5381253563197107</v>
      </c>
      <c r="I14">
        <v>0.14021314793477901</v>
      </c>
      <c r="J14">
        <v>2690.5739580078125</v>
      </c>
      <c r="K14">
        <v>0.85236806652495634</v>
      </c>
      <c r="L14">
        <v>602.68600000000004</v>
      </c>
      <c r="M14">
        <v>0.19092963381018804</v>
      </c>
      <c r="N14">
        <v>1724.1319999999998</v>
      </c>
      <c r="O14">
        <v>417.021865536652</v>
      </c>
      <c r="P14">
        <v>0.13211163371598883</v>
      </c>
    </row>
    <row r="15" spans="1:16" x14ac:dyDescent="0.2">
      <c r="A15" t="s">
        <v>39</v>
      </c>
      <c r="B15">
        <v>38637.037900000003</v>
      </c>
      <c r="C15">
        <v>11584</v>
      </c>
      <c r="D15">
        <v>10956</v>
      </c>
      <c r="E15">
        <v>8994.0679999999993</v>
      </c>
      <c r="F15">
        <v>3.5265642479006938</v>
      </c>
      <c r="G15">
        <v>4.2958356441156553</v>
      </c>
      <c r="H15">
        <v>-5.4212707182320442E-2</v>
      </c>
      <c r="I15">
        <v>-0.17907374954362909</v>
      </c>
      <c r="J15">
        <v>5450</v>
      </c>
      <c r="K15">
        <v>0.49744432274552758</v>
      </c>
      <c r="L15">
        <v>3054</v>
      </c>
      <c r="M15">
        <v>0.2787513691128149</v>
      </c>
      <c r="N15">
        <v>498</v>
      </c>
      <c r="O15">
        <v>958.78000000000009</v>
      </c>
      <c r="P15">
        <v>8.7511865644395767E-2</v>
      </c>
    </row>
    <row r="16" spans="1:16" x14ac:dyDescent="0.2">
      <c r="A16" t="s">
        <v>43</v>
      </c>
      <c r="B16">
        <v>17761.393199999999</v>
      </c>
      <c r="C16">
        <v>4025</v>
      </c>
      <c r="D16">
        <v>4148</v>
      </c>
      <c r="E16">
        <v>4285.5</v>
      </c>
      <c r="F16">
        <v>4.2819173577627767</v>
      </c>
      <c r="G16">
        <v>4.1445323066153303</v>
      </c>
      <c r="H16">
        <v>3.0559006211180125E-2</v>
      </c>
      <c r="I16">
        <v>3.3148505303760789E-2</v>
      </c>
      <c r="J16">
        <v>3546</v>
      </c>
      <c r="K16">
        <v>0.85486981677917073</v>
      </c>
      <c r="L16">
        <v>1440</v>
      </c>
      <c r="M16">
        <v>0.34715525554484089</v>
      </c>
      <c r="N16">
        <v>3405</v>
      </c>
      <c r="O16">
        <v>788.04512350394702</v>
      </c>
      <c r="P16">
        <v>0.18998194877144337</v>
      </c>
    </row>
    <row r="17" spans="1:16" x14ac:dyDescent="0.2">
      <c r="A17" t="s">
        <v>45</v>
      </c>
      <c r="B17">
        <v>21757.589</v>
      </c>
      <c r="C17">
        <v>2898.15</v>
      </c>
      <c r="D17">
        <v>3721.3010000000004</v>
      </c>
      <c r="E17">
        <v>4117.8980000000001</v>
      </c>
      <c r="F17">
        <v>5.8467694497166445</v>
      </c>
      <c r="G17">
        <v>5.2836638984258473</v>
      </c>
      <c r="H17">
        <v>0.28402636164449746</v>
      </c>
      <c r="I17">
        <v>0.10657482423485765</v>
      </c>
      <c r="J17">
        <v>2202.0189868164061</v>
      </c>
      <c r="K17">
        <v>0.59173364014800356</v>
      </c>
      <c r="L17">
        <v>1229.5550000000001</v>
      </c>
      <c r="M17">
        <v>0.33040998296026036</v>
      </c>
      <c r="N17">
        <v>1335.855</v>
      </c>
      <c r="O17">
        <v>446.25907235741499</v>
      </c>
      <c r="P17">
        <v>0.11992017639997811</v>
      </c>
    </row>
    <row r="18" spans="1:16" x14ac:dyDescent="0.2">
      <c r="A18" t="s">
        <v>49</v>
      </c>
      <c r="B18">
        <v>12991.4501</v>
      </c>
      <c r="C18">
        <v>1741.3009999999999</v>
      </c>
      <c r="D18">
        <v>1896.9269999999999</v>
      </c>
      <c r="E18">
        <v>1960.394</v>
      </c>
      <c r="F18">
        <v>6.8486821580377111</v>
      </c>
      <c r="G18">
        <v>6.62695871340149</v>
      </c>
      <c r="H18">
        <v>8.9373405287196173E-2</v>
      </c>
      <c r="I18">
        <v>3.3457797796119682E-2</v>
      </c>
      <c r="J18">
        <v>1698.6110100097656</v>
      </c>
      <c r="K18">
        <v>0.89545407388358411</v>
      </c>
      <c r="L18">
        <v>949.65100000000007</v>
      </c>
      <c r="M18">
        <v>0.50062601249283711</v>
      </c>
      <c r="N18">
        <v>245.01399999999998</v>
      </c>
      <c r="O18">
        <v>822.62414000000001</v>
      </c>
      <c r="P18">
        <v>0.43366146404157885</v>
      </c>
    </row>
    <row r="19" spans="1:16" x14ac:dyDescent="0.2">
      <c r="A19" t="s">
        <v>51</v>
      </c>
      <c r="B19">
        <v>15390.5118</v>
      </c>
      <c r="C19">
        <v>457.05799999999999</v>
      </c>
      <c r="D19">
        <v>947.42399999999998</v>
      </c>
      <c r="E19">
        <v>1254.6490000000001</v>
      </c>
      <c r="F19">
        <v>16.244587217549903</v>
      </c>
      <c r="G19">
        <v>12.266786806509231</v>
      </c>
      <c r="H19">
        <v>1.0728747773805511</v>
      </c>
      <c r="I19">
        <v>0.32427403147904221</v>
      </c>
      <c r="J19">
        <v>769.6390129394531</v>
      </c>
      <c r="K19">
        <v>0.81234907806795387</v>
      </c>
      <c r="L19">
        <v>43.517999999999994</v>
      </c>
      <c r="M19">
        <v>4.5932971932313299E-2</v>
      </c>
      <c r="N19">
        <v>1410.3389999999999</v>
      </c>
      <c r="O19">
        <v>-301.38798999999995</v>
      </c>
      <c r="P19">
        <v>-0.31811310458675307</v>
      </c>
    </row>
    <row r="20" spans="1:16" x14ac:dyDescent="0.2">
      <c r="A20" t="s">
        <v>53</v>
      </c>
      <c r="B20">
        <v>20360.7772</v>
      </c>
      <c r="C20">
        <v>4170.0770000000002</v>
      </c>
      <c r="D20">
        <v>4283.41</v>
      </c>
      <c r="E20">
        <v>4236.25</v>
      </c>
      <c r="F20">
        <v>4.7534037600883412</v>
      </c>
      <c r="G20">
        <v>4.8063209678371202</v>
      </c>
      <c r="H20">
        <v>2.7177675616061676E-2</v>
      </c>
      <c r="I20">
        <v>-1.1009919666807533E-2</v>
      </c>
      <c r="J20">
        <v>1488.7579999999998</v>
      </c>
      <c r="K20">
        <v>0.34756374010426272</v>
      </c>
      <c r="L20">
        <v>1222.1279999999999</v>
      </c>
      <c r="M20">
        <v>0.28531660522807761</v>
      </c>
      <c r="N20">
        <v>450.35699999999997</v>
      </c>
      <c r="O20">
        <v>562.78363790922901</v>
      </c>
      <c r="P20">
        <v>0.13138682449479014</v>
      </c>
    </row>
    <row r="21" spans="1:16" x14ac:dyDescent="0.2">
      <c r="A21" t="s">
        <v>55</v>
      </c>
      <c r="B21">
        <v>14085.412700000001</v>
      </c>
      <c r="C21">
        <v>2125.0859999999998</v>
      </c>
      <c r="D21">
        <v>2794.5149999999999</v>
      </c>
      <c r="E21">
        <v>3253.5360000000001</v>
      </c>
      <c r="F21">
        <v>5.0403782767313832</v>
      </c>
      <c r="G21">
        <v>4.3292629004258751</v>
      </c>
      <c r="H21">
        <v>0.31501266301693209</v>
      </c>
      <c r="I21">
        <v>0.16425784080600758</v>
      </c>
      <c r="J21">
        <v>2459.358009765625</v>
      </c>
      <c r="K21">
        <v>0.88006613303762016</v>
      </c>
      <c r="L21">
        <v>707.22400000000005</v>
      </c>
      <c r="M21">
        <v>0.25307575733177318</v>
      </c>
      <c r="N21">
        <v>488.964</v>
      </c>
      <c r="O21">
        <v>288.48589500000003</v>
      </c>
      <c r="P21">
        <v>0.10323290266826267</v>
      </c>
    </row>
    <row r="22" spans="1:16" x14ac:dyDescent="0.2">
      <c r="A22" t="s">
        <v>57</v>
      </c>
      <c r="B22">
        <v>12778.339900000001</v>
      </c>
      <c r="C22">
        <v>668.43499999999995</v>
      </c>
      <c r="D22">
        <v>1448.318</v>
      </c>
      <c r="E22">
        <v>1866.8810000000001</v>
      </c>
      <c r="F22">
        <v>8.8228827508875813</v>
      </c>
      <c r="G22">
        <v>6.8447533077898379</v>
      </c>
      <c r="H22">
        <v>1.1667297493398761</v>
      </c>
      <c r="I22">
        <v>0.28899937720859659</v>
      </c>
      <c r="J22">
        <v>1148.2299877929688</v>
      </c>
      <c r="K22">
        <v>0.79280240098719257</v>
      </c>
      <c r="L22">
        <v>-257.30799999999999</v>
      </c>
      <c r="M22">
        <v>-0.17765987856258086</v>
      </c>
      <c r="N22">
        <v>545.947</v>
      </c>
      <c r="O22">
        <v>-319.97310999999996</v>
      </c>
      <c r="P22">
        <v>-0.22092738611271831</v>
      </c>
    </row>
    <row r="23" spans="1:16" x14ac:dyDescent="0.2">
      <c r="A23" t="s">
        <v>59</v>
      </c>
      <c r="B23">
        <v>12362.801600000001</v>
      </c>
      <c r="C23">
        <v>1275.443</v>
      </c>
      <c r="D23">
        <v>1631.1849999999999</v>
      </c>
      <c r="E23">
        <v>1909.7080000000001</v>
      </c>
      <c r="F23">
        <v>7.5790309498922568</v>
      </c>
      <c r="G23">
        <v>6.4736606852984853</v>
      </c>
      <c r="H23">
        <v>0.27891642354852392</v>
      </c>
      <c r="I23">
        <v>0.17074887275201789</v>
      </c>
      <c r="J23">
        <v>1221.8169738769532</v>
      </c>
      <c r="K23">
        <v>0.74903642068615961</v>
      </c>
      <c r="L23">
        <v>213.77799999999999</v>
      </c>
      <c r="M23">
        <v>0.1310568696990225</v>
      </c>
      <c r="N23">
        <v>811.00400000000002</v>
      </c>
      <c r="O23">
        <v>136.69200000000001</v>
      </c>
      <c r="P23">
        <v>8.3799201194223835E-2</v>
      </c>
    </row>
    <row r="24" spans="1:16" x14ac:dyDescent="0.2">
      <c r="A24" t="s">
        <v>61</v>
      </c>
      <c r="B24">
        <v>14433.059600000001</v>
      </c>
      <c r="C24">
        <v>2736.08</v>
      </c>
      <c r="D24">
        <v>2908.3389999999999</v>
      </c>
      <c r="E24">
        <v>2991.1260000000002</v>
      </c>
      <c r="F24">
        <v>4.9626469266478219</v>
      </c>
      <c r="G24">
        <v>4.8252930836079786</v>
      </c>
      <c r="H24">
        <v>6.2958319932165732E-2</v>
      </c>
      <c r="I24">
        <v>2.8465388663426294E-2</v>
      </c>
      <c r="J24">
        <v>2463.42801171875</v>
      </c>
      <c r="K24">
        <v>0.84702230782544607</v>
      </c>
      <c r="L24">
        <v>891.87300000000005</v>
      </c>
      <c r="M24">
        <v>0.30666060593348987</v>
      </c>
      <c r="N24">
        <v>1115.1299999999999</v>
      </c>
      <c r="O24">
        <v>590.64465502973098</v>
      </c>
      <c r="P24">
        <v>0.2030865917039695</v>
      </c>
    </row>
    <row r="25" spans="1:16" x14ac:dyDescent="0.2">
      <c r="A25" t="s">
        <v>63</v>
      </c>
      <c r="B25">
        <v>13254.6572</v>
      </c>
      <c r="C25">
        <v>2422.5320000000002</v>
      </c>
      <c r="D25">
        <v>3022.62</v>
      </c>
      <c r="E25">
        <v>3239.1</v>
      </c>
      <c r="F25">
        <v>4.3851549979818829</v>
      </c>
      <c r="G25">
        <v>4.0920802692105829</v>
      </c>
      <c r="H25">
        <v>0.24771107254723557</v>
      </c>
      <c r="I25">
        <v>7.1619985310756862E-2</v>
      </c>
      <c r="J25">
        <v>2310.4400556640626</v>
      </c>
      <c r="K25">
        <v>0.76438323562474364</v>
      </c>
      <c r="L25">
        <v>650.30199999999991</v>
      </c>
      <c r="M25">
        <v>0.21514513898538351</v>
      </c>
      <c r="N25">
        <v>1048.356</v>
      </c>
      <c r="O25">
        <v>367.32709702556298</v>
      </c>
      <c r="P25">
        <v>0.12152605918890333</v>
      </c>
    </row>
    <row r="26" spans="1:16" x14ac:dyDescent="0.2">
      <c r="A26" t="s">
        <v>65</v>
      </c>
      <c r="B26">
        <v>14343.2274</v>
      </c>
      <c r="C26">
        <v>2897</v>
      </c>
      <c r="D26">
        <v>4329.9000000000005</v>
      </c>
      <c r="E26">
        <v>4491.5709999999999</v>
      </c>
      <c r="F26">
        <v>3.3126001524284621</v>
      </c>
      <c r="G26">
        <v>3.1933653948696348</v>
      </c>
      <c r="H26">
        <v>0.49461511908871264</v>
      </c>
      <c r="I26">
        <v>3.7338275710755209E-2</v>
      </c>
      <c r="J26">
        <v>1160.2999847412111</v>
      </c>
      <c r="K26">
        <v>0.26797385268509921</v>
      </c>
      <c r="L26">
        <v>810.10000000000014</v>
      </c>
      <c r="M26">
        <v>0.1870943901706737</v>
      </c>
      <c r="N26">
        <v>263.89999999999998</v>
      </c>
      <c r="O26">
        <v>445.40826848170406</v>
      </c>
      <c r="P26">
        <v>0.102868026624565</v>
      </c>
    </row>
    <row r="27" spans="1:16" x14ac:dyDescent="0.2">
      <c r="A27" t="s">
        <v>67</v>
      </c>
      <c r="B27">
        <v>12773.614</v>
      </c>
      <c r="C27">
        <v>1816.0830000000001</v>
      </c>
      <c r="D27">
        <v>2069.8940000000002</v>
      </c>
      <c r="E27">
        <v>2201.5</v>
      </c>
      <c r="F27">
        <v>6.1711440295976496</v>
      </c>
      <c r="G27">
        <v>5.8022321144674081</v>
      </c>
      <c r="H27">
        <v>0.13975737893036835</v>
      </c>
      <c r="I27">
        <v>6.3581033618146598E-2</v>
      </c>
      <c r="J27">
        <v>1826.9869919433593</v>
      </c>
      <c r="K27">
        <v>0.88264760994686642</v>
      </c>
      <c r="L27">
        <v>518.21699999999998</v>
      </c>
      <c r="M27">
        <v>0.25035919713763116</v>
      </c>
      <c r="N27">
        <v>688.08699999999999</v>
      </c>
      <c r="O27">
        <v>347.59648759077601</v>
      </c>
      <c r="P27">
        <v>0.16792960779188498</v>
      </c>
    </row>
    <row r="28" spans="1:16" x14ac:dyDescent="0.2">
      <c r="A28" t="s">
        <v>69</v>
      </c>
      <c r="B28">
        <v>11715.847599999999</v>
      </c>
      <c r="C28">
        <v>988.46500000000003</v>
      </c>
      <c r="D28">
        <v>1172.3630000000001</v>
      </c>
      <c r="E28">
        <v>1282.5710000000001</v>
      </c>
      <c r="F28">
        <v>9.9933617829972441</v>
      </c>
      <c r="G28">
        <v>9.1346581202911938</v>
      </c>
      <c r="H28">
        <v>0.18604401774468496</v>
      </c>
      <c r="I28">
        <v>9.4005013805451121E-2</v>
      </c>
      <c r="J28">
        <v>1016.0799910888672</v>
      </c>
      <c r="K28">
        <v>0.86669401123104972</v>
      </c>
      <c r="L28">
        <v>497.34900000000005</v>
      </c>
      <c r="M28">
        <v>0.42422782022291733</v>
      </c>
      <c r="N28">
        <v>881.50099999999998</v>
      </c>
      <c r="O28">
        <v>334.11229267563596</v>
      </c>
      <c r="P28">
        <v>0.28499047878143197</v>
      </c>
    </row>
    <row r="29" spans="1:16" x14ac:dyDescent="0.2">
      <c r="A29" t="s">
        <v>71</v>
      </c>
      <c r="B29">
        <v>18277.499500000002</v>
      </c>
      <c r="C29">
        <v>1481.4359999999999</v>
      </c>
      <c r="D29">
        <v>2174.3449999999998</v>
      </c>
      <c r="E29">
        <v>4355.393</v>
      </c>
      <c r="F29">
        <v>8.405979501872979</v>
      </c>
      <c r="G29">
        <v>4.1965213012924441</v>
      </c>
      <c r="H29">
        <v>0.46772793424758136</v>
      </c>
      <c r="I29">
        <v>1.003082767454107</v>
      </c>
      <c r="J29">
        <v>895.99100952148433</v>
      </c>
      <c r="K29">
        <v>0.4120739852790079</v>
      </c>
      <c r="L29">
        <v>748.41300000000001</v>
      </c>
      <c r="M29">
        <v>0.34420158714463439</v>
      </c>
      <c r="N29">
        <v>64.057000000000002</v>
      </c>
      <c r="O29">
        <v>260.79930813918901</v>
      </c>
      <c r="P29">
        <v>0.11994384890125027</v>
      </c>
    </row>
    <row r="30" spans="1:16" x14ac:dyDescent="0.2">
      <c r="A30" t="s">
        <v>73</v>
      </c>
      <c r="B30">
        <v>14628.111500000001</v>
      </c>
      <c r="C30">
        <v>3600</v>
      </c>
      <c r="D30">
        <v>4827</v>
      </c>
      <c r="E30">
        <v>4770.0380000000005</v>
      </c>
      <c r="F30">
        <v>3.0304767971825153</v>
      </c>
      <c r="G30">
        <v>3.066665611468923</v>
      </c>
      <c r="H30">
        <v>0.34083333333333332</v>
      </c>
      <c r="I30">
        <v>-1.180070437124503E-2</v>
      </c>
      <c r="J30">
        <v>3803</v>
      </c>
      <c r="K30">
        <v>0.78785995442303713</v>
      </c>
      <c r="L30">
        <v>1276</v>
      </c>
      <c r="M30">
        <v>0.26434638491816864</v>
      </c>
      <c r="N30">
        <v>1774</v>
      </c>
      <c r="O30">
        <v>412.36329172576399</v>
      </c>
      <c r="P30">
        <v>8.5428483887666037E-2</v>
      </c>
    </row>
    <row r="31" spans="1:16" x14ac:dyDescent="0.2">
      <c r="A31" t="s">
        <v>75</v>
      </c>
      <c r="B31">
        <v>11659.7503</v>
      </c>
      <c r="C31">
        <v>1354.646</v>
      </c>
      <c r="D31">
        <v>1536.6029999999998</v>
      </c>
      <c r="E31">
        <v>1642.25</v>
      </c>
      <c r="F31">
        <v>7.5880043836957238</v>
      </c>
      <c r="G31">
        <v>7.0998631755213886</v>
      </c>
      <c r="H31">
        <v>0.13432070075872213</v>
      </c>
      <c r="I31">
        <v>6.8753607795897898E-2</v>
      </c>
      <c r="J31">
        <v>662.96098620605471</v>
      </c>
      <c r="K31">
        <v>0.43144584919205209</v>
      </c>
      <c r="L31">
        <v>542.40800000000002</v>
      </c>
      <c r="M31">
        <v>0.35299163154048252</v>
      </c>
      <c r="N31">
        <v>31.439999999999998</v>
      </c>
      <c r="O31">
        <v>282.15797000000003</v>
      </c>
      <c r="P31">
        <v>0.18362450808699454</v>
      </c>
    </row>
    <row r="32" spans="1:16" x14ac:dyDescent="0.2">
      <c r="A32" t="s">
        <v>77</v>
      </c>
      <c r="B32">
        <v>13353.356</v>
      </c>
      <c r="C32">
        <v>7138.1</v>
      </c>
      <c r="D32">
        <v>7841.5</v>
      </c>
      <c r="E32">
        <v>8247.7070000000003</v>
      </c>
      <c r="F32">
        <v>1.7029083721226805</v>
      </c>
      <c r="G32">
        <v>1.6190386006680402</v>
      </c>
      <c r="H32">
        <v>9.8541628724730615E-2</v>
      </c>
      <c r="I32">
        <v>5.1802206210546542E-2</v>
      </c>
      <c r="J32">
        <v>3531.9999511718752</v>
      </c>
      <c r="K32">
        <v>0.45042401978854496</v>
      </c>
      <c r="L32">
        <v>2272.1</v>
      </c>
      <c r="M32">
        <v>0.2897532359880125</v>
      </c>
      <c r="N32">
        <v>4190</v>
      </c>
      <c r="O32">
        <v>884.5</v>
      </c>
      <c r="P32">
        <v>0.11279729643563094</v>
      </c>
    </row>
    <row r="33" spans="1:16" x14ac:dyDescent="0.2">
      <c r="A33" t="s">
        <v>79</v>
      </c>
      <c r="B33">
        <v>10635.886500000001</v>
      </c>
      <c r="C33">
        <v>1140.5329999999999</v>
      </c>
      <c r="D33">
        <v>1235.683</v>
      </c>
      <c r="E33">
        <v>1329.231</v>
      </c>
      <c r="F33">
        <v>8.6072936991121516</v>
      </c>
      <c r="G33">
        <v>8.0015335934837513</v>
      </c>
      <c r="H33">
        <v>8.3425907010143588E-2</v>
      </c>
      <c r="I33">
        <v>7.5705500520764524E-2</v>
      </c>
      <c r="J33">
        <v>904.73300866699219</v>
      </c>
      <c r="K33">
        <v>0.73217241692812174</v>
      </c>
      <c r="L33">
        <v>170.774</v>
      </c>
      <c r="M33">
        <v>0.1382021117066432</v>
      </c>
      <c r="N33">
        <v>259.94600000000003</v>
      </c>
      <c r="O33">
        <v>48.873303467433999</v>
      </c>
      <c r="P33">
        <v>3.955165157037363E-2</v>
      </c>
    </row>
    <row r="34" spans="1:16" x14ac:dyDescent="0.2">
      <c r="A34" t="s">
        <v>81</v>
      </c>
      <c r="B34">
        <v>10049.311299999999</v>
      </c>
      <c r="C34">
        <v>1138.385</v>
      </c>
      <c r="D34">
        <v>790.56539690225225</v>
      </c>
      <c r="E34">
        <v>1373.425</v>
      </c>
      <c r="F34">
        <v>12.711549657216436</v>
      </c>
      <c r="G34">
        <v>7.3169712943917578</v>
      </c>
      <c r="H34">
        <v>-0.30553776015824852</v>
      </c>
      <c r="I34">
        <v>0.73726930799352219</v>
      </c>
      <c r="J34">
        <v>375.64298104046151</v>
      </c>
      <c r="K34">
        <v>0.47515737788724272</v>
      </c>
      <c r="L34">
        <v>266.81505779650513</v>
      </c>
      <c r="M34">
        <v>0.3374990340356307</v>
      </c>
      <c r="N34">
        <v>66.766999999999996</v>
      </c>
      <c r="O34">
        <v>149.9999767353207</v>
      </c>
      <c r="P34">
        <v>0.1897375945406666</v>
      </c>
    </row>
    <row r="35" spans="1:16" x14ac:dyDescent="0.2">
      <c r="A35" t="s">
        <v>83</v>
      </c>
      <c r="B35">
        <v>9553.6566000000003</v>
      </c>
      <c r="C35">
        <v>844.8</v>
      </c>
      <c r="D35">
        <v>1106.8</v>
      </c>
      <c r="E35">
        <v>1480.6469999999999</v>
      </c>
      <c r="F35">
        <v>8.6317822551499823</v>
      </c>
      <c r="G35">
        <v>6.4523526539411495</v>
      </c>
      <c r="H35">
        <v>0.3101325757575758</v>
      </c>
      <c r="I35">
        <v>0.33777285869172391</v>
      </c>
      <c r="J35">
        <v>737.9</v>
      </c>
      <c r="K35">
        <v>0.66669678352005779</v>
      </c>
      <c r="L35">
        <v>68.100000000000009</v>
      </c>
      <c r="M35">
        <v>6.1528731478135174E-2</v>
      </c>
      <c r="N35">
        <v>430</v>
      </c>
      <c r="O35">
        <v>-50</v>
      </c>
      <c r="P35">
        <v>-4.517528008673654E-2</v>
      </c>
    </row>
    <row r="36" spans="1:16" x14ac:dyDescent="0.2">
      <c r="A36" t="s">
        <v>87</v>
      </c>
      <c r="B36">
        <v>8730.4277999999995</v>
      </c>
      <c r="C36">
        <v>781.29100000000005</v>
      </c>
      <c r="D36">
        <v>1035.461</v>
      </c>
      <c r="E36">
        <v>1245.01</v>
      </c>
      <c r="F36">
        <v>8.4314404888257499</v>
      </c>
      <c r="G36">
        <v>7.0123354832491298</v>
      </c>
      <c r="H36">
        <v>0.32532052717873361</v>
      </c>
      <c r="I36">
        <v>0.20237266299744738</v>
      </c>
      <c r="J36">
        <v>648.36900695800773</v>
      </c>
      <c r="K36">
        <v>0.62616458462270208</v>
      </c>
      <c r="L36">
        <v>114.41199999999999</v>
      </c>
      <c r="M36">
        <v>0.11049378006511108</v>
      </c>
      <c r="N36">
        <v>155.685</v>
      </c>
      <c r="O36">
        <v>46.960708818636007</v>
      </c>
      <c r="P36">
        <v>4.5352465055309668E-2</v>
      </c>
    </row>
    <row r="37" spans="1:16" x14ac:dyDescent="0.2">
      <c r="A37" t="s">
        <v>89</v>
      </c>
      <c r="B37">
        <v>7440.2691999999997</v>
      </c>
      <c r="C37">
        <v>826.94299999999998</v>
      </c>
      <c r="D37">
        <v>992.76900000000001</v>
      </c>
      <c r="E37">
        <v>1052.4590000000001</v>
      </c>
      <c r="F37">
        <v>7.494461652207109</v>
      </c>
      <c r="G37">
        <v>7.0694147705516315</v>
      </c>
      <c r="H37">
        <v>0.20052893609353972</v>
      </c>
      <c r="I37">
        <v>6.0124762155143952E-2</v>
      </c>
      <c r="J37">
        <v>864.88000952148434</v>
      </c>
      <c r="K37">
        <v>0.87117950854779347</v>
      </c>
      <c r="L37">
        <v>-123.949</v>
      </c>
      <c r="M37">
        <v>-0.12485180339031537</v>
      </c>
      <c r="N37">
        <v>627.87799999999993</v>
      </c>
      <c r="O37">
        <v>-146.929</v>
      </c>
      <c r="P37">
        <v>-0.14799918208566143</v>
      </c>
    </row>
    <row r="38" spans="1:16" x14ac:dyDescent="0.2">
      <c r="A38" t="s">
        <v>91</v>
      </c>
      <c r="B38">
        <v>7952.1031999999996</v>
      </c>
      <c r="C38">
        <v>756.04300000000001</v>
      </c>
      <c r="D38">
        <v>891.15700000000004</v>
      </c>
      <c r="E38">
        <v>1005.667</v>
      </c>
      <c r="F38">
        <v>8.9233470645464266</v>
      </c>
      <c r="G38">
        <v>7.9072925729888714</v>
      </c>
      <c r="H38">
        <v>0.17871205738297957</v>
      </c>
      <c r="I38">
        <v>0.12849587670859353</v>
      </c>
      <c r="J38">
        <v>422.93600115966797</v>
      </c>
      <c r="K38">
        <v>0.47459202044047005</v>
      </c>
      <c r="L38">
        <v>222.82000000000002</v>
      </c>
      <c r="M38">
        <v>0.25003450570438207</v>
      </c>
      <c r="N38">
        <v>185.92599999999999</v>
      </c>
      <c r="O38">
        <v>145.27799871199099</v>
      </c>
      <c r="P38">
        <v>0.16302177810642904</v>
      </c>
    </row>
    <row r="39" spans="1:16" x14ac:dyDescent="0.2">
      <c r="A39" t="s">
        <v>93</v>
      </c>
      <c r="B39">
        <v>10399.2865</v>
      </c>
      <c r="C39">
        <v>5422.9</v>
      </c>
      <c r="D39">
        <v>5643.5</v>
      </c>
      <c r="E39">
        <v>5758.5690000000004</v>
      </c>
      <c r="F39">
        <v>1.8427016036147781</v>
      </c>
      <c r="G39">
        <v>1.8058803324228641</v>
      </c>
      <c r="H39">
        <v>4.0679341311844287E-2</v>
      </c>
      <c r="I39">
        <v>2.0389651811818954E-2</v>
      </c>
      <c r="J39">
        <v>2280.8999999999996</v>
      </c>
      <c r="K39">
        <v>0.4041640825728714</v>
      </c>
      <c r="L39">
        <v>1359.4</v>
      </c>
      <c r="M39">
        <v>0.24087888721538053</v>
      </c>
      <c r="N39">
        <v>838.19999999999993</v>
      </c>
      <c r="O39">
        <v>852.35</v>
      </c>
      <c r="P39">
        <v>0.15103216089306282</v>
      </c>
    </row>
    <row r="40" spans="1:16" x14ac:dyDescent="0.2">
      <c r="A40" t="s">
        <v>95</v>
      </c>
      <c r="B40">
        <v>9911.8019000000004</v>
      </c>
      <c r="C40">
        <v>1018.46</v>
      </c>
      <c r="D40">
        <v>1381.0119999999999</v>
      </c>
      <c r="E40">
        <v>1551.74</v>
      </c>
      <c r="F40">
        <v>7.1772018635609252</v>
      </c>
      <c r="G40">
        <v>6.3875403740317322</v>
      </c>
      <c r="H40">
        <v>0.35598059815800315</v>
      </c>
      <c r="I40">
        <v>0.12362528348776114</v>
      </c>
      <c r="J40">
        <v>1037.137987915039</v>
      </c>
      <c r="K40">
        <v>0.75099853434657993</v>
      </c>
      <c r="L40">
        <v>541.74800000000005</v>
      </c>
      <c r="M40">
        <v>0.3922833400433885</v>
      </c>
      <c r="N40">
        <v>508.072</v>
      </c>
      <c r="O40">
        <v>160.82074499958901</v>
      </c>
      <c r="P40">
        <v>0.11645137406451864</v>
      </c>
    </row>
    <row r="41" spans="1:16" x14ac:dyDescent="0.2">
      <c r="A41" t="s">
        <v>97</v>
      </c>
      <c r="B41">
        <v>7407.2659999999996</v>
      </c>
      <c r="C41">
        <v>329.14100000000002</v>
      </c>
      <c r="D41">
        <v>498.02800000000002</v>
      </c>
      <c r="E41">
        <v>621.76</v>
      </c>
      <c r="F41">
        <v>14.87319186873027</v>
      </c>
      <c r="G41">
        <v>11.913384585692228</v>
      </c>
      <c r="H41">
        <v>0.5131144403158524</v>
      </c>
      <c r="I41">
        <v>0.24844386259407103</v>
      </c>
      <c r="J41">
        <v>416.48600439453128</v>
      </c>
      <c r="K41">
        <v>0.83627025868933325</v>
      </c>
      <c r="L41">
        <v>148.13299999999998</v>
      </c>
      <c r="M41">
        <v>0.29743909980964922</v>
      </c>
      <c r="N41">
        <v>46.076999999999998</v>
      </c>
      <c r="O41">
        <v>104.562799698118</v>
      </c>
      <c r="P41">
        <v>0.20995365661793713</v>
      </c>
    </row>
    <row r="42" spans="1:16" x14ac:dyDescent="0.2">
      <c r="A42" t="s">
        <v>99</v>
      </c>
      <c r="B42">
        <v>9247.8755000000001</v>
      </c>
      <c r="C42">
        <v>2114.6</v>
      </c>
      <c r="D42">
        <v>2273.2000000000003</v>
      </c>
      <c r="E42">
        <v>2275</v>
      </c>
      <c r="F42">
        <v>4.0682190304416679</v>
      </c>
      <c r="G42">
        <v>4.0650002197802202</v>
      </c>
      <c r="H42">
        <v>7.5002364513383324E-2</v>
      </c>
      <c r="I42">
        <v>7.9183529825788135E-4</v>
      </c>
      <c r="J42">
        <v>1091.2</v>
      </c>
      <c r="K42">
        <v>0.48002815414393801</v>
      </c>
      <c r="L42">
        <v>767.59999999999991</v>
      </c>
      <c r="M42">
        <v>0.33767376385711761</v>
      </c>
      <c r="N42">
        <v>804.4</v>
      </c>
      <c r="O42">
        <v>426.99656571026196</v>
      </c>
      <c r="P42">
        <v>0.18783941831350603</v>
      </c>
    </row>
    <row r="43" spans="1:16" x14ac:dyDescent="0.2">
      <c r="A43" t="s">
        <v>101</v>
      </c>
      <c r="B43">
        <v>6390.3563999999997</v>
      </c>
      <c r="C43">
        <v>424.44600000000003</v>
      </c>
      <c r="D43">
        <v>661.06700000000001</v>
      </c>
      <c r="E43">
        <v>749.7</v>
      </c>
      <c r="F43">
        <v>9.6667303011646322</v>
      </c>
      <c r="G43">
        <v>8.5238847539015605</v>
      </c>
      <c r="H43">
        <v>0.55748198828590667</v>
      </c>
      <c r="I43">
        <v>0.13407566857822273</v>
      </c>
      <c r="J43">
        <v>364.36000024414062</v>
      </c>
      <c r="K43">
        <v>0.55116954899297743</v>
      </c>
      <c r="L43">
        <v>28.280999999999985</v>
      </c>
      <c r="M43">
        <v>4.2780837645805925E-2</v>
      </c>
      <c r="N43">
        <v>437.14</v>
      </c>
      <c r="O43">
        <v>35.34196</v>
      </c>
      <c r="P43">
        <v>5.3461994018760582E-2</v>
      </c>
    </row>
    <row r="44" spans="1:16" x14ac:dyDescent="0.2">
      <c r="A44" t="s">
        <v>105</v>
      </c>
      <c r="B44">
        <v>6894.6152000000002</v>
      </c>
      <c r="C44">
        <v>472.34399999999999</v>
      </c>
      <c r="D44">
        <v>499.51400000000001</v>
      </c>
      <c r="E44">
        <v>548.56299999999999</v>
      </c>
      <c r="F44">
        <v>13.80264657246844</v>
      </c>
      <c r="G44">
        <v>12.568502068130735</v>
      </c>
      <c r="H44">
        <v>5.7521636773199228E-2</v>
      </c>
      <c r="I44">
        <v>9.8193444027594667E-2</v>
      </c>
      <c r="J44">
        <v>448.87000836181642</v>
      </c>
      <c r="K44">
        <v>0.89861346901551586</v>
      </c>
      <c r="L44">
        <v>218.595</v>
      </c>
      <c r="M44">
        <v>0.43761536213199226</v>
      </c>
      <c r="N44">
        <v>96.164999999999992</v>
      </c>
      <c r="O44">
        <v>150.27254635458399</v>
      </c>
      <c r="P44">
        <v>0.30083750676574428</v>
      </c>
    </row>
    <row r="45" spans="1:16" x14ac:dyDescent="0.2">
      <c r="A45" t="s">
        <v>107</v>
      </c>
      <c r="B45">
        <v>6236.2366000000002</v>
      </c>
      <c r="C45">
        <v>503.41</v>
      </c>
      <c r="D45">
        <v>1155.4570000000001</v>
      </c>
      <c r="E45">
        <v>1366.1669999999999</v>
      </c>
      <c r="F45">
        <v>5.397203530724207</v>
      </c>
      <c r="G45">
        <v>4.5647688752546358</v>
      </c>
      <c r="H45">
        <v>1.2952603245863212</v>
      </c>
      <c r="I45">
        <v>0.18236074557512727</v>
      </c>
      <c r="J45">
        <v>769.42700024414057</v>
      </c>
      <c r="K45">
        <v>0.66590708286343891</v>
      </c>
      <c r="L45">
        <v>-222.005860759494</v>
      </c>
      <c r="M45">
        <v>-0.19213684348227064</v>
      </c>
      <c r="N45">
        <v>305.97499999999997</v>
      </c>
      <c r="O45">
        <v>-290.7982245</v>
      </c>
      <c r="P45">
        <v>-0.25167377453250095</v>
      </c>
    </row>
    <row r="46" spans="1:16" x14ac:dyDescent="0.2">
      <c r="A46" t="s">
        <v>109</v>
      </c>
      <c r="B46">
        <v>9733.1316000000006</v>
      </c>
      <c r="C46">
        <v>3373.3870000000002</v>
      </c>
      <c r="D46">
        <v>3755.2129999999997</v>
      </c>
      <c r="E46">
        <v>3945.0750000000003</v>
      </c>
      <c r="F46">
        <v>2.5918986752549058</v>
      </c>
      <c r="G46">
        <v>2.4671600920134598</v>
      </c>
      <c r="H46">
        <v>0.11318772497789301</v>
      </c>
      <c r="I46">
        <v>5.0559582106261436E-2</v>
      </c>
      <c r="J46">
        <v>1077.0209764404296</v>
      </c>
      <c r="K46">
        <v>0.28680689389401604</v>
      </c>
      <c r="L46">
        <v>972.27599999999995</v>
      </c>
      <c r="M46">
        <v>0.2589136754692743</v>
      </c>
      <c r="N46">
        <v>361.38099999999997</v>
      </c>
      <c r="O46">
        <v>307.796316586464</v>
      </c>
      <c r="P46">
        <v>8.1965075372945298E-2</v>
      </c>
    </row>
    <row r="47" spans="1:16" x14ac:dyDescent="0.2">
      <c r="A47" t="s">
        <v>113</v>
      </c>
      <c r="B47">
        <v>5616.1094999999996</v>
      </c>
      <c r="C47">
        <v>311.99900000000002</v>
      </c>
      <c r="D47">
        <v>507.88499999999999</v>
      </c>
      <c r="E47">
        <v>667.96900000000005</v>
      </c>
      <c r="F47">
        <v>11.057836911899347</v>
      </c>
      <c r="G47">
        <v>8.4077397304365906</v>
      </c>
      <c r="H47">
        <v>0.62784175590306368</v>
      </c>
      <c r="I47">
        <v>0.31519733798005456</v>
      </c>
      <c r="J47">
        <v>356.01800524902342</v>
      </c>
      <c r="K47">
        <v>0.70098153174246813</v>
      </c>
      <c r="L47">
        <v>-86.045139240506003</v>
      </c>
      <c r="M47">
        <v>-0.16941854797937722</v>
      </c>
      <c r="N47">
        <v>109.36999999999999</v>
      </c>
      <c r="O47">
        <v>-115.405</v>
      </c>
      <c r="P47">
        <v>-0.22722663595105191</v>
      </c>
    </row>
    <row r="48" spans="1:16" x14ac:dyDescent="0.2">
      <c r="A48" t="s">
        <v>115</v>
      </c>
      <c r="B48">
        <v>5688.8769000000002</v>
      </c>
      <c r="C48">
        <v>379.72399999999999</v>
      </c>
      <c r="D48">
        <v>581.47399999999993</v>
      </c>
      <c r="E48">
        <v>724.625</v>
      </c>
      <c r="F48">
        <v>9.7835447500662127</v>
      </c>
      <c r="G48">
        <v>7.8507875107814389</v>
      </c>
      <c r="H48">
        <v>0.53130694925788191</v>
      </c>
      <c r="I48">
        <v>0.24618641590165691</v>
      </c>
      <c r="J48">
        <v>443.33000299072262</v>
      </c>
      <c r="K48">
        <v>0.762424464362504</v>
      </c>
      <c r="L48">
        <v>1.981681596884</v>
      </c>
      <c r="M48">
        <v>3.4080313081651117E-3</v>
      </c>
      <c r="N48">
        <v>181.19199999999998</v>
      </c>
      <c r="O48">
        <v>-22.126999999999999</v>
      </c>
      <c r="P48">
        <v>-3.8053292150637866E-2</v>
      </c>
    </row>
    <row r="49" spans="1:16" x14ac:dyDescent="0.2">
      <c r="A49" t="s">
        <v>117</v>
      </c>
      <c r="B49">
        <v>6521.5419000000002</v>
      </c>
      <c r="C49">
        <v>881.35599999999999</v>
      </c>
      <c r="D49">
        <v>1005.8890000000001</v>
      </c>
      <c r="E49">
        <v>1083.6669999999999</v>
      </c>
      <c r="F49">
        <v>6.4833613848048834</v>
      </c>
      <c r="G49">
        <v>6.0180312771358739</v>
      </c>
      <c r="H49">
        <v>0.14129704682330424</v>
      </c>
      <c r="I49">
        <v>7.732264693221591E-2</v>
      </c>
      <c r="J49">
        <v>699.41901611328126</v>
      </c>
      <c r="K49">
        <v>0.69532425159563449</v>
      </c>
      <c r="L49">
        <v>228.197</v>
      </c>
      <c r="M49">
        <v>0.2268610154798392</v>
      </c>
      <c r="N49">
        <v>90.022999999999996</v>
      </c>
      <c r="O49">
        <v>130.87135000000001</v>
      </c>
      <c r="P49">
        <v>0.13010516070858713</v>
      </c>
    </row>
    <row r="50" spans="1:16" x14ac:dyDescent="0.2">
      <c r="A50" t="s">
        <v>119</v>
      </c>
      <c r="B50">
        <v>5499.3319000000001</v>
      </c>
      <c r="C50">
        <v>1958.615</v>
      </c>
      <c r="D50">
        <v>2491.8389999999999</v>
      </c>
      <c r="E50">
        <v>2815.54</v>
      </c>
      <c r="F50">
        <v>2.2069370854216506</v>
      </c>
      <c r="G50">
        <v>1.9532068093509594</v>
      </c>
      <c r="H50">
        <v>0.27224543874115126</v>
      </c>
      <c r="I50">
        <v>0.12990446011961443</v>
      </c>
      <c r="J50">
        <v>1021.3030059814453</v>
      </c>
      <c r="K50">
        <v>0.40985914659070882</v>
      </c>
      <c r="L50">
        <v>464.61600000000004</v>
      </c>
      <c r="M50">
        <v>0.18645506391062988</v>
      </c>
      <c r="N50">
        <v>819.14400000000001</v>
      </c>
      <c r="O50">
        <v>221.308428571429</v>
      </c>
      <c r="P50">
        <v>8.8813293544016694E-2</v>
      </c>
    </row>
    <row r="51" spans="1:16" x14ac:dyDescent="0.2">
      <c r="A51" t="s">
        <v>121</v>
      </c>
      <c r="B51">
        <v>6190.1469999999999</v>
      </c>
      <c r="C51">
        <v>2570.7559999999999</v>
      </c>
      <c r="D51">
        <v>2860.71</v>
      </c>
      <c r="E51">
        <v>3102.7919999999999</v>
      </c>
      <c r="F51">
        <v>2.1638498834205495</v>
      </c>
      <c r="G51">
        <v>1.9950248034673288</v>
      </c>
      <c r="H51">
        <v>0.11278938958034142</v>
      </c>
      <c r="I51">
        <v>8.4623048124416567E-2</v>
      </c>
      <c r="J51">
        <v>1068.4139918212891</v>
      </c>
      <c r="K51">
        <v>0.37347860909399733</v>
      </c>
      <c r="L51">
        <v>407.05099999999999</v>
      </c>
      <c r="M51">
        <v>0.14229020068444545</v>
      </c>
      <c r="N51">
        <v>504.46799999999996</v>
      </c>
      <c r="O51">
        <v>271.84730999999999</v>
      </c>
      <c r="P51">
        <v>9.5027916146690858E-2</v>
      </c>
    </row>
    <row r="52" spans="1:16" x14ac:dyDescent="0.2">
      <c r="A52" t="s">
        <v>123</v>
      </c>
      <c r="B52">
        <v>5264.8521000000001</v>
      </c>
      <c r="C52">
        <v>568.12800000000004</v>
      </c>
      <c r="D52">
        <v>774.29099999999994</v>
      </c>
      <c r="E52">
        <v>940.42899999999997</v>
      </c>
      <c r="F52">
        <v>6.7995780656109917</v>
      </c>
      <c r="G52">
        <v>5.5983514970295474</v>
      </c>
      <c r="H52">
        <v>0.36288125211219985</v>
      </c>
      <c r="I52">
        <v>0.21456790793125591</v>
      </c>
      <c r="J52">
        <v>470.14299932861331</v>
      </c>
      <c r="K52">
        <v>0.60719161055548021</v>
      </c>
      <c r="L52">
        <v>151.96100000000001</v>
      </c>
      <c r="M52">
        <v>0.19625825432557015</v>
      </c>
      <c r="N52">
        <v>69.343000000000004</v>
      </c>
      <c r="O52">
        <v>39.375608755979997</v>
      </c>
      <c r="P52">
        <v>5.0853760092755822E-2</v>
      </c>
    </row>
    <row r="53" spans="1:16" x14ac:dyDescent="0.2">
      <c r="A53" t="s">
        <v>127</v>
      </c>
      <c r="B53">
        <v>5177.2318999999998</v>
      </c>
      <c r="C53">
        <v>375.49599999999998</v>
      </c>
      <c r="D53">
        <v>614.04600000000005</v>
      </c>
      <c r="E53">
        <v>792.19399999999996</v>
      </c>
      <c r="F53">
        <v>8.4313421144344218</v>
      </c>
      <c r="G53">
        <v>6.5353081442171996</v>
      </c>
      <c r="H53">
        <v>0.63529305238937317</v>
      </c>
      <c r="I53">
        <v>0.29012158698208257</v>
      </c>
      <c r="J53">
        <v>439.7080033569336</v>
      </c>
      <c r="K53">
        <v>0.71608316536046746</v>
      </c>
      <c r="L53">
        <v>-23.048000000000005</v>
      </c>
      <c r="M53">
        <v>-3.7534647241411888E-2</v>
      </c>
      <c r="N53">
        <v>286.072</v>
      </c>
      <c r="O53">
        <v>-78.538188416806008</v>
      </c>
      <c r="P53">
        <v>-0.12790277669230971</v>
      </c>
    </row>
    <row r="54" spans="1:16" x14ac:dyDescent="0.2">
      <c r="A54" t="s">
        <v>129</v>
      </c>
      <c r="B54">
        <v>4738.1673000000001</v>
      </c>
      <c r="C54">
        <v>270.96699999999998</v>
      </c>
      <c r="D54">
        <v>441.399</v>
      </c>
      <c r="E54">
        <v>558.06700000000001</v>
      </c>
      <c r="F54">
        <v>10.734431432785303</v>
      </c>
      <c r="G54">
        <v>8.490319800310715</v>
      </c>
      <c r="H54">
        <v>0.62897696029405803</v>
      </c>
      <c r="I54">
        <v>0.26431414661111607</v>
      </c>
      <c r="J54">
        <v>354.10500488281252</v>
      </c>
      <c r="K54">
        <v>0.80223336455862504</v>
      </c>
      <c r="L54">
        <v>-24.503810126582</v>
      </c>
      <c r="M54">
        <v>-5.5513968374604379E-2</v>
      </c>
      <c r="N54">
        <v>87.679999999999993</v>
      </c>
      <c r="O54">
        <v>-55.844099999999997</v>
      </c>
      <c r="P54">
        <v>-0.1265161452563327</v>
      </c>
    </row>
    <row r="55" spans="1:16" x14ac:dyDescent="0.2">
      <c r="A55" t="s">
        <v>133</v>
      </c>
      <c r="B55">
        <v>6274.3391000000001</v>
      </c>
      <c r="C55">
        <v>704.2</v>
      </c>
      <c r="D55">
        <v>750.7</v>
      </c>
      <c r="E55">
        <v>763.30000000000007</v>
      </c>
      <c r="F55">
        <v>8.3579846809644334</v>
      </c>
      <c r="G55">
        <v>8.2200171623214988</v>
      </c>
      <c r="H55">
        <v>6.6032377165577957E-2</v>
      </c>
      <c r="I55">
        <v>1.6784334621020358E-2</v>
      </c>
      <c r="J55">
        <v>293.00000000000006</v>
      </c>
      <c r="K55">
        <v>0.39030238444118825</v>
      </c>
      <c r="L55">
        <v>90.5</v>
      </c>
      <c r="M55">
        <v>0.12055414946050352</v>
      </c>
      <c r="N55">
        <v>99.6</v>
      </c>
      <c r="O55">
        <v>-9.1999999999999993</v>
      </c>
      <c r="P55">
        <v>-1.2255228453443451E-2</v>
      </c>
    </row>
    <row r="56" spans="1:16" x14ac:dyDescent="0.2">
      <c r="A56" t="s">
        <v>135</v>
      </c>
      <c r="B56">
        <v>6727.3046000000004</v>
      </c>
      <c r="C56">
        <v>1948.903</v>
      </c>
      <c r="D56">
        <v>2007.8210000000001</v>
      </c>
      <c r="E56">
        <v>2103.1669999999999</v>
      </c>
      <c r="F56">
        <v>3.3505499743254004</v>
      </c>
      <c r="G56">
        <v>3.1986545053245892</v>
      </c>
      <c r="H56">
        <v>3.0231366055673434E-2</v>
      </c>
      <c r="I56">
        <v>4.7487300909792252E-2</v>
      </c>
      <c r="J56">
        <v>1132.4420061035157</v>
      </c>
      <c r="K56">
        <v>0.56401542074891919</v>
      </c>
      <c r="L56">
        <v>344.83600000000001</v>
      </c>
      <c r="M56">
        <v>0.17174638575849141</v>
      </c>
      <c r="N56">
        <v>315.96299999999997</v>
      </c>
      <c r="O56">
        <v>21.322419709094</v>
      </c>
      <c r="P56">
        <v>1.0619681589690514E-2</v>
      </c>
    </row>
    <row r="57" spans="1:16" x14ac:dyDescent="0.2">
      <c r="A57" t="s">
        <v>137</v>
      </c>
      <c r="B57">
        <v>4436.8191999999999</v>
      </c>
      <c r="C57">
        <v>181.309</v>
      </c>
      <c r="D57">
        <v>383.18099999999998</v>
      </c>
      <c r="E57">
        <v>489.97500000000002</v>
      </c>
      <c r="F57">
        <v>11.578912315589761</v>
      </c>
      <c r="G57">
        <v>9.0551950609724976</v>
      </c>
      <c r="H57">
        <v>1.1134141162325091</v>
      </c>
      <c r="I57">
        <v>0.27870379794405276</v>
      </c>
      <c r="J57">
        <v>318.38299798583984</v>
      </c>
      <c r="K57">
        <v>0.83089453283393444</v>
      </c>
      <c r="L57">
        <v>-2.2589999999999986</v>
      </c>
      <c r="M57">
        <v>-5.8953862534937762E-3</v>
      </c>
      <c r="N57">
        <v>132.47900000000001</v>
      </c>
      <c r="O57">
        <v>-33.405200000000001</v>
      </c>
      <c r="P57">
        <v>-8.7178644035064382E-2</v>
      </c>
    </row>
    <row r="58" spans="1:16" x14ac:dyDescent="0.2">
      <c r="A58" t="s">
        <v>139</v>
      </c>
      <c r="B58">
        <v>4485.9957999999997</v>
      </c>
      <c r="C58">
        <v>280.87400000000002</v>
      </c>
      <c r="D58">
        <v>509.43599999999998</v>
      </c>
      <c r="E58">
        <v>735.4</v>
      </c>
      <c r="F58">
        <v>8.8058083841738704</v>
      </c>
      <c r="G58">
        <v>6.1000758770737011</v>
      </c>
      <c r="H58">
        <v>0.81375278594672318</v>
      </c>
      <c r="I58">
        <v>0.44355718873420802</v>
      </c>
      <c r="J58">
        <v>281.04199999999997</v>
      </c>
      <c r="K58">
        <v>0.55167283034571557</v>
      </c>
      <c r="L58">
        <v>-146.059</v>
      </c>
      <c r="M58">
        <v>-0.2867072605783651</v>
      </c>
      <c r="N58">
        <v>73.012</v>
      </c>
      <c r="O58">
        <v>-163.51499999999999</v>
      </c>
      <c r="P58">
        <v>-0.32097260499846886</v>
      </c>
    </row>
    <row r="59" spans="1:16" x14ac:dyDescent="0.2">
      <c r="A59" t="s">
        <v>147</v>
      </c>
      <c r="B59">
        <v>3887.6603</v>
      </c>
      <c r="C59">
        <v>750.26599999999996</v>
      </c>
      <c r="D59">
        <v>851.31600000000003</v>
      </c>
      <c r="E59">
        <v>927.80000000000007</v>
      </c>
      <c r="F59">
        <v>4.5666477547702611</v>
      </c>
      <c r="G59">
        <v>4.1901921750377236</v>
      </c>
      <c r="H59">
        <v>0.1346855648529989</v>
      </c>
      <c r="I59">
        <v>8.9842079791757845E-2</v>
      </c>
      <c r="J59">
        <v>558.17699633789061</v>
      </c>
      <c r="K59">
        <v>0.65566369754343934</v>
      </c>
      <c r="L59">
        <v>16.656999999999996</v>
      </c>
      <c r="M59">
        <v>1.9566177541594419E-2</v>
      </c>
      <c r="N59">
        <v>162.279</v>
      </c>
      <c r="O59">
        <v>16.697999999999997</v>
      </c>
      <c r="P59">
        <v>1.9614338271570129E-2</v>
      </c>
    </row>
    <row r="60" spans="1:16" x14ac:dyDescent="0.2">
      <c r="A60" t="s">
        <v>149</v>
      </c>
      <c r="B60">
        <v>5314.2241999999997</v>
      </c>
      <c r="C60">
        <v>6408</v>
      </c>
      <c r="D60">
        <v>5780</v>
      </c>
      <c r="E60">
        <v>5298.5830000000005</v>
      </c>
      <c r="F60">
        <v>0.91941595155709332</v>
      </c>
      <c r="G60">
        <v>1.0029519590426343</v>
      </c>
      <c r="H60">
        <v>-9.8002496878901377E-2</v>
      </c>
      <c r="I60">
        <v>-8.3290138408304459E-2</v>
      </c>
      <c r="J60">
        <v>1057</v>
      </c>
      <c r="K60">
        <v>0.1828719723183391</v>
      </c>
      <c r="L60">
        <v>689</v>
      </c>
      <c r="M60">
        <v>0.11920415224913494</v>
      </c>
      <c r="N60">
        <v>658</v>
      </c>
      <c r="O60">
        <v>34.552340425531995</v>
      </c>
      <c r="P60">
        <v>5.9779135684311412E-3</v>
      </c>
    </row>
    <row r="61" spans="1:16" x14ac:dyDescent="0.2">
      <c r="A61" t="s">
        <v>151</v>
      </c>
      <c r="B61">
        <v>3967.4378999999999</v>
      </c>
      <c r="C61">
        <v>2403.36</v>
      </c>
      <c r="D61">
        <v>2454.6930000000002</v>
      </c>
      <c r="E61">
        <v>2523.6790000000001</v>
      </c>
      <c r="F61">
        <v>1.6162664333177303</v>
      </c>
      <c r="G61">
        <v>1.5720849997166835</v>
      </c>
      <c r="H61">
        <v>2.1358847613341357E-2</v>
      </c>
      <c r="I61">
        <v>2.8103718061688321E-2</v>
      </c>
      <c r="J61">
        <v>618.02799414062497</v>
      </c>
      <c r="K61">
        <v>0.25177404838023532</v>
      </c>
      <c r="L61">
        <v>376.36900000000003</v>
      </c>
      <c r="M61">
        <v>0.1533263019041485</v>
      </c>
      <c r="N61">
        <v>349.245</v>
      </c>
      <c r="O61">
        <v>229.65975</v>
      </c>
      <c r="P61">
        <v>9.3559459370275627E-2</v>
      </c>
    </row>
    <row r="62" spans="1:16" x14ac:dyDescent="0.2">
      <c r="A62" t="s">
        <v>153</v>
      </c>
      <c r="B62">
        <v>4064.2968000000001</v>
      </c>
      <c r="C62">
        <v>336.06799999999998</v>
      </c>
      <c r="D62">
        <v>1130.17</v>
      </c>
      <c r="E62">
        <v>1221.8890000000001</v>
      </c>
      <c r="F62">
        <v>3.5961818133555128</v>
      </c>
      <c r="G62">
        <v>3.3262405995961988</v>
      </c>
      <c r="H62">
        <v>2.3629205994025022</v>
      </c>
      <c r="I62">
        <v>8.1155047470734543E-2</v>
      </c>
      <c r="J62">
        <v>883.36700305175782</v>
      </c>
      <c r="K62">
        <v>0.78162312134613177</v>
      </c>
      <c r="L62">
        <v>389.65500000000003</v>
      </c>
      <c r="M62">
        <v>0.34477556473804827</v>
      </c>
      <c r="N62">
        <v>252.40199999999999</v>
      </c>
      <c r="O62">
        <v>85.247472264912005</v>
      </c>
      <c r="P62">
        <v>7.5428893232798611E-2</v>
      </c>
    </row>
    <row r="63" spans="1:16" x14ac:dyDescent="0.2">
      <c r="A63" t="s">
        <v>155</v>
      </c>
      <c r="B63">
        <v>3256.0626999999999</v>
      </c>
      <c r="C63">
        <v>83.677999999999997</v>
      </c>
      <c r="D63">
        <v>219.095</v>
      </c>
      <c r="E63">
        <v>265.79300000000001</v>
      </c>
      <c r="F63">
        <v>14.861419475569958</v>
      </c>
      <c r="G63">
        <v>12.250370401026363</v>
      </c>
      <c r="H63">
        <v>1.6183106670809533</v>
      </c>
      <c r="I63">
        <v>0.21314041853990284</v>
      </c>
      <c r="J63">
        <v>150.86900170898437</v>
      </c>
      <c r="K63">
        <v>0.68860084305431146</v>
      </c>
      <c r="L63">
        <v>-34.963000000000001</v>
      </c>
      <c r="M63">
        <v>-0.15957917798215387</v>
      </c>
      <c r="N63">
        <v>412.90299999999996</v>
      </c>
      <c r="O63">
        <v>-49.332999999999998</v>
      </c>
      <c r="P63">
        <v>-0.22516716492845568</v>
      </c>
    </row>
    <row r="64" spans="1:16" x14ac:dyDescent="0.2">
      <c r="A64" t="s">
        <v>157</v>
      </c>
      <c r="B64">
        <v>4272.2191999999995</v>
      </c>
      <c r="C64">
        <v>874.255</v>
      </c>
      <c r="D64">
        <v>1158.5079999999998</v>
      </c>
      <c r="E64">
        <v>1252.3330000000001</v>
      </c>
      <c r="F64">
        <v>3.6876907194425934</v>
      </c>
      <c r="G64">
        <v>3.4114083075348165</v>
      </c>
      <c r="H64">
        <v>0.3251374027028725</v>
      </c>
      <c r="I64">
        <v>8.0987787740784078E-2</v>
      </c>
      <c r="J64">
        <v>974.26899780273436</v>
      </c>
      <c r="K64">
        <v>0.84096872684757851</v>
      </c>
      <c r="L64">
        <v>412.85069230769199</v>
      </c>
      <c r="M64">
        <v>0.35636412722889443</v>
      </c>
      <c r="N64">
        <v>350.94499999999999</v>
      </c>
      <c r="O64">
        <v>150.78399999999999</v>
      </c>
      <c r="P64">
        <v>0.1301536113691058</v>
      </c>
    </row>
    <row r="65" spans="1:16" x14ac:dyDescent="0.2">
      <c r="A65" t="s">
        <v>159</v>
      </c>
      <c r="B65">
        <v>5315.9659000000001</v>
      </c>
      <c r="C65">
        <v>1952.557</v>
      </c>
      <c r="D65">
        <v>1870.5889999999999</v>
      </c>
      <c r="E65">
        <v>1850.3410000000001</v>
      </c>
      <c r="F65">
        <v>2.8418674011233898</v>
      </c>
      <c r="G65">
        <v>2.8729655236521268</v>
      </c>
      <c r="H65">
        <v>-4.1979824404614091E-2</v>
      </c>
      <c r="I65">
        <v>-1.0824398090654719E-2</v>
      </c>
      <c r="J65">
        <v>918.13100402832038</v>
      </c>
      <c r="K65">
        <v>0.49082454992963198</v>
      </c>
      <c r="L65">
        <v>460.75</v>
      </c>
      <c r="M65">
        <v>0.24631279238785217</v>
      </c>
      <c r="N65">
        <v>118.80399999999999</v>
      </c>
      <c r="O65">
        <v>156.14600000000002</v>
      </c>
      <c r="P65">
        <v>8.3474242604869381E-2</v>
      </c>
    </row>
    <row r="66" spans="1:16" x14ac:dyDescent="0.2">
      <c r="A66" t="s">
        <v>161</v>
      </c>
      <c r="B66">
        <v>3162.8121999999998</v>
      </c>
      <c r="C66">
        <v>205.864</v>
      </c>
      <c r="D66">
        <v>346.63900000000001</v>
      </c>
      <c r="E66">
        <v>473.83300000000003</v>
      </c>
      <c r="F66">
        <v>9.1242249141037206</v>
      </c>
      <c r="G66">
        <v>6.6749513014078792</v>
      </c>
      <c r="H66">
        <v>0.68382524385030896</v>
      </c>
      <c r="I66">
        <v>0.3669350534706135</v>
      </c>
      <c r="J66">
        <v>287.72500283813474</v>
      </c>
      <c r="K66">
        <v>0.83004221347896434</v>
      </c>
      <c r="L66">
        <v>-26.742999999999999</v>
      </c>
      <c r="M66">
        <v>-7.7149426348448957E-2</v>
      </c>
      <c r="N66">
        <v>223.36999999999998</v>
      </c>
      <c r="O66">
        <v>-47.448000000000008</v>
      </c>
      <c r="P66">
        <v>-0.13688015485851276</v>
      </c>
    </row>
    <row r="67" spans="1:16" x14ac:dyDescent="0.2">
      <c r="A67" t="s">
        <v>163</v>
      </c>
      <c r="B67">
        <v>3579.8489</v>
      </c>
      <c r="C67">
        <v>730.81500000000005</v>
      </c>
      <c r="D67">
        <v>833.04499999999996</v>
      </c>
      <c r="E67">
        <v>871.04500000000007</v>
      </c>
      <c r="F67">
        <v>4.2973055477195112</v>
      </c>
      <c r="G67">
        <v>4.1098323278361049</v>
      </c>
      <c r="H67">
        <v>0.13988492299692795</v>
      </c>
      <c r="I67">
        <v>4.5615783060939163E-2</v>
      </c>
      <c r="J67">
        <v>461.10500335693359</v>
      </c>
      <c r="K67">
        <v>0.55351752109061769</v>
      </c>
      <c r="L67">
        <v>162.346</v>
      </c>
      <c r="M67">
        <v>0.19488262938976889</v>
      </c>
      <c r="N67">
        <v>29.83</v>
      </c>
      <c r="O67">
        <v>80.155496400630994</v>
      </c>
      <c r="P67">
        <v>9.621988776192282E-2</v>
      </c>
    </row>
    <row r="68" spans="1:16" x14ac:dyDescent="0.2">
      <c r="A68" t="s">
        <v>165</v>
      </c>
      <c r="B68">
        <v>3196.73</v>
      </c>
      <c r="C68">
        <v>714.11400000000003</v>
      </c>
      <c r="D68">
        <v>793.64200000000005</v>
      </c>
      <c r="E68">
        <v>853.05899999999997</v>
      </c>
      <c r="F68">
        <v>4.0279244294026775</v>
      </c>
      <c r="G68">
        <v>3.7473726905173033</v>
      </c>
      <c r="H68">
        <v>0.11136597237976012</v>
      </c>
      <c r="I68">
        <v>7.4866249518044548E-2</v>
      </c>
      <c r="J68">
        <v>520.84100958251952</v>
      </c>
      <c r="K68">
        <v>0.65626694351170867</v>
      </c>
      <c r="L68">
        <v>-128.273</v>
      </c>
      <c r="M68">
        <v>-0.1616257708135406</v>
      </c>
      <c r="N68">
        <v>180.89099999999999</v>
      </c>
      <c r="O68">
        <v>-257.473708220025</v>
      </c>
      <c r="P68">
        <v>-0.32442046693600513</v>
      </c>
    </row>
    <row r="69" spans="1:16" x14ac:dyDescent="0.2">
      <c r="A69" t="s">
        <v>167</v>
      </c>
      <c r="B69">
        <v>3202.2395999999999</v>
      </c>
      <c r="C69">
        <v>230.70099999999999</v>
      </c>
      <c r="D69">
        <v>377.52699999999999</v>
      </c>
      <c r="E69">
        <v>452.61400000000003</v>
      </c>
      <c r="F69">
        <v>8.482147237151251</v>
      </c>
      <c r="G69">
        <v>7.0749901682228113</v>
      </c>
      <c r="H69">
        <v>0.63643417237029742</v>
      </c>
      <c r="I69">
        <v>0.19889173489578238</v>
      </c>
      <c r="J69">
        <v>228.32999908447266</v>
      </c>
      <c r="K69">
        <v>0.60480442215913743</v>
      </c>
      <c r="L69">
        <v>46.511999999999993</v>
      </c>
      <c r="M69">
        <v>0.12320178424324617</v>
      </c>
      <c r="N69">
        <v>137.19299999999998</v>
      </c>
      <c r="O69">
        <v>3.8283299999999998</v>
      </c>
      <c r="P69">
        <v>1.0140546239076941E-2</v>
      </c>
    </row>
    <row r="70" spans="1:16" x14ac:dyDescent="0.2">
      <c r="A70" t="s">
        <v>169</v>
      </c>
      <c r="B70">
        <v>3692.9135000000001</v>
      </c>
      <c r="C70">
        <v>131.84100000000001</v>
      </c>
      <c r="D70">
        <v>166.82400000000001</v>
      </c>
      <c r="E70">
        <v>257.7</v>
      </c>
      <c r="F70">
        <v>22.136584064642975</v>
      </c>
      <c r="G70">
        <v>14.330281334885527</v>
      </c>
      <c r="H70">
        <v>0.26534234418731656</v>
      </c>
      <c r="I70">
        <v>0.54474176377499628</v>
      </c>
      <c r="J70">
        <v>116.99600000000001</v>
      </c>
      <c r="K70">
        <v>0.70131395962211673</v>
      </c>
      <c r="L70">
        <v>-66.082999999999998</v>
      </c>
      <c r="M70">
        <v>-0.39612405888840929</v>
      </c>
      <c r="N70">
        <v>28.266999999999999</v>
      </c>
      <c r="O70">
        <v>-95.293880000000001</v>
      </c>
      <c r="P70">
        <v>-0.57122404450199005</v>
      </c>
    </row>
    <row r="71" spans="1:16" x14ac:dyDescent="0.2">
      <c r="A71" t="s">
        <v>171</v>
      </c>
      <c r="B71">
        <v>2833.0971</v>
      </c>
      <c r="C71">
        <v>604.55700000000002</v>
      </c>
      <c r="D71">
        <v>558.87699999999995</v>
      </c>
      <c r="E71">
        <v>561.4</v>
      </c>
      <c r="F71">
        <v>5.0692676563895098</v>
      </c>
      <c r="G71">
        <v>5.0464857499109375</v>
      </c>
      <c r="H71">
        <v>-7.5559459240402582E-2</v>
      </c>
      <c r="I71">
        <v>4.5144101474923204E-3</v>
      </c>
      <c r="J71">
        <v>322.08900360107418</v>
      </c>
      <c r="K71">
        <v>0.57631465170524854</v>
      </c>
      <c r="L71">
        <v>152.07</v>
      </c>
      <c r="M71">
        <v>0.27209922755812105</v>
      </c>
      <c r="N71">
        <v>125.52199999999999</v>
      </c>
      <c r="O71">
        <v>105.80647999999999</v>
      </c>
      <c r="P71">
        <v>0.18931979666366661</v>
      </c>
    </row>
    <row r="72" spans="1:16" x14ac:dyDescent="0.2">
      <c r="A72" t="s">
        <v>173</v>
      </c>
      <c r="B72">
        <v>2532.3746999999998</v>
      </c>
      <c r="C72">
        <v>197.92500000000001</v>
      </c>
      <c r="D72">
        <v>255.43600000000001</v>
      </c>
      <c r="E72">
        <v>303.84500000000003</v>
      </c>
      <c r="F72">
        <v>9.9139302995662302</v>
      </c>
      <c r="G72">
        <v>8.3344293965673266</v>
      </c>
      <c r="H72">
        <v>0.2905696602248326</v>
      </c>
      <c r="I72">
        <v>0.18951518188509064</v>
      </c>
      <c r="J72">
        <v>196.15400054931641</v>
      </c>
      <c r="K72">
        <v>0.76791838483736197</v>
      </c>
      <c r="L72">
        <v>67.129000000000005</v>
      </c>
      <c r="M72">
        <v>0.2628016411155828</v>
      </c>
      <c r="N72">
        <v>86.590999999999994</v>
      </c>
      <c r="O72">
        <v>42.557038674647998</v>
      </c>
      <c r="P72">
        <v>0.166605485032055</v>
      </c>
    </row>
    <row r="73" spans="1:16" x14ac:dyDescent="0.2">
      <c r="A73" t="s">
        <v>175</v>
      </c>
      <c r="B73">
        <v>3540.5491000000002</v>
      </c>
      <c r="C73">
        <v>1005.701</v>
      </c>
      <c r="D73">
        <v>996.43500000000006</v>
      </c>
      <c r="E73">
        <v>1060</v>
      </c>
      <c r="F73">
        <v>3.553216316167136</v>
      </c>
      <c r="G73">
        <v>3.3401406603773585</v>
      </c>
      <c r="H73">
        <v>-9.2134739848125456E-3</v>
      </c>
      <c r="I73">
        <v>6.3792419977218628E-2</v>
      </c>
      <c r="J73">
        <v>549.45199468994144</v>
      </c>
      <c r="K73">
        <v>0.55141779914388933</v>
      </c>
      <c r="L73">
        <v>214.69400000000002</v>
      </c>
      <c r="M73">
        <v>0.21546212246659341</v>
      </c>
      <c r="N73">
        <v>69.709999999999994</v>
      </c>
      <c r="O73">
        <v>48.026550000000007</v>
      </c>
      <c r="P73">
        <v>4.819837721477066E-2</v>
      </c>
    </row>
    <row r="74" spans="1:16" x14ac:dyDescent="0.2">
      <c r="A74" t="s">
        <v>177</v>
      </c>
      <c r="B74">
        <v>3342.4558000000002</v>
      </c>
      <c r="C74">
        <v>1130.2660000000001</v>
      </c>
      <c r="D74">
        <v>1198.9859999999999</v>
      </c>
      <c r="E74">
        <v>1271.2</v>
      </c>
      <c r="F74">
        <v>2.7877354698053192</v>
      </c>
      <c r="G74">
        <v>2.6293705160478287</v>
      </c>
      <c r="H74">
        <v>6.0799847115634548E-2</v>
      </c>
      <c r="I74">
        <v>6.0229227030174082E-2</v>
      </c>
      <c r="J74">
        <v>770.49898681640627</v>
      </c>
      <c r="K74">
        <v>0.64262550756756653</v>
      </c>
      <c r="L74">
        <v>212.02799999999999</v>
      </c>
      <c r="M74">
        <v>0.17683942931777352</v>
      </c>
      <c r="N74">
        <v>337.94200000000001</v>
      </c>
      <c r="O74">
        <v>54.014695631445996</v>
      </c>
      <c r="P74">
        <v>4.5050313874762507E-2</v>
      </c>
    </row>
    <row r="75" spans="1:16" x14ac:dyDescent="0.2">
      <c r="A75" t="s">
        <v>179</v>
      </c>
      <c r="B75">
        <v>2710.8598999999999</v>
      </c>
      <c r="C75">
        <v>423.12400000000002</v>
      </c>
      <c r="D75">
        <v>519.38200000000006</v>
      </c>
      <c r="E75">
        <v>532.57500000000005</v>
      </c>
      <c r="F75">
        <v>5.2193951657931921</v>
      </c>
      <c r="G75">
        <v>5.0900997981504945</v>
      </c>
      <c r="H75">
        <v>0.22749359525812771</v>
      </c>
      <c r="I75">
        <v>2.540134236457936E-2</v>
      </c>
      <c r="J75">
        <v>372.4000010986328</v>
      </c>
      <c r="K75">
        <v>0.71700598229941115</v>
      </c>
      <c r="L75">
        <v>15.740000000000002</v>
      </c>
      <c r="M75">
        <v>3.0305247390167545E-2</v>
      </c>
      <c r="N75">
        <v>393.57599999999996</v>
      </c>
      <c r="O75">
        <v>-40.478999999999999</v>
      </c>
      <c r="P75">
        <v>-7.793685572468817E-2</v>
      </c>
    </row>
    <row r="76" spans="1:16" x14ac:dyDescent="0.2">
      <c r="A76" t="s">
        <v>181</v>
      </c>
      <c r="B76">
        <v>2781.2797</v>
      </c>
      <c r="C76">
        <v>343.274</v>
      </c>
      <c r="D76">
        <v>394.09599999999995</v>
      </c>
      <c r="E76">
        <v>427.56700000000001</v>
      </c>
      <c r="F76">
        <v>7.0573659717429269</v>
      </c>
      <c r="G76">
        <v>6.5048979458190175</v>
      </c>
      <c r="H76">
        <v>0.14805082820137833</v>
      </c>
      <c r="I76">
        <v>8.4931082781860345E-2</v>
      </c>
      <c r="J76">
        <v>220.96600073242186</v>
      </c>
      <c r="K76">
        <v>0.56069079800967758</v>
      </c>
      <c r="L76">
        <v>54.477999999999994</v>
      </c>
      <c r="M76">
        <v>0.13823535382241892</v>
      </c>
      <c r="N76">
        <v>124.613</v>
      </c>
      <c r="O76">
        <v>4.2689791113369981</v>
      </c>
      <c r="P76">
        <v>1.0832333013623581E-2</v>
      </c>
    </row>
    <row r="77" spans="1:16" x14ac:dyDescent="0.2">
      <c r="A77" t="s">
        <v>183</v>
      </c>
      <c r="B77">
        <v>2538.9832999999999</v>
      </c>
      <c r="C77">
        <v>360.28500000000003</v>
      </c>
      <c r="D77">
        <v>462.851</v>
      </c>
      <c r="E77">
        <v>534.75</v>
      </c>
      <c r="F77">
        <v>5.4855305487078994</v>
      </c>
      <c r="G77">
        <v>4.7479818606825619</v>
      </c>
      <c r="H77">
        <v>0.28468018374342524</v>
      </c>
      <c r="I77">
        <v>0.15533940728225715</v>
      </c>
      <c r="J77">
        <v>273.98900335693361</v>
      </c>
      <c r="K77">
        <v>0.59195940671389624</v>
      </c>
      <c r="L77">
        <v>85.867999999999995</v>
      </c>
      <c r="M77">
        <v>0.1855197460953957</v>
      </c>
      <c r="N77">
        <v>137.69800000000001</v>
      </c>
      <c r="O77">
        <v>19.337490000000003</v>
      </c>
      <c r="P77">
        <v>4.177908225325213E-2</v>
      </c>
    </row>
    <row r="78" spans="1:16" x14ac:dyDescent="0.2">
      <c r="A78" t="s">
        <v>185</v>
      </c>
      <c r="B78">
        <v>2584.7898</v>
      </c>
      <c r="C78">
        <v>302.70400000000001</v>
      </c>
      <c r="D78">
        <v>554.70800000000008</v>
      </c>
      <c r="E78">
        <v>668.68299999999999</v>
      </c>
      <c r="F78">
        <v>4.6597305248887695</v>
      </c>
      <c r="G78">
        <v>3.8654935148642928</v>
      </c>
      <c r="H78">
        <v>0.83250964638723002</v>
      </c>
      <c r="I78">
        <v>0.20546846268667451</v>
      </c>
      <c r="J78">
        <v>403.28800524902346</v>
      </c>
      <c r="K78">
        <v>0.72702756269789404</v>
      </c>
      <c r="L78">
        <v>-104.10600000000001</v>
      </c>
      <c r="M78">
        <v>-0.18767712021459937</v>
      </c>
      <c r="N78">
        <v>208.07599999999999</v>
      </c>
      <c r="O78">
        <v>-150.31100000000001</v>
      </c>
      <c r="P78">
        <v>-0.27097319670889908</v>
      </c>
    </row>
    <row r="79" spans="1:16" x14ac:dyDescent="0.2">
      <c r="A79" t="s">
        <v>187</v>
      </c>
      <c r="B79">
        <v>2961.8824</v>
      </c>
      <c r="C79">
        <v>124.371</v>
      </c>
      <c r="D79">
        <v>187.727</v>
      </c>
      <c r="E79">
        <v>294.17700000000002</v>
      </c>
      <c r="F79">
        <v>15.777604713227186</v>
      </c>
      <c r="G79">
        <v>10.068368363264293</v>
      </c>
      <c r="H79">
        <v>0.50941135795322068</v>
      </c>
      <c r="I79">
        <v>0.56704682863946054</v>
      </c>
      <c r="J79">
        <v>162.13900000000001</v>
      </c>
      <c r="K79">
        <v>0.86369568575644429</v>
      </c>
      <c r="L79">
        <v>-36.067999999999998</v>
      </c>
      <c r="M79">
        <v>-0.19213006120590004</v>
      </c>
      <c r="N79">
        <v>27.209999999999997</v>
      </c>
      <c r="O79">
        <v>-41.021999999999998</v>
      </c>
      <c r="P79">
        <v>-0.21851944579096239</v>
      </c>
    </row>
    <row r="80" spans="1:16" x14ac:dyDescent="0.2">
      <c r="A80" t="s">
        <v>189</v>
      </c>
      <c r="B80">
        <v>2363.1176</v>
      </c>
      <c r="C80">
        <v>85.79</v>
      </c>
      <c r="D80">
        <v>162.35999999999999</v>
      </c>
      <c r="E80">
        <v>224.28800000000001</v>
      </c>
      <c r="F80">
        <v>14.554801675289482</v>
      </c>
      <c r="G80">
        <v>10.536085746896847</v>
      </c>
      <c r="H80">
        <v>0.89252826669774998</v>
      </c>
      <c r="I80">
        <v>0.3814239960581427</v>
      </c>
      <c r="J80">
        <v>140.40400271606444</v>
      </c>
      <c r="K80">
        <v>0.86476966442513215</v>
      </c>
      <c r="L80">
        <v>-13.546000000000001</v>
      </c>
      <c r="M80">
        <v>-8.3431879773343209E-2</v>
      </c>
      <c r="N80">
        <v>119.71599999999999</v>
      </c>
      <c r="O80">
        <v>-19.666589999999999</v>
      </c>
      <c r="P80">
        <v>-0.12112952697708795</v>
      </c>
    </row>
    <row r="81" spans="1:16" x14ac:dyDescent="0.2">
      <c r="A81" t="s">
        <v>191</v>
      </c>
      <c r="B81">
        <v>2249.4695999999999</v>
      </c>
      <c r="C81">
        <v>595.12599999999998</v>
      </c>
      <c r="D81">
        <v>709.59799999999996</v>
      </c>
      <c r="E81">
        <v>761.19500000000005</v>
      </c>
      <c r="F81">
        <v>3.1700619223842232</v>
      </c>
      <c r="G81">
        <v>2.955181786533017</v>
      </c>
      <c r="H81">
        <v>0.19234918319817987</v>
      </c>
      <c r="I81">
        <v>7.2713000882189682E-2</v>
      </c>
      <c r="J81">
        <v>605.50099267578128</v>
      </c>
      <c r="K81">
        <v>0.85330143641298495</v>
      </c>
      <c r="L81">
        <v>20.122</v>
      </c>
      <c r="M81">
        <v>2.8356900667701995E-2</v>
      </c>
      <c r="N81">
        <v>330.78399999999999</v>
      </c>
      <c r="O81">
        <v>-7.6881895614599998</v>
      </c>
      <c r="P81">
        <v>-1.0834570505356555E-2</v>
      </c>
    </row>
    <row r="82" spans="1:16" x14ac:dyDescent="0.2">
      <c r="A82" t="s">
        <v>193</v>
      </c>
      <c r="B82">
        <v>2665.1181000000001</v>
      </c>
      <c r="C82">
        <v>263.86500000000001</v>
      </c>
      <c r="D82">
        <v>325.887</v>
      </c>
      <c r="E82">
        <v>515.72500000000002</v>
      </c>
      <c r="F82">
        <v>8.1780436163455441</v>
      </c>
      <c r="G82">
        <v>5.1677116680401376</v>
      </c>
      <c r="H82">
        <v>0.23505201523506333</v>
      </c>
      <c r="I82">
        <v>0.58252707226738099</v>
      </c>
      <c r="J82">
        <v>236.179</v>
      </c>
      <c r="K82">
        <v>0.72472666906013439</v>
      </c>
      <c r="L82">
        <v>150.26899999999998</v>
      </c>
      <c r="M82">
        <v>0.46110768456550882</v>
      </c>
      <c r="N82">
        <v>224.61399999999998</v>
      </c>
      <c r="O82">
        <v>138.66800000000001</v>
      </c>
      <c r="P82">
        <v>0.42550945573158794</v>
      </c>
    </row>
    <row r="83" spans="1:16" x14ac:dyDescent="0.2">
      <c r="A83" t="s">
        <v>195</v>
      </c>
      <c r="B83">
        <v>2121.9027000000001</v>
      </c>
      <c r="C83">
        <v>216.613</v>
      </c>
      <c r="D83">
        <v>294.68199999999996</v>
      </c>
      <c r="E83">
        <v>349.25299999999999</v>
      </c>
      <c r="F83">
        <v>7.2006525678528055</v>
      </c>
      <c r="G83">
        <v>6.0755460940922488</v>
      </c>
      <c r="H83">
        <v>0.36040773176125146</v>
      </c>
      <c r="I83">
        <v>0.1851860649785193</v>
      </c>
      <c r="J83">
        <v>249.10499847412109</v>
      </c>
      <c r="K83">
        <v>0.84533496607909919</v>
      </c>
      <c r="L83">
        <v>33.942999999999998</v>
      </c>
      <c r="M83">
        <v>0.11518518267148996</v>
      </c>
      <c r="N83">
        <v>161.261</v>
      </c>
      <c r="O83">
        <v>27.055742028858003</v>
      </c>
      <c r="P83">
        <v>9.1813351439375343E-2</v>
      </c>
    </row>
    <row r="84" spans="1:16" x14ac:dyDescent="0.2">
      <c r="A84" t="s">
        <v>197</v>
      </c>
      <c r="B84">
        <v>2344.0949000000001</v>
      </c>
      <c r="C84">
        <v>313.24</v>
      </c>
      <c r="D84">
        <v>362.10199999999998</v>
      </c>
      <c r="E84">
        <v>403.58300000000003</v>
      </c>
      <c r="F84">
        <v>6.473576229902072</v>
      </c>
      <c r="G84">
        <v>5.8082102070701689</v>
      </c>
      <c r="H84">
        <v>0.15598901800536319</v>
      </c>
      <c r="I84">
        <v>0.11455611954642619</v>
      </c>
      <c r="J84">
        <v>250.68500076293947</v>
      </c>
      <c r="K84">
        <v>0.69230493276187233</v>
      </c>
      <c r="L84">
        <v>-3.4740000000000002</v>
      </c>
      <c r="M84">
        <v>-9.5939818062313938E-3</v>
      </c>
      <c r="N84">
        <v>39.213000000000001</v>
      </c>
      <c r="O84">
        <v>-84.54</v>
      </c>
      <c r="P84">
        <v>-0.23347012720172772</v>
      </c>
    </row>
    <row r="85" spans="1:16" x14ac:dyDescent="0.2">
      <c r="A85" t="s">
        <v>199</v>
      </c>
      <c r="B85">
        <v>2777.4384</v>
      </c>
      <c r="C85">
        <v>578.16399999999999</v>
      </c>
      <c r="D85">
        <v>757.60300000000007</v>
      </c>
      <c r="E85">
        <v>863.7</v>
      </c>
      <c r="F85">
        <v>3.6660868555166752</v>
      </c>
      <c r="G85">
        <v>3.215744355679055</v>
      </c>
      <c r="H85">
        <v>0.31036003625268971</v>
      </c>
      <c r="I85">
        <v>0.14004300405357428</v>
      </c>
      <c r="J85">
        <v>512.96599737548831</v>
      </c>
      <c r="K85">
        <v>0.67709076835161464</v>
      </c>
      <c r="L85">
        <v>106.039</v>
      </c>
      <c r="M85">
        <v>0.13996644680657283</v>
      </c>
      <c r="N85">
        <v>60.114999999999995</v>
      </c>
      <c r="O85">
        <v>32.882268060742</v>
      </c>
      <c r="P85">
        <v>4.3403033067110346E-2</v>
      </c>
    </row>
    <row r="86" spans="1:16" x14ac:dyDescent="0.2">
      <c r="A86" t="s">
        <v>201</v>
      </c>
      <c r="B86">
        <v>2499.6136000000001</v>
      </c>
      <c r="C86">
        <v>40.750999999999998</v>
      </c>
      <c r="D86">
        <v>111.253</v>
      </c>
      <c r="E86">
        <v>195.833</v>
      </c>
      <c r="F86">
        <v>22.467830979838748</v>
      </c>
      <c r="G86">
        <v>12.764006066393305</v>
      </c>
      <c r="H86">
        <v>1.7300679737920546</v>
      </c>
      <c r="I86">
        <v>0.76024916182035529</v>
      </c>
      <c r="J86">
        <v>89.570999999999998</v>
      </c>
      <c r="K86">
        <v>0.80511087341464949</v>
      </c>
      <c r="L86">
        <v>-44.902000000000001</v>
      </c>
      <c r="M86">
        <v>-0.40360259948046345</v>
      </c>
      <c r="N86">
        <v>58.157999999999994</v>
      </c>
      <c r="O86">
        <v>-49.106000000000002</v>
      </c>
      <c r="P86">
        <v>-0.44139034453003517</v>
      </c>
    </row>
    <row r="87" spans="1:16" x14ac:dyDescent="0.2">
      <c r="A87" t="s">
        <v>203</v>
      </c>
      <c r="B87">
        <v>2436.4575</v>
      </c>
      <c r="C87">
        <v>562.17899999999997</v>
      </c>
      <c r="D87">
        <v>777.6</v>
      </c>
      <c r="E87">
        <v>824</v>
      </c>
      <c r="F87">
        <v>3.1333043981481481</v>
      </c>
      <c r="G87">
        <v>2.9568658980582523</v>
      </c>
      <c r="H87">
        <v>0.38318934005005534</v>
      </c>
      <c r="I87">
        <v>5.967078189300401E-2</v>
      </c>
      <c r="J87">
        <v>266.30000152587888</v>
      </c>
      <c r="K87">
        <v>0.34246399373184011</v>
      </c>
      <c r="L87">
        <v>119.85900000000001</v>
      </c>
      <c r="M87">
        <v>0.15413966049382716</v>
      </c>
      <c r="N87">
        <v>99.828999999999994</v>
      </c>
      <c r="O87">
        <v>92.1</v>
      </c>
      <c r="P87">
        <v>0.11844135802469134</v>
      </c>
    </row>
    <row r="88" spans="1:16" x14ac:dyDescent="0.2">
      <c r="A88" t="s">
        <v>207</v>
      </c>
      <c r="B88">
        <v>2165.1192999999998</v>
      </c>
      <c r="C88">
        <v>123.123</v>
      </c>
      <c r="D88">
        <v>202.84200000000001</v>
      </c>
      <c r="E88">
        <v>246.78800000000001</v>
      </c>
      <c r="F88">
        <v>10.673920095443743</v>
      </c>
      <c r="G88">
        <v>8.7731952120848646</v>
      </c>
      <c r="H88">
        <v>0.64747447674276948</v>
      </c>
      <c r="I88">
        <v>0.21665138383569471</v>
      </c>
      <c r="J88">
        <v>157.49099987792968</v>
      </c>
      <c r="K88">
        <v>0.77642204217040689</v>
      </c>
      <c r="L88">
        <v>-13.472000000000001</v>
      </c>
      <c r="M88">
        <v>-6.6416225436546669E-2</v>
      </c>
      <c r="N88">
        <v>31.103999999999999</v>
      </c>
      <c r="O88">
        <v>-33.920332731689001</v>
      </c>
      <c r="P88">
        <v>-0.16722539085440391</v>
      </c>
    </row>
    <row r="89" spans="1:16" x14ac:dyDescent="0.2">
      <c r="A89" t="s">
        <v>211</v>
      </c>
      <c r="B89">
        <v>2527.3155999999999</v>
      </c>
      <c r="C89">
        <v>167.42599999999999</v>
      </c>
      <c r="D89">
        <v>213.15899999999999</v>
      </c>
      <c r="E89">
        <v>282.81</v>
      </c>
      <c r="F89">
        <v>11.85648084293884</v>
      </c>
      <c r="G89">
        <v>8.9364435486722531</v>
      </c>
      <c r="H89">
        <v>0.27315351259660992</v>
      </c>
      <c r="I89">
        <v>0.32675608348697449</v>
      </c>
      <c r="J89">
        <v>155.18199999999999</v>
      </c>
      <c r="K89">
        <v>0.72801054611815585</v>
      </c>
      <c r="L89">
        <v>-43.302999999999997</v>
      </c>
      <c r="M89">
        <v>-0.20314882317894153</v>
      </c>
      <c r="N89">
        <v>14.074999999999999</v>
      </c>
      <c r="O89">
        <v>-55.233550000000001</v>
      </c>
      <c r="P89">
        <v>-0.25911901444461649</v>
      </c>
    </row>
    <row r="90" spans="1:16" x14ac:dyDescent="0.2">
      <c r="A90" t="s">
        <v>213</v>
      </c>
      <c r="B90">
        <v>2086.6887999999999</v>
      </c>
      <c r="C90">
        <v>261.10599999999999</v>
      </c>
      <c r="D90">
        <v>375.99900000000002</v>
      </c>
      <c r="E90">
        <v>410.81200000000001</v>
      </c>
      <c r="F90">
        <v>5.5497190152101465</v>
      </c>
      <c r="G90">
        <v>5.0794251385061777</v>
      </c>
      <c r="H90">
        <v>0.44002435792360201</v>
      </c>
      <c r="I90">
        <v>9.2588012202160064E-2</v>
      </c>
      <c r="J90">
        <v>251.41600036621094</v>
      </c>
      <c r="K90">
        <v>0.66866135379671465</v>
      </c>
      <c r="L90">
        <v>78.801000000000002</v>
      </c>
      <c r="M90">
        <v>0.2095776850470347</v>
      </c>
      <c r="N90">
        <v>96.328999999999994</v>
      </c>
      <c r="O90">
        <v>54.195191958732003</v>
      </c>
      <c r="P90">
        <v>0.14413653216825575</v>
      </c>
    </row>
    <row r="91" spans="1:16" x14ac:dyDescent="0.2">
      <c r="A91" t="s">
        <v>215</v>
      </c>
      <c r="B91">
        <v>1642.0148999999999</v>
      </c>
      <c r="C91">
        <v>166.048</v>
      </c>
      <c r="D91">
        <v>411.06400000000002</v>
      </c>
      <c r="E91">
        <v>487.03300000000002</v>
      </c>
      <c r="F91">
        <v>3.9945480509117797</v>
      </c>
      <c r="G91">
        <v>3.3714653832491841</v>
      </c>
      <c r="H91">
        <v>1.4755733281942571</v>
      </c>
      <c r="I91">
        <v>0.18481063775957018</v>
      </c>
      <c r="J91">
        <v>279.62800469970705</v>
      </c>
      <c r="K91">
        <v>0.68025418110004043</v>
      </c>
      <c r="L91">
        <v>-176.494</v>
      </c>
      <c r="M91">
        <v>-0.42935893194247121</v>
      </c>
      <c r="N91">
        <v>43.247</v>
      </c>
      <c r="O91">
        <v>-184.54894999999999</v>
      </c>
      <c r="P91">
        <v>-0.44895429908724671</v>
      </c>
    </row>
    <row r="92" spans="1:16" x14ac:dyDescent="0.2">
      <c r="A92" t="s">
        <v>217</v>
      </c>
      <c r="B92">
        <v>2066.1927000000001</v>
      </c>
      <c r="C92">
        <v>162.09</v>
      </c>
      <c r="D92">
        <v>225.50900000000001</v>
      </c>
      <c r="E92">
        <v>266.108</v>
      </c>
      <c r="F92">
        <v>9.1623513917404615</v>
      </c>
      <c r="G92">
        <v>7.7644892299367179</v>
      </c>
      <c r="H92">
        <v>0.39125794311802092</v>
      </c>
      <c r="I92">
        <v>0.18003272596659103</v>
      </c>
      <c r="J92">
        <v>133.13299966430662</v>
      </c>
      <c r="K92">
        <v>0.59036668010725346</v>
      </c>
      <c r="L92">
        <v>10.643000000000001</v>
      </c>
      <c r="M92">
        <v>4.7195455613744906E-2</v>
      </c>
      <c r="N92">
        <v>68.947000000000003</v>
      </c>
      <c r="O92">
        <v>-2.3560000000000003</v>
      </c>
      <c r="P92">
        <v>-1.0447476597386358E-2</v>
      </c>
    </row>
    <row r="93" spans="1:16" x14ac:dyDescent="0.2">
      <c r="A93" t="s">
        <v>219</v>
      </c>
      <c r="B93">
        <v>2059.2656000000002</v>
      </c>
      <c r="C93">
        <v>150.22399999999999</v>
      </c>
      <c r="D93">
        <v>215.20100000000002</v>
      </c>
      <c r="E93">
        <v>265.75200000000001</v>
      </c>
      <c r="F93">
        <v>9.5690336011449766</v>
      </c>
      <c r="G93">
        <v>7.7488244679249831</v>
      </c>
      <c r="H93">
        <v>0.43253408243689451</v>
      </c>
      <c r="I93">
        <v>0.2349013248079701</v>
      </c>
      <c r="J93">
        <v>106.53599938964844</v>
      </c>
      <c r="K93">
        <v>0.49505345881129004</v>
      </c>
      <c r="L93">
        <v>-7.5960000000000001</v>
      </c>
      <c r="M93">
        <v>-3.5297233748913803E-2</v>
      </c>
      <c r="N93">
        <v>57.960999999999999</v>
      </c>
      <c r="O93">
        <v>-24.3462</v>
      </c>
      <c r="P93">
        <v>-0.11313237392019553</v>
      </c>
    </row>
    <row r="94" spans="1:16" x14ac:dyDescent="0.2">
      <c r="A94" t="s">
        <v>221</v>
      </c>
      <c r="B94">
        <v>1943.9061999999999</v>
      </c>
      <c r="C94">
        <v>685.98800000000006</v>
      </c>
      <c r="D94">
        <v>807.30500000000006</v>
      </c>
      <c r="E94">
        <v>961.45699999999999</v>
      </c>
      <c r="F94">
        <v>2.4078956528201854</v>
      </c>
      <c r="G94">
        <v>2.0218337377542626</v>
      </c>
      <c r="H94">
        <v>0.17685003236208213</v>
      </c>
      <c r="I94">
        <v>0.19094642049782906</v>
      </c>
      <c r="J94">
        <v>275.29600018310543</v>
      </c>
      <c r="K94">
        <v>0.34100618747945993</v>
      </c>
      <c r="L94">
        <v>101.57077215189899</v>
      </c>
      <c r="M94">
        <v>0.12581462043700831</v>
      </c>
      <c r="N94">
        <v>86.795000000000002</v>
      </c>
      <c r="O94">
        <v>66.466239999999999</v>
      </c>
      <c r="P94">
        <v>8.233101492001163E-2</v>
      </c>
    </row>
    <row r="95" spans="1:16" x14ac:dyDescent="0.2">
      <c r="A95" t="s">
        <v>223</v>
      </c>
      <c r="B95">
        <v>1905.4384</v>
      </c>
      <c r="C95">
        <v>141.84100000000001</v>
      </c>
      <c r="D95">
        <v>282.14300000000003</v>
      </c>
      <c r="E95">
        <v>349.18299999999999</v>
      </c>
      <c r="F95">
        <v>6.7534491374941066</v>
      </c>
      <c r="G95">
        <v>5.4568475555797393</v>
      </c>
      <c r="H95">
        <v>0.98914982268878537</v>
      </c>
      <c r="I95">
        <v>0.23761000627341433</v>
      </c>
      <c r="J95">
        <v>206.71999600219726</v>
      </c>
      <c r="K95">
        <v>0.73267809586697963</v>
      </c>
      <c r="L95">
        <v>17.619</v>
      </c>
      <c r="M95">
        <v>6.2447056988831899E-2</v>
      </c>
      <c r="N95">
        <v>78.338999999999999</v>
      </c>
      <c r="O95">
        <v>-11.200076829023001</v>
      </c>
      <c r="P95">
        <v>-3.9696454737572787E-2</v>
      </c>
    </row>
    <row r="96" spans="1:16" x14ac:dyDescent="0.2">
      <c r="A96" t="s">
        <v>225</v>
      </c>
      <c r="B96">
        <v>2014.3187</v>
      </c>
      <c r="C96">
        <v>105.586</v>
      </c>
      <c r="D96">
        <v>165.38</v>
      </c>
      <c r="E96">
        <v>205.85</v>
      </c>
      <c r="F96">
        <v>12.179941347200387</v>
      </c>
      <c r="G96">
        <v>9.7853713869322334</v>
      </c>
      <c r="H96">
        <v>0.56630613907146776</v>
      </c>
      <c r="I96">
        <v>0.24470915467408383</v>
      </c>
      <c r="J96">
        <v>102.44899972534179</v>
      </c>
      <c r="K96">
        <v>0.6194763558189732</v>
      </c>
      <c r="L96">
        <v>31.149000000000001</v>
      </c>
      <c r="M96">
        <v>0.18834804692223969</v>
      </c>
      <c r="N96">
        <v>16.109000000000002</v>
      </c>
      <c r="O96">
        <v>18.071339999999999</v>
      </c>
      <c r="P96">
        <v>0.1092716168823316</v>
      </c>
    </row>
    <row r="97" spans="1:16" x14ac:dyDescent="0.2">
      <c r="A97" t="s">
        <v>227</v>
      </c>
      <c r="B97">
        <v>2202.7654000000002</v>
      </c>
      <c r="C97">
        <v>92.183999999999997</v>
      </c>
      <c r="D97">
        <v>167.92599999999999</v>
      </c>
      <c r="E97">
        <v>255.9</v>
      </c>
      <c r="F97">
        <v>13.117476745709421</v>
      </c>
      <c r="G97">
        <v>8.6079148104728418</v>
      </c>
      <c r="H97">
        <v>0.82163933003558087</v>
      </c>
      <c r="I97">
        <v>0.52388552100329933</v>
      </c>
      <c r="J97">
        <v>88.019999999999982</v>
      </c>
      <c r="K97">
        <v>0.52415945118683227</v>
      </c>
      <c r="L97">
        <v>-39.728000000000002</v>
      </c>
      <c r="M97">
        <v>-0.23658039850886703</v>
      </c>
      <c r="N97">
        <v>48.207999999999998</v>
      </c>
      <c r="O97">
        <v>-47.155000000000001</v>
      </c>
      <c r="P97">
        <v>-0.28080821314150284</v>
      </c>
    </row>
    <row r="98" spans="1:16" x14ac:dyDescent="0.2">
      <c r="A98" t="s">
        <v>229</v>
      </c>
      <c r="B98">
        <v>1544.9141</v>
      </c>
      <c r="C98">
        <v>264.45499999999998</v>
      </c>
      <c r="D98">
        <v>344.017</v>
      </c>
      <c r="E98">
        <v>369.76900000000001</v>
      </c>
      <c r="F98">
        <v>4.4908074310281174</v>
      </c>
      <c r="G98">
        <v>4.1780519729885413</v>
      </c>
      <c r="H98">
        <v>0.30085269705620998</v>
      </c>
      <c r="I98">
        <v>7.4856765799364622E-2</v>
      </c>
      <c r="J98">
        <v>274.43599694824218</v>
      </c>
      <c r="K98">
        <v>0.79773963771628198</v>
      </c>
      <c r="L98">
        <v>7.0558987341769992</v>
      </c>
      <c r="M98">
        <v>2.0510319938192006E-2</v>
      </c>
      <c r="N98">
        <v>192.53799999999998</v>
      </c>
      <c r="O98">
        <v>-22.831899999999997</v>
      </c>
      <c r="P98">
        <v>-6.636852248580738E-2</v>
      </c>
    </row>
    <row r="99" spans="1:16" x14ac:dyDescent="0.2">
      <c r="A99" t="s">
        <v>237</v>
      </c>
      <c r="B99">
        <v>3979.5682000000002</v>
      </c>
      <c r="C99">
        <v>2351.3560000000002</v>
      </c>
      <c r="D99">
        <v>2524.2550000000001</v>
      </c>
      <c r="E99">
        <v>2627.6289999999999</v>
      </c>
      <c r="F99">
        <v>1.5765317687793032</v>
      </c>
      <c r="G99">
        <v>1.5145091639649282</v>
      </c>
      <c r="H99">
        <v>7.3531613247845018E-2</v>
      </c>
      <c r="I99">
        <v>4.0952280970028676E-2</v>
      </c>
      <c r="J99">
        <v>920.60099450683606</v>
      </c>
      <c r="K99">
        <v>0.36470205843182879</v>
      </c>
      <c r="L99">
        <v>545.98500000000001</v>
      </c>
      <c r="M99">
        <v>0.21629550104882431</v>
      </c>
      <c r="N99">
        <v>122.039</v>
      </c>
      <c r="O99">
        <v>163.409500215957</v>
      </c>
      <c r="P99">
        <v>6.4735733995161734E-2</v>
      </c>
    </row>
    <row r="100" spans="1:16" x14ac:dyDescent="0.2">
      <c r="A100" t="s">
        <v>239</v>
      </c>
      <c r="B100">
        <v>2334.0005999999998</v>
      </c>
      <c r="C100">
        <v>389.50700000000001</v>
      </c>
      <c r="D100">
        <v>425.97399999999993</v>
      </c>
      <c r="E100">
        <v>456</v>
      </c>
      <c r="F100">
        <v>5.4792090597078698</v>
      </c>
      <c r="G100">
        <v>5.1184223684210526</v>
      </c>
      <c r="H100">
        <v>9.3623477883580858E-2</v>
      </c>
      <c r="I100">
        <v>7.048787015169955E-2</v>
      </c>
      <c r="J100">
        <v>215.97600213623048</v>
      </c>
      <c r="K100">
        <v>0.50701686519888656</v>
      </c>
      <c r="L100">
        <v>171.22300000000001</v>
      </c>
      <c r="M100">
        <v>0.40195645743636943</v>
      </c>
      <c r="N100">
        <v>50.422999999999995</v>
      </c>
      <c r="O100">
        <v>66.721209999999999</v>
      </c>
      <c r="P100">
        <v>0.15663211839220237</v>
      </c>
    </row>
    <row r="101" spans="1:16" x14ac:dyDescent="0.2">
      <c r="A101" t="s">
        <v>241</v>
      </c>
      <c r="B101">
        <v>1637.1987999999999</v>
      </c>
      <c r="C101">
        <v>164.45599999999999</v>
      </c>
      <c r="D101">
        <v>242.52799999999999</v>
      </c>
      <c r="E101">
        <v>285.279</v>
      </c>
      <c r="F101">
        <v>6.7505558121124158</v>
      </c>
      <c r="G101">
        <v>5.7389390736787496</v>
      </c>
      <c r="H101">
        <v>0.47472880284088148</v>
      </c>
      <c r="I101">
        <v>0.1762724303997889</v>
      </c>
      <c r="J101">
        <v>218.322998046875</v>
      </c>
      <c r="K101">
        <v>0.90019708259201003</v>
      </c>
      <c r="L101">
        <v>-20.379999999999995</v>
      </c>
      <c r="M101">
        <v>-8.4031534503232599E-2</v>
      </c>
      <c r="N101">
        <v>56.689</v>
      </c>
      <c r="O101">
        <v>-25.522279999999999</v>
      </c>
      <c r="P101">
        <v>-0.10523436469191186</v>
      </c>
    </row>
    <row r="102" spans="1:16" x14ac:dyDescent="0.2">
      <c r="A102" t="s">
        <v>243</v>
      </c>
      <c r="B102">
        <v>1797.1029000000001</v>
      </c>
      <c r="C102">
        <v>89.724000000000004</v>
      </c>
      <c r="D102">
        <v>198.54300000000001</v>
      </c>
      <c r="E102">
        <v>249.18700000000001</v>
      </c>
      <c r="F102">
        <v>9.0514543449026164</v>
      </c>
      <c r="G102">
        <v>7.2118645836259514</v>
      </c>
      <c r="H102">
        <v>1.2128193125585127</v>
      </c>
      <c r="I102">
        <v>0.25507824501493381</v>
      </c>
      <c r="J102">
        <v>147.79099822998046</v>
      </c>
      <c r="K102">
        <v>0.74437778330125193</v>
      </c>
      <c r="L102">
        <v>-68.009</v>
      </c>
      <c r="M102">
        <v>-0.34254040686400428</v>
      </c>
      <c r="N102">
        <v>34.366999999999997</v>
      </c>
      <c r="O102">
        <v>-73.292000000000002</v>
      </c>
      <c r="P102">
        <v>-0.36914925230302753</v>
      </c>
    </row>
    <row r="103" spans="1:16" x14ac:dyDescent="0.2">
      <c r="A103" t="s">
        <v>245</v>
      </c>
      <c r="B103">
        <v>1708.3059000000001</v>
      </c>
      <c r="C103">
        <v>105.98399999999999</v>
      </c>
      <c r="D103">
        <v>176.48500000000001</v>
      </c>
      <c r="E103">
        <v>232.17500000000001</v>
      </c>
      <c r="F103">
        <v>9.679609598549451</v>
      </c>
      <c r="G103">
        <v>7.357837407128244</v>
      </c>
      <c r="H103">
        <v>0.66520418176328522</v>
      </c>
      <c r="I103">
        <v>0.31555089667677128</v>
      </c>
      <c r="J103">
        <v>135.33699801635743</v>
      </c>
      <c r="K103">
        <v>0.76684702958527584</v>
      </c>
      <c r="L103">
        <v>-30.723999999999997</v>
      </c>
      <c r="M103">
        <v>-0.17408844944329543</v>
      </c>
      <c r="N103">
        <v>87.024000000000001</v>
      </c>
      <c r="O103">
        <v>-34.695</v>
      </c>
      <c r="P103">
        <v>-0.19658894523613904</v>
      </c>
    </row>
    <row r="104" spans="1:16" x14ac:dyDescent="0.2">
      <c r="A104" t="s">
        <v>247</v>
      </c>
      <c r="B104">
        <v>2277.1129999999998</v>
      </c>
      <c r="C104">
        <v>298.29399999999998</v>
      </c>
      <c r="D104">
        <v>430.33699999999999</v>
      </c>
      <c r="E104">
        <v>547.33299999999997</v>
      </c>
      <c r="F104">
        <v>5.291464596351231</v>
      </c>
      <c r="G104">
        <v>4.16037951302041</v>
      </c>
      <c r="H104">
        <v>0.44266059659262341</v>
      </c>
      <c r="I104">
        <v>0.27187065021134593</v>
      </c>
      <c r="J104">
        <v>273.81199511718751</v>
      </c>
      <c r="K104">
        <v>0.63627342087059102</v>
      </c>
      <c r="L104">
        <v>145.13300000000001</v>
      </c>
      <c r="M104">
        <v>0.33725429140417862</v>
      </c>
      <c r="N104">
        <v>63.894999999999996</v>
      </c>
      <c r="O104">
        <v>106.145</v>
      </c>
      <c r="P104">
        <v>0.24665552810936545</v>
      </c>
    </row>
    <row r="105" spans="1:16" x14ac:dyDescent="0.2">
      <c r="A105" t="s">
        <v>249</v>
      </c>
      <c r="B105">
        <v>1683.934</v>
      </c>
      <c r="C105">
        <v>322.85599999999999</v>
      </c>
      <c r="D105">
        <v>472.71199999999999</v>
      </c>
      <c r="E105">
        <v>564.25700000000006</v>
      </c>
      <c r="F105">
        <v>3.5622831660715191</v>
      </c>
      <c r="G105">
        <v>2.9843386967286181</v>
      </c>
      <c r="H105">
        <v>0.46415739524741678</v>
      </c>
      <c r="I105">
        <v>0.19365914129533435</v>
      </c>
      <c r="J105">
        <v>176.87399850463868</v>
      </c>
      <c r="K105">
        <v>0.37416862382304378</v>
      </c>
      <c r="L105">
        <v>71.519571428570998</v>
      </c>
      <c r="M105">
        <v>0.15129628913285678</v>
      </c>
      <c r="N105">
        <v>52.524999999999999</v>
      </c>
      <c r="O105">
        <v>48.062889999999996</v>
      </c>
      <c r="P105">
        <v>0.10167478295452621</v>
      </c>
    </row>
    <row r="106" spans="1:16" x14ac:dyDescent="0.2">
      <c r="A106" t="s">
        <v>251</v>
      </c>
      <c r="B106">
        <v>1563.4879000000001</v>
      </c>
      <c r="C106">
        <v>115.95099999999999</v>
      </c>
      <c r="D106">
        <v>143.75199999999998</v>
      </c>
      <c r="E106">
        <v>169.75800000000001</v>
      </c>
      <c r="F106">
        <v>10.876286242974013</v>
      </c>
      <c r="G106">
        <v>9.2100984931490704</v>
      </c>
      <c r="H106">
        <v>0.23976507317746279</v>
      </c>
      <c r="I106">
        <v>0.18090878735600224</v>
      </c>
      <c r="J106">
        <v>101.70600183105469</v>
      </c>
      <c r="K106">
        <v>0.70751016911802767</v>
      </c>
      <c r="L106">
        <v>35.331999999999994</v>
      </c>
      <c r="M106">
        <v>0.2457844064778229</v>
      </c>
      <c r="N106">
        <v>158.398</v>
      </c>
      <c r="O106">
        <v>20.335000000000001</v>
      </c>
      <c r="P106">
        <v>0.14145890144137127</v>
      </c>
    </row>
    <row r="107" spans="1:16" x14ac:dyDescent="0.2">
      <c r="A107" t="s">
        <v>253</v>
      </c>
      <c r="B107">
        <v>1478.7066</v>
      </c>
      <c r="C107">
        <v>209.33600000000001</v>
      </c>
      <c r="D107">
        <v>310.62700000000001</v>
      </c>
      <c r="E107">
        <v>366.35300000000001</v>
      </c>
      <c r="F107">
        <v>4.7603930115540498</v>
      </c>
      <c r="G107">
        <v>4.0362890436273213</v>
      </c>
      <c r="H107">
        <v>0.48386803989758087</v>
      </c>
      <c r="I107">
        <v>0.17939844250499792</v>
      </c>
      <c r="J107">
        <v>234.64100097656251</v>
      </c>
      <c r="K107">
        <v>0.75537864054497039</v>
      </c>
      <c r="L107">
        <v>-13.42</v>
      </c>
      <c r="M107">
        <v>-4.3202941148065041E-2</v>
      </c>
      <c r="N107">
        <v>31.702999999999999</v>
      </c>
      <c r="O107">
        <v>42.356312490929</v>
      </c>
      <c r="P107">
        <v>0.13635747211584634</v>
      </c>
    </row>
    <row r="108" spans="1:16" x14ac:dyDescent="0.2">
      <c r="A108" t="s">
        <v>257</v>
      </c>
      <c r="B108">
        <v>1454.999</v>
      </c>
      <c r="C108">
        <v>139.02099999999999</v>
      </c>
      <c r="D108">
        <v>211.739</v>
      </c>
      <c r="E108">
        <v>279.25700000000001</v>
      </c>
      <c r="F108">
        <v>6.8716627546177129</v>
      </c>
      <c r="G108">
        <v>5.2102507725858258</v>
      </c>
      <c r="H108">
        <v>0.52307205386236633</v>
      </c>
      <c r="I108">
        <v>0.31887370772507673</v>
      </c>
      <c r="J108">
        <v>149.78799795532225</v>
      </c>
      <c r="K108">
        <v>0.70741808526214944</v>
      </c>
      <c r="L108">
        <v>-11.435911392404998</v>
      </c>
      <c r="M108">
        <v>-5.4009471058260393E-2</v>
      </c>
      <c r="N108">
        <v>232.01899999999998</v>
      </c>
      <c r="O108">
        <v>-22.763379999999998</v>
      </c>
      <c r="P108">
        <v>-0.10750678901855586</v>
      </c>
    </row>
    <row r="109" spans="1:16" x14ac:dyDescent="0.2">
      <c r="A109" t="s">
        <v>259</v>
      </c>
      <c r="B109">
        <v>1346.6967</v>
      </c>
      <c r="C109">
        <v>79.929000000000002</v>
      </c>
      <c r="D109">
        <v>128.28899999999999</v>
      </c>
      <c r="E109">
        <v>156.166</v>
      </c>
      <c r="F109">
        <v>10.497366882585414</v>
      </c>
      <c r="G109">
        <v>8.6234948708425652</v>
      </c>
      <c r="H109">
        <v>0.605036970311151</v>
      </c>
      <c r="I109">
        <v>0.21729844335835513</v>
      </c>
      <c r="J109">
        <v>95.234000320434575</v>
      </c>
      <c r="K109">
        <v>0.74233956395664935</v>
      </c>
      <c r="L109">
        <v>4.5019999999999998</v>
      </c>
      <c r="M109">
        <v>3.5092642393346273E-2</v>
      </c>
      <c r="N109">
        <v>175.49599999999998</v>
      </c>
      <c r="O109">
        <v>-4.702</v>
      </c>
      <c r="P109">
        <v>-3.6651622508554908E-2</v>
      </c>
    </row>
    <row r="110" spans="1:16" x14ac:dyDescent="0.2">
      <c r="A110" t="s">
        <v>261</v>
      </c>
      <c r="B110">
        <v>1407.1201000000001</v>
      </c>
      <c r="C110">
        <v>307.983</v>
      </c>
      <c r="D110">
        <v>268.00934779214469</v>
      </c>
      <c r="E110">
        <v>275.88499999999999</v>
      </c>
      <c r="F110">
        <v>5.2502650060224596</v>
      </c>
      <c r="G110">
        <v>5.1003863928810924</v>
      </c>
      <c r="H110">
        <v>-0.12979174892073689</v>
      </c>
      <c r="I110">
        <v>2.9385737000350076E-2</v>
      </c>
      <c r="J110">
        <v>186.44702180226108</v>
      </c>
      <c r="K110">
        <v>0.69567357757558712</v>
      </c>
      <c r="L110">
        <v>92.270070899827459</v>
      </c>
      <c r="M110">
        <v>0.34427930092717413</v>
      </c>
      <c r="N110">
        <v>120.60799999999999</v>
      </c>
      <c r="O110">
        <v>45.2449786771883</v>
      </c>
      <c r="P110">
        <v>0.16881865893826267</v>
      </c>
    </row>
    <row r="111" spans="1:16" x14ac:dyDescent="0.2">
      <c r="A111" t="s">
        <v>263</v>
      </c>
      <c r="B111">
        <v>1443.3649</v>
      </c>
      <c r="C111">
        <v>157.43700000000001</v>
      </c>
      <c r="D111">
        <v>221.20800000000003</v>
      </c>
      <c r="E111">
        <v>260.59699999999998</v>
      </c>
      <c r="F111">
        <v>6.524921793063541</v>
      </c>
      <c r="G111">
        <v>5.5386857868663117</v>
      </c>
      <c r="H111">
        <v>0.40505726099963801</v>
      </c>
      <c r="I111">
        <v>0.17806318035514068</v>
      </c>
      <c r="J111">
        <v>155.65399899291992</v>
      </c>
      <c r="K111">
        <v>0.70365447448971064</v>
      </c>
      <c r="L111">
        <v>-47.295392405064</v>
      </c>
      <c r="M111">
        <v>-0.21380507217218181</v>
      </c>
      <c r="N111">
        <v>51.561999999999998</v>
      </c>
      <c r="O111">
        <v>-53.869</v>
      </c>
      <c r="P111">
        <v>-0.24352193410726553</v>
      </c>
    </row>
    <row r="112" spans="1:16" x14ac:dyDescent="0.2">
      <c r="A112" t="s">
        <v>265</v>
      </c>
      <c r="B112">
        <v>1409.3098</v>
      </c>
      <c r="C112">
        <v>132.923</v>
      </c>
      <c r="D112">
        <v>206.78900000000002</v>
      </c>
      <c r="E112">
        <v>220.108</v>
      </c>
      <c r="F112">
        <v>6.8152068050041343</v>
      </c>
      <c r="G112">
        <v>6.4028104385120033</v>
      </c>
      <c r="H112">
        <v>0.55570518269975855</v>
      </c>
      <c r="I112">
        <v>6.44086484290749E-2</v>
      </c>
      <c r="J112">
        <v>128.89599989318847</v>
      </c>
      <c r="K112">
        <v>0.62332135603532324</v>
      </c>
      <c r="L112">
        <v>-30.616</v>
      </c>
      <c r="M112">
        <v>-0.148054296892001</v>
      </c>
      <c r="N112">
        <v>73.757999999999996</v>
      </c>
      <c r="O112">
        <v>-33.673000000000002</v>
      </c>
      <c r="P112">
        <v>-0.16283748168422885</v>
      </c>
    </row>
    <row r="113" spans="1:16" x14ac:dyDescent="0.2">
      <c r="A113" t="s">
        <v>267</v>
      </c>
      <c r="B113">
        <v>1375.7365</v>
      </c>
      <c r="C113">
        <v>184.46100000000001</v>
      </c>
      <c r="D113">
        <v>309.411</v>
      </c>
      <c r="E113">
        <v>376.04599999999999</v>
      </c>
      <c r="F113">
        <v>4.4463076619771114</v>
      </c>
      <c r="G113">
        <v>3.6584260968073057</v>
      </c>
      <c r="H113">
        <v>0.67737895815375593</v>
      </c>
      <c r="I113">
        <v>0.21536079842022415</v>
      </c>
      <c r="J113">
        <v>220.4609998474121</v>
      </c>
      <c r="K113">
        <v>0.71251830040758768</v>
      </c>
      <c r="L113">
        <v>-163.124</v>
      </c>
      <c r="M113">
        <v>-0.52720814709237873</v>
      </c>
      <c r="N113">
        <v>62.738999999999997</v>
      </c>
      <c r="O113">
        <v>-176.84800000000001</v>
      </c>
      <c r="P113">
        <v>-0.57156338979545007</v>
      </c>
    </row>
    <row r="114" spans="1:16" x14ac:dyDescent="0.2">
      <c r="A114" t="s">
        <v>269</v>
      </c>
      <c r="B114">
        <v>1455.3159000000001</v>
      </c>
      <c r="C114">
        <v>76.846000000000004</v>
      </c>
      <c r="D114">
        <v>122.828</v>
      </c>
      <c r="E114">
        <v>163.084</v>
      </c>
      <c r="F114">
        <v>11.848405086788029</v>
      </c>
      <c r="G114">
        <v>8.9237196782026444</v>
      </c>
      <c r="H114">
        <v>0.59836556229341797</v>
      </c>
      <c r="I114">
        <v>0.32774285993421692</v>
      </c>
      <c r="J114">
        <v>85.026000061035163</v>
      </c>
      <c r="K114">
        <v>0.69223629840944378</v>
      </c>
      <c r="L114">
        <v>-24.664999999999999</v>
      </c>
      <c r="M114">
        <v>-0.20080926173185265</v>
      </c>
      <c r="N114">
        <v>102.75399999999999</v>
      </c>
      <c r="O114">
        <v>-39.188639999999999</v>
      </c>
      <c r="P114">
        <v>-0.3190529846614778</v>
      </c>
    </row>
    <row r="115" spans="1:16" x14ac:dyDescent="0.2">
      <c r="A115" t="s">
        <v>271</v>
      </c>
      <c r="B115">
        <v>1335.0657000000001</v>
      </c>
      <c r="C115">
        <v>193.29499999999999</v>
      </c>
      <c r="D115">
        <v>234.53299999999999</v>
      </c>
      <c r="E115">
        <v>255.227</v>
      </c>
      <c r="F115">
        <v>5.6924428545236712</v>
      </c>
      <c r="G115">
        <v>5.2308952422745243</v>
      </c>
      <c r="H115">
        <v>0.21334230062857293</v>
      </c>
      <c r="I115">
        <v>8.8234917900679388E-2</v>
      </c>
      <c r="J115">
        <v>156.26900183105468</v>
      </c>
      <c r="K115">
        <v>0.666298567071818</v>
      </c>
      <c r="L115">
        <v>24.942</v>
      </c>
      <c r="M115">
        <v>0.10634750760020978</v>
      </c>
      <c r="N115">
        <v>123.127</v>
      </c>
      <c r="O115">
        <v>10.046000000000001</v>
      </c>
      <c r="P115">
        <v>4.2834057467392654E-2</v>
      </c>
    </row>
    <row r="116" spans="1:16" x14ac:dyDescent="0.2">
      <c r="A116" t="s">
        <v>273</v>
      </c>
      <c r="B116">
        <v>2032.1335999999999</v>
      </c>
      <c r="C116">
        <v>649.09299999999996</v>
      </c>
      <c r="D116">
        <v>774.83100000000002</v>
      </c>
      <c r="E116">
        <v>685.5</v>
      </c>
      <c r="F116">
        <v>2.6226797843658809</v>
      </c>
      <c r="G116">
        <v>2.9644545587162652</v>
      </c>
      <c r="H116">
        <v>0.19371338159554957</v>
      </c>
      <c r="I116">
        <v>-0.11529094731625344</v>
      </c>
      <c r="J116">
        <v>572.46900695800787</v>
      </c>
      <c r="K116">
        <v>0.73883079917815353</v>
      </c>
      <c r="L116">
        <v>202.02800000000002</v>
      </c>
      <c r="M116">
        <v>0.26073814806067391</v>
      </c>
      <c r="N116">
        <v>128.965</v>
      </c>
      <c r="O116">
        <v>-55.119129999999998</v>
      </c>
      <c r="P116">
        <v>-7.1136970513570055E-2</v>
      </c>
    </row>
    <row r="117" spans="1:16" x14ac:dyDescent="0.2">
      <c r="A117" t="s">
        <v>275</v>
      </c>
      <c r="B117">
        <v>719.44939999999997</v>
      </c>
      <c r="C117">
        <v>512.16099999999994</v>
      </c>
      <c r="D117">
        <v>506.92600000000004</v>
      </c>
      <c r="E117">
        <v>514</v>
      </c>
      <c r="F117">
        <v>1.4192394945218827</v>
      </c>
      <c r="G117">
        <v>1.3997070038910506</v>
      </c>
      <c r="H117">
        <v>-1.0221395225329341E-2</v>
      </c>
      <c r="I117">
        <v>1.3954699502491508E-2</v>
      </c>
      <c r="J117">
        <v>407.5589940185547</v>
      </c>
      <c r="K117">
        <v>0.803981239901987</v>
      </c>
      <c r="L117">
        <v>47.558000000000007</v>
      </c>
      <c r="M117">
        <v>9.3816454472644931E-2</v>
      </c>
      <c r="N117">
        <v>420.24399999999997</v>
      </c>
      <c r="O117">
        <v>42.201000000000001</v>
      </c>
      <c r="P117">
        <v>8.3248837108374787E-2</v>
      </c>
    </row>
    <row r="118" spans="1:16" x14ac:dyDescent="0.2">
      <c r="A118" t="s">
        <v>277</v>
      </c>
      <c r="B118">
        <v>1403.5246</v>
      </c>
      <c r="C118">
        <v>405.34100000000001</v>
      </c>
      <c r="D118">
        <v>401.911</v>
      </c>
      <c r="E118">
        <v>396.25</v>
      </c>
      <c r="F118">
        <v>3.4921278591528968</v>
      </c>
      <c r="G118">
        <v>3.5420179179810725</v>
      </c>
      <c r="H118">
        <v>-8.4620109981472548E-3</v>
      </c>
      <c r="I118">
        <v>-1.4085207919166232E-2</v>
      </c>
      <c r="J118">
        <v>333.70999957275393</v>
      </c>
      <c r="K118">
        <v>0.83030820149922224</v>
      </c>
      <c r="L118">
        <v>142.37699999999998</v>
      </c>
      <c r="M118">
        <v>0.35425007028919331</v>
      </c>
      <c r="N118">
        <v>133.464</v>
      </c>
      <c r="O118">
        <v>65.876939999999991</v>
      </c>
      <c r="P118">
        <v>0.16390927344611117</v>
      </c>
    </row>
    <row r="119" spans="1:16" x14ac:dyDescent="0.2">
      <c r="A119" t="s">
        <v>279</v>
      </c>
      <c r="B119">
        <v>1360.3652</v>
      </c>
      <c r="C119">
        <v>178.64599999999999</v>
      </c>
      <c r="D119">
        <v>225.61</v>
      </c>
      <c r="E119">
        <v>255.92000000000002</v>
      </c>
      <c r="F119">
        <v>6.0297203138158766</v>
      </c>
      <c r="G119">
        <v>5.3155876836511409</v>
      </c>
      <c r="H119">
        <v>0.26288861771324312</v>
      </c>
      <c r="I119">
        <v>0.13434688178715493</v>
      </c>
      <c r="J119">
        <v>161.06200064086914</v>
      </c>
      <c r="K119">
        <v>0.71389566349394595</v>
      </c>
      <c r="L119">
        <v>-48.74664556962</v>
      </c>
      <c r="M119">
        <v>-0.21606597921023002</v>
      </c>
      <c r="N119">
        <v>60.332999999999998</v>
      </c>
      <c r="O119">
        <v>-53.88</v>
      </c>
      <c r="P119">
        <v>-0.23881920127653916</v>
      </c>
    </row>
    <row r="120" spans="1:16" x14ac:dyDescent="0.2">
      <c r="A120" t="s">
        <v>283</v>
      </c>
      <c r="B120">
        <v>2037.6169</v>
      </c>
      <c r="C120">
        <v>1265.364</v>
      </c>
      <c r="D120">
        <v>1442.086</v>
      </c>
      <c r="E120">
        <v>1299.5</v>
      </c>
      <c r="F120">
        <v>1.4129648994581461</v>
      </c>
      <c r="G120">
        <v>1.568000692574067</v>
      </c>
      <c r="H120">
        <v>0.13966099873238055</v>
      </c>
      <c r="I120">
        <v>-9.8874824386340321E-2</v>
      </c>
      <c r="J120">
        <v>493.43699993896485</v>
      </c>
      <c r="K120">
        <v>0.34216891360082885</v>
      </c>
      <c r="L120">
        <v>321.95100000000002</v>
      </c>
      <c r="M120">
        <v>0.22325367557829423</v>
      </c>
      <c r="N120">
        <v>51.37</v>
      </c>
      <c r="O120">
        <v>65.558989999999994</v>
      </c>
      <c r="P120">
        <v>4.546122075937218E-2</v>
      </c>
    </row>
    <row r="121" spans="1:16" x14ac:dyDescent="0.2">
      <c r="A121" t="s">
        <v>285</v>
      </c>
      <c r="B121">
        <v>1236.1941999999999</v>
      </c>
      <c r="C121">
        <v>1460.037</v>
      </c>
      <c r="D121">
        <v>1637.712</v>
      </c>
      <c r="E121">
        <v>1656.5</v>
      </c>
      <c r="F121">
        <v>0.75483003116543079</v>
      </c>
      <c r="G121">
        <v>0.74626875943253845</v>
      </c>
      <c r="H121">
        <v>0.12169212150103043</v>
      </c>
      <c r="I121">
        <v>1.147210254305997E-2</v>
      </c>
      <c r="J121">
        <v>553.73400109863292</v>
      </c>
      <c r="K121">
        <v>0.33811439441039259</v>
      </c>
      <c r="L121">
        <v>168.06400000000002</v>
      </c>
      <c r="M121">
        <v>0.10262121789423294</v>
      </c>
      <c r="N121">
        <v>343.73399999999998</v>
      </c>
      <c r="O121">
        <v>71.187725335842003</v>
      </c>
      <c r="P121">
        <v>4.3467792466466634E-2</v>
      </c>
    </row>
    <row r="122" spans="1:16" x14ac:dyDescent="0.2">
      <c r="A122" t="s">
        <v>287</v>
      </c>
      <c r="B122">
        <v>1214.4014</v>
      </c>
      <c r="C122">
        <v>222.779</v>
      </c>
      <c r="D122">
        <v>233.78399999999999</v>
      </c>
      <c r="E122">
        <v>258.85399999999998</v>
      </c>
      <c r="F122">
        <v>5.194544536837423</v>
      </c>
      <c r="G122">
        <v>4.6914530971126585</v>
      </c>
      <c r="H122">
        <v>4.9398731478281145E-2</v>
      </c>
      <c r="I122">
        <v>0.10723573897272698</v>
      </c>
      <c r="J122">
        <v>174.50399725341796</v>
      </c>
      <c r="K122">
        <v>0.74643259270702</v>
      </c>
      <c r="L122">
        <v>9.7840000000000007</v>
      </c>
      <c r="M122">
        <v>4.1850597132395723E-2</v>
      </c>
      <c r="N122">
        <v>56.114999999999995</v>
      </c>
      <c r="O122">
        <v>-8.9980586626340013</v>
      </c>
      <c r="P122">
        <v>-3.8488770243618048E-2</v>
      </c>
    </row>
    <row r="123" spans="1:16" x14ac:dyDescent="0.2">
      <c r="A123" t="s">
        <v>289</v>
      </c>
      <c r="B123">
        <v>1444.5420999999999</v>
      </c>
      <c r="C123">
        <v>116.239</v>
      </c>
      <c r="D123">
        <v>162.01400000000001</v>
      </c>
      <c r="E123">
        <v>226.63</v>
      </c>
      <c r="F123">
        <v>8.9161560112089067</v>
      </c>
      <c r="G123">
        <v>6.3740109429466525</v>
      </c>
      <c r="H123">
        <v>0.39380070372250281</v>
      </c>
      <c r="I123">
        <v>0.39882973076400785</v>
      </c>
      <c r="J123">
        <v>126.376</v>
      </c>
      <c r="K123">
        <v>0.78003135531497281</v>
      </c>
      <c r="L123">
        <v>-48.109000000000002</v>
      </c>
      <c r="M123">
        <v>-0.29694347402076365</v>
      </c>
      <c r="N123">
        <v>36.073</v>
      </c>
      <c r="O123">
        <v>-55.826999999999998</v>
      </c>
      <c r="P123">
        <v>-0.34458133247744022</v>
      </c>
    </row>
    <row r="124" spans="1:16" x14ac:dyDescent="0.2">
      <c r="A124" t="s">
        <v>291</v>
      </c>
      <c r="B124">
        <v>1016.1319</v>
      </c>
      <c r="C124">
        <v>160.56899999999999</v>
      </c>
      <c r="D124">
        <v>212.47800000000001</v>
      </c>
      <c r="E124">
        <v>249.06300000000002</v>
      </c>
      <c r="F124">
        <v>4.7822922843776761</v>
      </c>
      <c r="G124">
        <v>4.0798187607151597</v>
      </c>
      <c r="H124">
        <v>0.32328157988154638</v>
      </c>
      <c r="I124">
        <v>0.17218253183859034</v>
      </c>
      <c r="J124">
        <v>147.23399932861327</v>
      </c>
      <c r="K124">
        <v>0.69293761861751924</v>
      </c>
      <c r="L124">
        <v>-14.339075949367</v>
      </c>
      <c r="M124">
        <v>-6.748499114904602E-2</v>
      </c>
      <c r="N124">
        <v>55.068999999999996</v>
      </c>
      <c r="O124">
        <v>-23.346969999999999</v>
      </c>
      <c r="P124">
        <v>-0.10987946987452818</v>
      </c>
    </row>
    <row r="125" spans="1:16" x14ac:dyDescent="0.2">
      <c r="A125" t="s">
        <v>293</v>
      </c>
      <c r="B125">
        <v>1118.7239</v>
      </c>
      <c r="C125">
        <v>339.52199999999999</v>
      </c>
      <c r="D125">
        <v>493.41899999999998</v>
      </c>
      <c r="E125">
        <v>540.76700000000005</v>
      </c>
      <c r="F125">
        <v>2.2672898692591894</v>
      </c>
      <c r="G125">
        <v>2.0687725027599684</v>
      </c>
      <c r="H125">
        <v>0.45327548730273737</v>
      </c>
      <c r="I125">
        <v>9.5959012522825571E-2</v>
      </c>
      <c r="J125">
        <v>254.20199630737304</v>
      </c>
      <c r="K125">
        <v>0.51518485568527572</v>
      </c>
      <c r="L125">
        <v>-32.902000000000001</v>
      </c>
      <c r="M125">
        <v>-6.6681664062389165E-2</v>
      </c>
      <c r="N125">
        <v>101.539</v>
      </c>
      <c r="O125">
        <v>-51.781127336844001</v>
      </c>
      <c r="P125">
        <v>-0.10494352130105246</v>
      </c>
    </row>
    <row r="126" spans="1:16" x14ac:dyDescent="0.2">
      <c r="A126" t="s">
        <v>295</v>
      </c>
      <c r="B126">
        <v>1357.76</v>
      </c>
      <c r="C126">
        <v>760.95799999999997</v>
      </c>
      <c r="D126">
        <v>819.13599999999997</v>
      </c>
      <c r="E126">
        <v>876.5</v>
      </c>
      <c r="F126">
        <v>1.6575513712008751</v>
      </c>
      <c r="G126">
        <v>1.5490701654306902</v>
      </c>
      <c r="H126">
        <v>7.6453628189729256E-2</v>
      </c>
      <c r="I126">
        <v>7.0029885147277149E-2</v>
      </c>
      <c r="J126">
        <v>409.10499536132812</v>
      </c>
      <c r="K126">
        <v>0.49943476463167064</v>
      </c>
      <c r="L126">
        <v>168.92100000000002</v>
      </c>
      <c r="M126">
        <v>0.20621850339870307</v>
      </c>
      <c r="N126">
        <v>122.24299999999999</v>
      </c>
      <c r="O126">
        <v>64.680810627462009</v>
      </c>
      <c r="P126">
        <v>7.8962236585209303E-2</v>
      </c>
    </row>
    <row r="127" spans="1:16" x14ac:dyDescent="0.2">
      <c r="A127" t="s">
        <v>297</v>
      </c>
      <c r="B127">
        <v>1386.7829999999999</v>
      </c>
      <c r="C127">
        <v>1275.258</v>
      </c>
      <c r="D127">
        <v>1510.7610000000002</v>
      </c>
      <c r="E127">
        <v>1523.8330000000001</v>
      </c>
      <c r="F127">
        <v>0.91793672195668252</v>
      </c>
      <c r="G127">
        <v>0.91006232310233459</v>
      </c>
      <c r="H127">
        <v>0.18467086660111143</v>
      </c>
      <c r="I127">
        <v>8.6525929647376376E-3</v>
      </c>
      <c r="J127">
        <v>364.96499401855471</v>
      </c>
      <c r="K127">
        <v>0.24157692316557991</v>
      </c>
      <c r="L127">
        <v>185.99944985394302</v>
      </c>
      <c r="M127">
        <v>0.12311639620955465</v>
      </c>
      <c r="N127">
        <v>74.436999999999998</v>
      </c>
      <c r="O127">
        <v>69.219760000000008</v>
      </c>
      <c r="P127">
        <v>4.5817809699879732E-2</v>
      </c>
    </row>
    <row r="128" spans="1:16" x14ac:dyDescent="0.2">
      <c r="A128" t="s">
        <v>299</v>
      </c>
      <c r="B128">
        <v>949.03020000000004</v>
      </c>
      <c r="C128">
        <v>166.84100000000001</v>
      </c>
      <c r="D128">
        <v>257.60300000000001</v>
      </c>
      <c r="E128">
        <v>302.613</v>
      </c>
      <c r="F128">
        <v>3.6840805425402654</v>
      </c>
      <c r="G128">
        <v>3.1361184086605665</v>
      </c>
      <c r="H128">
        <v>0.54400297289035671</v>
      </c>
      <c r="I128">
        <v>0.17472622601444865</v>
      </c>
      <c r="J128">
        <v>194.42499871826172</v>
      </c>
      <c r="K128">
        <v>0.75474664005567371</v>
      </c>
      <c r="L128">
        <v>-82.965000000000003</v>
      </c>
      <c r="M128">
        <v>-0.32206534861783442</v>
      </c>
      <c r="N128">
        <v>63.009</v>
      </c>
      <c r="O128">
        <v>-92.112000000000009</v>
      </c>
      <c r="P128">
        <v>-0.35757347546418328</v>
      </c>
    </row>
    <row r="129" spans="1:16" x14ac:dyDescent="0.2">
      <c r="A129" t="s">
        <v>303</v>
      </c>
      <c r="B129">
        <v>1209.0925</v>
      </c>
      <c r="C129">
        <v>153.27600000000001</v>
      </c>
      <c r="D129">
        <v>183.61700000000002</v>
      </c>
      <c r="E129">
        <v>205.86799999999999</v>
      </c>
      <c r="F129">
        <v>6.5848614235065375</v>
      </c>
      <c r="G129">
        <v>5.8731444420696759</v>
      </c>
      <c r="H129">
        <v>0.19795010308202202</v>
      </c>
      <c r="I129">
        <v>0.12118158993992911</v>
      </c>
      <c r="J129">
        <v>109.50099978637695</v>
      </c>
      <c r="K129">
        <v>0.59635545611995044</v>
      </c>
      <c r="L129">
        <v>-44.247999999999998</v>
      </c>
      <c r="M129">
        <v>-0.24097986569870977</v>
      </c>
      <c r="N129">
        <v>160.505</v>
      </c>
      <c r="O129">
        <v>-63.304550127549</v>
      </c>
      <c r="P129">
        <v>-0.3447641020578105</v>
      </c>
    </row>
    <row r="130" spans="1:16" x14ac:dyDescent="0.2">
      <c r="A130" t="s">
        <v>305</v>
      </c>
      <c r="B130">
        <v>1011.2338999999999</v>
      </c>
      <c r="C130">
        <v>110.88</v>
      </c>
      <c r="D130">
        <v>184.83700000000002</v>
      </c>
      <c r="E130">
        <v>231.28900000000002</v>
      </c>
      <c r="F130">
        <v>5.4709495393238363</v>
      </c>
      <c r="G130">
        <v>4.3721659914652227</v>
      </c>
      <c r="H130">
        <v>0.66700036075036095</v>
      </c>
      <c r="I130">
        <v>0.25131331930295331</v>
      </c>
      <c r="J130">
        <v>130.4860018157959</v>
      </c>
      <c r="K130">
        <v>0.70595174026734853</v>
      </c>
      <c r="L130">
        <v>-40.238</v>
      </c>
      <c r="M130">
        <v>-0.21769450921622832</v>
      </c>
      <c r="N130">
        <v>35.692999999999998</v>
      </c>
      <c r="O130">
        <v>-49.079000000000001</v>
      </c>
      <c r="P130">
        <v>-0.2655258416875409</v>
      </c>
    </row>
    <row r="131" spans="1:16" x14ac:dyDescent="0.2">
      <c r="A131" t="s">
        <v>307</v>
      </c>
      <c r="B131">
        <v>1106.0070000000001</v>
      </c>
      <c r="C131">
        <v>233.33500000000001</v>
      </c>
      <c r="D131">
        <v>252.16</v>
      </c>
      <c r="E131">
        <v>269.78399999999999</v>
      </c>
      <c r="F131">
        <v>4.3861318210659901</v>
      </c>
      <c r="G131">
        <v>4.0996019037452189</v>
      </c>
      <c r="H131">
        <v>8.0677995157177398E-2</v>
      </c>
      <c r="I131">
        <v>6.989213197969546E-2</v>
      </c>
      <c r="J131">
        <v>126.30899749755859</v>
      </c>
      <c r="K131">
        <v>0.50090814362927738</v>
      </c>
      <c r="L131">
        <v>-11.269886075949</v>
      </c>
      <c r="M131">
        <v>-4.4693393384950028E-2</v>
      </c>
      <c r="N131">
        <v>55.335000000000001</v>
      </c>
      <c r="O131">
        <v>-40.211799999999997</v>
      </c>
      <c r="P131">
        <v>-0.15946938451776649</v>
      </c>
    </row>
    <row r="132" spans="1:16" x14ac:dyDescent="0.2">
      <c r="A132" t="s">
        <v>309</v>
      </c>
      <c r="B132">
        <v>768.43140000000005</v>
      </c>
      <c r="C132">
        <v>317.91467</v>
      </c>
      <c r="D132">
        <v>347.22800000000001</v>
      </c>
      <c r="E132">
        <v>324.12</v>
      </c>
      <c r="F132">
        <v>2.2130456069211011</v>
      </c>
      <c r="G132">
        <v>2.370823768974454</v>
      </c>
      <c r="H132">
        <v>9.2205024700495908E-2</v>
      </c>
      <c r="I132">
        <v>-6.6549932609121343E-2</v>
      </c>
      <c r="J132">
        <v>141.53299899291994</v>
      </c>
      <c r="K132">
        <v>0.40760825449825455</v>
      </c>
      <c r="L132">
        <v>88.400999999999996</v>
      </c>
      <c r="M132">
        <v>0.25459064361169026</v>
      </c>
      <c r="N132">
        <v>160.77699999999999</v>
      </c>
      <c r="O132">
        <v>57.685500000000005</v>
      </c>
      <c r="P132">
        <v>0.1661314755722465</v>
      </c>
    </row>
    <row r="133" spans="1:16" x14ac:dyDescent="0.2">
      <c r="A133" t="s">
        <v>313</v>
      </c>
      <c r="B133">
        <v>684.58810000000005</v>
      </c>
      <c r="C133">
        <v>277.85199999999998</v>
      </c>
      <c r="D133">
        <v>328.411</v>
      </c>
      <c r="E133">
        <v>339.733</v>
      </c>
      <c r="F133">
        <v>2.0845468026345038</v>
      </c>
      <c r="G133">
        <v>2.0150768397535712</v>
      </c>
      <c r="H133">
        <v>0.18196377927817697</v>
      </c>
      <c r="I133">
        <v>3.4475093708797866E-2</v>
      </c>
      <c r="J133">
        <v>169.04300082397461</v>
      </c>
      <c r="K133">
        <v>0.51473002068741491</v>
      </c>
      <c r="L133">
        <v>6.7769999999999992</v>
      </c>
      <c r="M133">
        <v>2.0635727792309023E-2</v>
      </c>
      <c r="N133">
        <v>147.023</v>
      </c>
      <c r="O133">
        <v>-1.2028757999999999</v>
      </c>
      <c r="P133">
        <v>-3.6627147080944304E-3</v>
      </c>
    </row>
    <row r="134" spans="1:16" x14ac:dyDescent="0.2">
      <c r="A134" t="s">
        <v>315</v>
      </c>
      <c r="B134">
        <v>386.01310000000001</v>
      </c>
      <c r="C134">
        <v>17880</v>
      </c>
      <c r="D134">
        <v>421.69007902324608</v>
      </c>
      <c r="E134">
        <v>255.601</v>
      </c>
      <c r="F134">
        <v>0.91539526112190239</v>
      </c>
      <c r="G134">
        <v>1.5102174874120211</v>
      </c>
      <c r="H134">
        <v>-0.97641554367878935</v>
      </c>
      <c r="I134">
        <v>-0.39386527519915937</v>
      </c>
      <c r="J134">
        <v>218.75141071311592</v>
      </c>
      <c r="K134">
        <v>0.51874924641292552</v>
      </c>
      <c r="L134">
        <v>81.622901835776418</v>
      </c>
      <c r="M134">
        <v>0.19356135203568989</v>
      </c>
      <c r="N134">
        <v>18406</v>
      </c>
      <c r="O134">
        <v>54.138304797875108</v>
      </c>
      <c r="P134">
        <v>0.12838410835577349</v>
      </c>
    </row>
    <row r="135" spans="1:16" x14ac:dyDescent="0.2">
      <c r="A135" t="s">
        <v>317</v>
      </c>
      <c r="B135">
        <v>759.31349999999998</v>
      </c>
      <c r="C135">
        <v>203.441</v>
      </c>
      <c r="D135">
        <v>242.89300000000003</v>
      </c>
      <c r="E135">
        <v>247.21700000000001</v>
      </c>
      <c r="F135">
        <v>3.1261234370689972</v>
      </c>
      <c r="G135">
        <v>3.0714453294069579</v>
      </c>
      <c r="H135">
        <v>0.19392354540136958</v>
      </c>
      <c r="I135">
        <v>1.7802077457975241E-2</v>
      </c>
      <c r="J135">
        <v>197.1649987182617</v>
      </c>
      <c r="K135">
        <v>0.8117360266383209</v>
      </c>
      <c r="L135">
        <v>40.060203810127</v>
      </c>
      <c r="M135">
        <v>0.16492942904952795</v>
      </c>
      <c r="N135">
        <v>82.822000000000003</v>
      </c>
      <c r="O135">
        <v>15.346821010000001</v>
      </c>
      <c r="P135">
        <v>6.3183463541559445E-2</v>
      </c>
    </row>
    <row r="136" spans="1:16" x14ac:dyDescent="0.2">
      <c r="A136" t="s">
        <v>325</v>
      </c>
      <c r="B136">
        <v>599.29819999999995</v>
      </c>
      <c r="C136">
        <v>192.304</v>
      </c>
      <c r="D136">
        <v>200.61800000000002</v>
      </c>
      <c r="E136">
        <v>222.86700000000002</v>
      </c>
      <c r="F136">
        <v>2.9872603654706951</v>
      </c>
      <c r="G136">
        <v>2.6890396514513135</v>
      </c>
      <c r="H136">
        <v>4.3233630085697757E-2</v>
      </c>
      <c r="I136">
        <v>0.1109023118563639</v>
      </c>
      <c r="J136">
        <v>143.23199945068359</v>
      </c>
      <c r="K136">
        <v>0.71395387976494418</v>
      </c>
      <c r="L136">
        <v>18.504999999999999</v>
      </c>
      <c r="M136">
        <v>9.2239978466538378E-2</v>
      </c>
      <c r="N136">
        <v>78.661000000000001</v>
      </c>
      <c r="O136">
        <v>7.2605520712620004</v>
      </c>
      <c r="P136">
        <v>3.6190930381431376E-2</v>
      </c>
    </row>
    <row r="137" spans="1:16" x14ac:dyDescent="0.2">
      <c r="A137" t="s">
        <v>327</v>
      </c>
      <c r="B137">
        <v>2001.8032000000001</v>
      </c>
      <c r="C137">
        <v>789.92600000000004</v>
      </c>
      <c r="D137">
        <v>1528.231</v>
      </c>
      <c r="E137">
        <v>1645</v>
      </c>
      <c r="F137">
        <v>1.3098826028264052</v>
      </c>
      <c r="G137">
        <v>1.2169016413373861</v>
      </c>
      <c r="H137">
        <v>0.93465084071166149</v>
      </c>
      <c r="I137">
        <v>7.6407951415721875E-2</v>
      </c>
      <c r="J137">
        <v>375.46800091552734</v>
      </c>
      <c r="K137">
        <v>0.24568798886786575</v>
      </c>
      <c r="L137">
        <v>275.851</v>
      </c>
      <c r="M137">
        <v>0.18050347100667372</v>
      </c>
      <c r="N137">
        <v>39</v>
      </c>
      <c r="O137">
        <v>-52.607639999999996</v>
      </c>
      <c r="P137">
        <v>-3.4423879635997433E-2</v>
      </c>
    </row>
    <row r="138" spans="1:16" x14ac:dyDescent="0.2">
      <c r="A138" t="s">
        <v>329</v>
      </c>
      <c r="B138">
        <v>748.60599999999999</v>
      </c>
      <c r="C138">
        <v>70.322000000000003</v>
      </c>
      <c r="D138">
        <v>42.178586942867071</v>
      </c>
      <c r="E138">
        <v>103.099</v>
      </c>
      <c r="F138">
        <v>17.748484580908862</v>
      </c>
      <c r="G138">
        <v>7.2610403592663362</v>
      </c>
      <c r="H138">
        <v>-0.40020780206952206</v>
      </c>
      <c r="I138">
        <v>1.4443445708518534</v>
      </c>
      <c r="J138">
        <v>10.568609400887199</v>
      </c>
      <c r="K138">
        <v>0.25056812394409728</v>
      </c>
      <c r="L138">
        <v>-12.381475760643527</v>
      </c>
      <c r="M138">
        <v>-0.29354885163447586</v>
      </c>
      <c r="N138">
        <v>208.161</v>
      </c>
      <c r="O138">
        <v>-13.376278212695807</v>
      </c>
      <c r="P138">
        <v>-0.31713433716531614</v>
      </c>
    </row>
    <row r="139" spans="1:16" x14ac:dyDescent="0.2">
      <c r="A139" t="s">
        <v>331</v>
      </c>
      <c r="B139">
        <v>789.97940000000006</v>
      </c>
      <c r="C139">
        <v>74.766999999999996</v>
      </c>
      <c r="D139">
        <v>121.47999999999999</v>
      </c>
      <c r="E139">
        <v>163.429</v>
      </c>
      <c r="F139">
        <v>6.5029585116891679</v>
      </c>
      <c r="G139">
        <v>4.8337773589754578</v>
      </c>
      <c r="H139">
        <v>0.62478098626399348</v>
      </c>
      <c r="I139">
        <v>0.34531610141587099</v>
      </c>
      <c r="J139">
        <v>81.369998809814447</v>
      </c>
      <c r="K139">
        <v>0.66982218315619402</v>
      </c>
      <c r="L139">
        <v>25.582999999999998</v>
      </c>
      <c r="M139">
        <v>0.210594336516299</v>
      </c>
      <c r="N139">
        <v>22.326000000000001</v>
      </c>
      <c r="O139">
        <v>-2.0403708767979998</v>
      </c>
      <c r="P139">
        <v>-1.6795940704626276E-2</v>
      </c>
    </row>
    <row r="140" spans="1:16" x14ac:dyDescent="0.2">
      <c r="A140" t="s">
        <v>339</v>
      </c>
      <c r="B140">
        <v>471.51530000000002</v>
      </c>
      <c r="C140">
        <v>106.971</v>
      </c>
      <c r="D140">
        <v>155.49099999999999</v>
      </c>
      <c r="E140">
        <v>150.45000000000002</v>
      </c>
      <c r="F140">
        <v>3.0324282434353118</v>
      </c>
      <c r="G140">
        <v>3.1340332336324357</v>
      </c>
      <c r="H140">
        <v>0.45358087706013761</v>
      </c>
      <c r="I140">
        <v>-3.2419882822799839E-2</v>
      </c>
      <c r="J140">
        <v>91.647999832153317</v>
      </c>
      <c r="K140">
        <v>0.58941031848887282</v>
      </c>
      <c r="L140">
        <v>-12.936999999999999</v>
      </c>
      <c r="M140">
        <v>-8.3200956968570536E-2</v>
      </c>
      <c r="N140">
        <v>56.704000000000001</v>
      </c>
      <c r="O140">
        <v>-30.891449999999999</v>
      </c>
      <c r="P140">
        <v>-0.19867034104867806</v>
      </c>
    </row>
    <row r="141" spans="1:16" x14ac:dyDescent="0.2">
      <c r="A141" t="s">
        <v>343</v>
      </c>
      <c r="B141">
        <v>343.18979999999999</v>
      </c>
      <c r="C141">
        <v>163.92599999999999</v>
      </c>
      <c r="D141">
        <v>181.369</v>
      </c>
      <c r="E141">
        <v>204.3</v>
      </c>
      <c r="F141">
        <v>1.8922186261158191</v>
      </c>
      <c r="G141">
        <v>1.6798325991189427</v>
      </c>
      <c r="H141">
        <v>0.10640776935934515</v>
      </c>
      <c r="I141">
        <v>0.12643285236175972</v>
      </c>
      <c r="J141">
        <v>150.5580012512207</v>
      </c>
      <c r="K141">
        <v>0.83011981789181555</v>
      </c>
      <c r="L141">
        <v>-47.040999999999997</v>
      </c>
      <c r="M141">
        <v>-0.25936626435609172</v>
      </c>
      <c r="N141">
        <v>85.832999999999998</v>
      </c>
      <c r="O141">
        <v>-51.76737</v>
      </c>
      <c r="P141">
        <v>-0.28542567914031614</v>
      </c>
    </row>
    <row r="142" spans="1:16" x14ac:dyDescent="0.2">
      <c r="A142" t="s">
        <v>351</v>
      </c>
      <c r="B142">
        <v>290.68</v>
      </c>
      <c r="C142">
        <v>227.297</v>
      </c>
      <c r="D142">
        <v>231.34999999999997</v>
      </c>
      <c r="E142">
        <v>233.3</v>
      </c>
      <c r="F142">
        <v>1.2564512643181329</v>
      </c>
      <c r="G142">
        <v>1.2459494213459066</v>
      </c>
      <c r="H142">
        <v>1.7831295617627901E-2</v>
      </c>
      <c r="I142">
        <v>8.4287875513293642E-3</v>
      </c>
      <c r="J142">
        <v>179.79799935913087</v>
      </c>
      <c r="K142">
        <v>0.77716878910365639</v>
      </c>
      <c r="L142">
        <v>-9.2555696202529987</v>
      </c>
      <c r="M142">
        <v>-4.0006784613153233E-2</v>
      </c>
      <c r="N142">
        <v>46.567</v>
      </c>
      <c r="O142">
        <v>-19.502000000000002</v>
      </c>
      <c r="P142">
        <v>-8.4296520423600627E-2</v>
      </c>
    </row>
    <row r="143" spans="1:16" x14ac:dyDescent="0.2">
      <c r="A143" t="s">
        <v>353</v>
      </c>
      <c r="B143">
        <v>388.22890000000001</v>
      </c>
      <c r="C143">
        <v>15.507</v>
      </c>
      <c r="D143">
        <v>29.199000000000002</v>
      </c>
      <c r="E143">
        <v>39.658999999999999</v>
      </c>
      <c r="F143">
        <v>13.295965615260796</v>
      </c>
      <c r="G143">
        <v>9.7891752187397572</v>
      </c>
      <c r="H143">
        <v>0.88295608434900386</v>
      </c>
      <c r="I143">
        <v>0.35823144628240677</v>
      </c>
      <c r="J143">
        <v>15.933999778747559</v>
      </c>
      <c r="K143">
        <v>0.54570361240958798</v>
      </c>
      <c r="L143">
        <v>0.91400000000000003</v>
      </c>
      <c r="M143">
        <v>3.130244186444741E-2</v>
      </c>
      <c r="N143">
        <v>19.567</v>
      </c>
      <c r="O143">
        <v>-4.5880099999999997</v>
      </c>
      <c r="P143">
        <v>-0.15712901126750914</v>
      </c>
    </row>
    <row r="144" spans="1:16" x14ac:dyDescent="0.2">
      <c r="A144" t="s">
        <v>355</v>
      </c>
      <c r="B144">
        <v>374.9058</v>
      </c>
      <c r="C144">
        <v>201.64599999999999</v>
      </c>
      <c r="D144">
        <v>271.697</v>
      </c>
      <c r="E144">
        <v>301</v>
      </c>
      <c r="F144">
        <v>1.3798672786228776</v>
      </c>
      <c r="G144">
        <v>1.245534219269103</v>
      </c>
      <c r="H144">
        <v>0.3473959314838877</v>
      </c>
      <c r="I144">
        <v>0.10785176133707775</v>
      </c>
      <c r="J144">
        <v>87.58700073242187</v>
      </c>
      <c r="K144">
        <v>0.32237014296227734</v>
      </c>
      <c r="L144">
        <v>41.933999999999997</v>
      </c>
      <c r="M144">
        <v>0.15434104903624257</v>
      </c>
      <c r="N144">
        <v>76.075999999999993</v>
      </c>
      <c r="O144">
        <v>18.194142797403998</v>
      </c>
      <c r="P144">
        <v>6.6964827721336634E-2</v>
      </c>
    </row>
    <row r="145" spans="1:16" x14ac:dyDescent="0.2">
      <c r="A145" t="s">
        <v>361</v>
      </c>
      <c r="B145">
        <v>328.06920000000002</v>
      </c>
      <c r="C145">
        <v>120.366</v>
      </c>
      <c r="D145">
        <v>127.502</v>
      </c>
      <c r="E145">
        <v>144.80000000000001</v>
      </c>
      <c r="F145">
        <v>2.5730514031152456</v>
      </c>
      <c r="G145">
        <v>2.265671270718232</v>
      </c>
      <c r="H145">
        <v>5.9285844839904921E-2</v>
      </c>
      <c r="I145">
        <v>0.13566846010258682</v>
      </c>
      <c r="J145">
        <v>65.636000694274898</v>
      </c>
      <c r="K145">
        <v>0.51478408726353231</v>
      </c>
      <c r="L145">
        <v>6.6750000000000007</v>
      </c>
      <c r="M145">
        <v>5.2352119966745631E-2</v>
      </c>
      <c r="N145">
        <v>39.942999999999998</v>
      </c>
      <c r="O145">
        <v>-5.3883799999999997</v>
      </c>
      <c r="P145">
        <v>-4.2261141001709773E-2</v>
      </c>
    </row>
    <row r="146" spans="1:16" x14ac:dyDescent="0.2">
      <c r="A146" t="s">
        <v>363</v>
      </c>
      <c r="B146">
        <v>265.0127</v>
      </c>
      <c r="C146">
        <v>113.889</v>
      </c>
      <c r="D146">
        <v>113.21600000000001</v>
      </c>
      <c r="E146">
        <v>120.10000000000001</v>
      </c>
      <c r="F146">
        <v>2.3407707391181458</v>
      </c>
      <c r="G146">
        <v>2.2066003330557868</v>
      </c>
      <c r="H146">
        <v>-5.9092625275486447E-3</v>
      </c>
      <c r="I146">
        <v>6.0804126625211952E-2</v>
      </c>
      <c r="J146">
        <v>61.229999687194827</v>
      </c>
      <c r="K146">
        <v>0.5408246156655846</v>
      </c>
      <c r="L146">
        <v>16.959000000000003</v>
      </c>
      <c r="M146">
        <v>0.14979331543244773</v>
      </c>
      <c r="N146">
        <v>52.793999999999997</v>
      </c>
      <c r="O146">
        <v>9.6010000000000009</v>
      </c>
      <c r="P146">
        <v>8.4802501413227815E-2</v>
      </c>
    </row>
    <row r="147" spans="1:16" x14ac:dyDescent="0.2">
      <c r="A147" t="s">
        <v>365</v>
      </c>
      <c r="B147">
        <v>304.52499999999998</v>
      </c>
      <c r="C147">
        <v>54.494</v>
      </c>
      <c r="D147">
        <v>72.800999999999988</v>
      </c>
      <c r="E147">
        <v>86.84</v>
      </c>
      <c r="F147">
        <v>4.1829782557931896</v>
      </c>
      <c r="G147">
        <v>3.5067365269461073</v>
      </c>
      <c r="H147">
        <v>0.33594524167798268</v>
      </c>
      <c r="I147">
        <v>0.19284075768190023</v>
      </c>
      <c r="J147">
        <v>62.064999832153319</v>
      </c>
      <c r="K147">
        <v>0.85252949591562377</v>
      </c>
      <c r="L147">
        <v>3.6139999999999999</v>
      </c>
      <c r="M147">
        <v>4.9642175244845543E-2</v>
      </c>
      <c r="N147">
        <v>29.087</v>
      </c>
      <c r="O147">
        <v>-1.5870000000000002</v>
      </c>
      <c r="P147">
        <v>-2.1799151110561674E-2</v>
      </c>
    </row>
    <row r="148" spans="1:16" x14ac:dyDescent="0.2">
      <c r="A148" t="s">
        <v>367</v>
      </c>
      <c r="B148">
        <v>268.75810000000001</v>
      </c>
      <c r="C148">
        <v>113.2</v>
      </c>
      <c r="D148">
        <v>128.30699999999999</v>
      </c>
      <c r="E148">
        <v>134.50399999999999</v>
      </c>
      <c r="F148">
        <v>2.094648772085701</v>
      </c>
      <c r="G148">
        <v>1.9981420626895856</v>
      </c>
      <c r="H148">
        <v>0.13345406360424014</v>
      </c>
      <c r="I148">
        <v>4.8298222232614041E-2</v>
      </c>
      <c r="J148">
        <v>101.39099937438965</v>
      </c>
      <c r="K148">
        <v>0.79022188481056888</v>
      </c>
      <c r="L148">
        <v>-4.3410000000000002</v>
      </c>
      <c r="M148">
        <v>-3.383291636465665E-2</v>
      </c>
      <c r="N148">
        <v>53.421999999999997</v>
      </c>
      <c r="O148">
        <v>-10.436999999999999</v>
      </c>
      <c r="P148">
        <v>-8.1343964086137158E-2</v>
      </c>
    </row>
    <row r="149" spans="1:16" x14ac:dyDescent="0.2">
      <c r="A149" t="s">
        <v>369</v>
      </c>
      <c r="B149">
        <v>305.15159999999997</v>
      </c>
      <c r="C149">
        <v>34.701000000000001</v>
      </c>
      <c r="D149">
        <v>55.426000000000002</v>
      </c>
      <c r="E149">
        <v>77.417000000000002</v>
      </c>
      <c r="F149">
        <v>5.505567784072456</v>
      </c>
      <c r="G149">
        <v>3.9416613922006789</v>
      </c>
      <c r="H149">
        <v>0.5972450361661048</v>
      </c>
      <c r="I149">
        <v>0.39676325190343875</v>
      </c>
      <c r="J149">
        <v>48.276000267028806</v>
      </c>
      <c r="K149">
        <v>0.87099917488234413</v>
      </c>
      <c r="L149">
        <v>6.4513846153849999</v>
      </c>
      <c r="M149">
        <v>0.11639635938702053</v>
      </c>
      <c r="N149">
        <v>9.0860000000000003</v>
      </c>
      <c r="O149">
        <v>2.9750000000000001</v>
      </c>
      <c r="P149">
        <v>5.3675170497600407E-2</v>
      </c>
    </row>
    <row r="150" spans="1:16" x14ac:dyDescent="0.2">
      <c r="A150" t="s">
        <v>371</v>
      </c>
      <c r="B150">
        <v>255.0078</v>
      </c>
      <c r="C150">
        <v>21.792999999999999</v>
      </c>
      <c r="D150">
        <v>24.585999999999999</v>
      </c>
      <c r="E150">
        <v>25.216999999999999</v>
      </c>
      <c r="F150">
        <v>10.372073537785733</v>
      </c>
      <c r="G150">
        <v>10.11253519451164</v>
      </c>
      <c r="H150">
        <v>0.12816041848299911</v>
      </c>
      <c r="I150">
        <v>2.5665012608801829E-2</v>
      </c>
      <c r="J150">
        <v>16.067000110626221</v>
      </c>
      <c r="K150">
        <v>0.6535019975037103</v>
      </c>
      <c r="L150">
        <v>-27.398</v>
      </c>
      <c r="M150">
        <v>-1.1143740340030912</v>
      </c>
      <c r="N150">
        <v>40.823</v>
      </c>
      <c r="O150">
        <v>-28.759999999999998</v>
      </c>
      <c r="P150">
        <v>-1.1697714146262099</v>
      </c>
    </row>
    <row r="151" spans="1:16" x14ac:dyDescent="0.2">
      <c r="A151" t="s">
        <v>383</v>
      </c>
      <c r="B151">
        <v>259.96980000000002</v>
      </c>
      <c r="C151">
        <v>73.161190000000005</v>
      </c>
      <c r="D151">
        <v>81.967006999999995</v>
      </c>
      <c r="E151">
        <v>89.275000000000006</v>
      </c>
      <c r="F151">
        <v>3.1716395354047759</v>
      </c>
      <c r="G151">
        <v>2.9120112013441615</v>
      </c>
      <c r="H151">
        <v>0.12036186125458033</v>
      </c>
      <c r="I151">
        <v>8.9157738796050046E-2</v>
      </c>
      <c r="J151">
        <v>44.329346749023436</v>
      </c>
      <c r="K151">
        <v>0.54081939028252479</v>
      </c>
      <c r="L151">
        <v>-4.3256870000000003</v>
      </c>
      <c r="M151">
        <v>-5.2773514104278572E-2</v>
      </c>
      <c r="N151">
        <v>9.3606009999999991</v>
      </c>
      <c r="O151">
        <v>-10.418129</v>
      </c>
      <c r="P151">
        <v>-0.12710149340941534</v>
      </c>
    </row>
    <row r="152" spans="1:16" x14ac:dyDescent="0.2">
      <c r="A152" t="s">
        <v>385</v>
      </c>
      <c r="B152">
        <v>205.81890000000001</v>
      </c>
      <c r="C152">
        <v>88.798507999999998</v>
      </c>
      <c r="D152">
        <v>93.621832000000012</v>
      </c>
      <c r="E152">
        <v>97.92</v>
      </c>
      <c r="F152">
        <v>2.1984070980367059</v>
      </c>
      <c r="G152">
        <v>2.1019087009803923</v>
      </c>
      <c r="H152">
        <v>5.4317624345670466E-2</v>
      </c>
      <c r="I152">
        <v>4.5909889906875501E-2</v>
      </c>
      <c r="J152">
        <v>79.795185569702141</v>
      </c>
      <c r="K152">
        <v>0.85231386595492098</v>
      </c>
      <c r="L152">
        <v>18.034611999999999</v>
      </c>
      <c r="M152">
        <v>0.19263254750238168</v>
      </c>
      <c r="N152">
        <v>33.956987999999996</v>
      </c>
      <c r="O152">
        <v>5.1388267800000005</v>
      </c>
      <c r="P152">
        <v>5.4889192725901793E-2</v>
      </c>
    </row>
    <row r="153" spans="1:16" x14ac:dyDescent="0.2">
      <c r="A153" t="s">
        <v>391</v>
      </c>
      <c r="B153">
        <v>117.0865</v>
      </c>
      <c r="C153">
        <v>90.369</v>
      </c>
      <c r="D153">
        <v>88.789999999999992</v>
      </c>
      <c r="E153">
        <v>99.167000000000002</v>
      </c>
      <c r="F153">
        <v>1.3186901678116907</v>
      </c>
      <c r="G153">
        <v>1.1807002329403935</v>
      </c>
      <c r="H153">
        <v>-1.7472805940090159E-2</v>
      </c>
      <c r="I153">
        <v>0.11687126928708191</v>
      </c>
      <c r="J153">
        <v>60.490999809265134</v>
      </c>
      <c r="K153">
        <v>0.68128167371624215</v>
      </c>
      <c r="L153">
        <v>-8.6230000000000011</v>
      </c>
      <c r="M153">
        <v>-9.7116792431580154E-2</v>
      </c>
      <c r="N153">
        <v>15.341999999999999</v>
      </c>
      <c r="O153">
        <v>-12.355</v>
      </c>
      <c r="P153">
        <v>-0.13914855276495103</v>
      </c>
    </row>
    <row r="154" spans="1:16" x14ac:dyDescent="0.2">
      <c r="A154" t="s">
        <v>393</v>
      </c>
      <c r="B154">
        <v>241.44040000000001</v>
      </c>
      <c r="C154">
        <v>307.2</v>
      </c>
      <c r="D154">
        <v>267.303</v>
      </c>
      <c r="E154">
        <v>263</v>
      </c>
      <c r="F154">
        <v>0.90324612892485312</v>
      </c>
      <c r="G154">
        <v>0.91802433460076049</v>
      </c>
      <c r="H154">
        <v>-0.12987304687499998</v>
      </c>
      <c r="I154">
        <v>-1.6097836537562249E-2</v>
      </c>
      <c r="J154">
        <v>24.043999839782714</v>
      </c>
      <c r="K154">
        <v>8.9950355363698553E-2</v>
      </c>
      <c r="L154">
        <v>2.218</v>
      </c>
      <c r="M154">
        <v>8.2976996142953875E-3</v>
      </c>
      <c r="N154">
        <v>1.456</v>
      </c>
      <c r="O154">
        <v>-11.090780000000002</v>
      </c>
      <c r="P154">
        <v>-4.149141610831155E-2</v>
      </c>
    </row>
    <row r="155" spans="1:16" x14ac:dyDescent="0.2">
      <c r="A155" t="s">
        <v>395</v>
      </c>
      <c r="B155">
        <v>198.11580000000001</v>
      </c>
      <c r="C155">
        <v>69.375</v>
      </c>
      <c r="D155">
        <v>61.307000000000002</v>
      </c>
      <c r="E155">
        <v>66.075000000000003</v>
      </c>
      <c r="F155">
        <v>3.2315363661572087</v>
      </c>
      <c r="G155">
        <v>2.9983473325766177</v>
      </c>
      <c r="H155">
        <v>-0.11629549549549546</v>
      </c>
      <c r="I155">
        <v>7.7772521897988778E-2</v>
      </c>
      <c r="J155">
        <v>38.971000602722171</v>
      </c>
      <c r="K155">
        <v>0.63566967234935934</v>
      </c>
      <c r="L155">
        <v>1.6520000000000001</v>
      </c>
      <c r="M155">
        <v>2.6946351966333371E-2</v>
      </c>
      <c r="N155">
        <v>11.497999999999999</v>
      </c>
      <c r="O155">
        <v>-1.9897</v>
      </c>
      <c r="P155">
        <v>-3.2454695222405273E-2</v>
      </c>
    </row>
    <row r="156" spans="1:16" x14ac:dyDescent="0.2">
      <c r="A156" t="s">
        <v>397</v>
      </c>
      <c r="B156">
        <v>128.17080000000001</v>
      </c>
      <c r="C156">
        <v>183.346</v>
      </c>
      <c r="D156">
        <v>106.17999999999999</v>
      </c>
      <c r="E156">
        <v>222.333</v>
      </c>
      <c r="F156">
        <v>1.2071086833678661</v>
      </c>
      <c r="G156">
        <v>0.57648122410978131</v>
      </c>
      <c r="H156">
        <v>-0.4208763758140347</v>
      </c>
      <c r="I156">
        <v>1.0939254096816726</v>
      </c>
      <c r="J156">
        <v>43.949999134063717</v>
      </c>
      <c r="K156">
        <v>0.41391975074461967</v>
      </c>
      <c r="L156">
        <v>-82.265000000000001</v>
      </c>
      <c r="M156">
        <v>-0.77476925974759847</v>
      </c>
      <c r="N156">
        <v>17.117000000000001</v>
      </c>
      <c r="O156">
        <v>-86.175290000000004</v>
      </c>
      <c r="P156">
        <v>-0.81159625164814475</v>
      </c>
    </row>
    <row r="157" spans="1:16" x14ac:dyDescent="0.2">
      <c r="A157" t="s">
        <v>399</v>
      </c>
      <c r="B157">
        <v>194.5496</v>
      </c>
      <c r="C157">
        <v>400.25900000000001</v>
      </c>
      <c r="D157">
        <v>77.324254925706967</v>
      </c>
      <c r="E157">
        <v>93.373000000000005</v>
      </c>
      <c r="F157">
        <v>2.5160229501974896</v>
      </c>
      <c r="G157">
        <v>2.0835744808456407</v>
      </c>
      <c r="H157">
        <v>-0.80681445032914445</v>
      </c>
      <c r="I157">
        <v>0.20755124106546718</v>
      </c>
      <c r="J157">
        <v>65.752319670119391</v>
      </c>
      <c r="K157">
        <v>0.8503453377377399</v>
      </c>
      <c r="L157">
        <v>-10.102160110826825</v>
      </c>
      <c r="M157">
        <v>-0.13064671777998982</v>
      </c>
      <c r="N157">
        <v>524.45399999999995</v>
      </c>
      <c r="O157">
        <v>-21.599914824453627</v>
      </c>
      <c r="P157">
        <v>-0.27934203627576876</v>
      </c>
    </row>
    <row r="158" spans="1:16" x14ac:dyDescent="0.2">
      <c r="A158" t="s">
        <v>401</v>
      </c>
      <c r="B158">
        <v>796.41120000000001</v>
      </c>
      <c r="C158">
        <v>124.65427</v>
      </c>
      <c r="D158">
        <v>226.47071799999998</v>
      </c>
      <c r="E158">
        <v>566</v>
      </c>
      <c r="F158">
        <v>3.5166188681399424</v>
      </c>
      <c r="G158">
        <v>1.4070869257950531</v>
      </c>
      <c r="H158">
        <v>0.81679069637967461</v>
      </c>
      <c r="I158">
        <v>1.4992193472005511</v>
      </c>
      <c r="J158">
        <v>104.50188414001465</v>
      </c>
      <c r="K158">
        <v>0.46143662661066259</v>
      </c>
      <c r="L158">
        <v>45.785221999999997</v>
      </c>
      <c r="M158">
        <v>0.20216839688740687</v>
      </c>
      <c r="N158">
        <v>2.5303879999999999</v>
      </c>
      <c r="O158">
        <v>-20.271996980000001</v>
      </c>
      <c r="P158">
        <v>-8.9512662648069161E-2</v>
      </c>
    </row>
    <row r="159" spans="1:16" x14ac:dyDescent="0.2">
      <c r="A159" t="s">
        <v>403</v>
      </c>
      <c r="B159">
        <v>200.29679999999999</v>
      </c>
      <c r="C159">
        <v>140.84399999999999</v>
      </c>
      <c r="D159">
        <v>168.36399999999998</v>
      </c>
      <c r="E159">
        <v>181.1</v>
      </c>
      <c r="F159">
        <v>1.1896652491031339</v>
      </c>
      <c r="G159">
        <v>1.1060011043622309</v>
      </c>
      <c r="H159">
        <v>0.19539348499048581</v>
      </c>
      <c r="I159">
        <v>7.5645624955453794E-2</v>
      </c>
      <c r="J159">
        <v>62.756998718261713</v>
      </c>
      <c r="K159">
        <v>0.37274594757942148</v>
      </c>
      <c r="L159">
        <v>16.504999999999999</v>
      </c>
      <c r="M159">
        <v>9.8031645719987653E-2</v>
      </c>
      <c r="N159">
        <v>18.823</v>
      </c>
      <c r="O159">
        <v>2.1417899999999994</v>
      </c>
      <c r="P159">
        <v>1.2721187427240977E-2</v>
      </c>
    </row>
    <row r="160" spans="1:16" x14ac:dyDescent="0.2">
      <c r="A160" t="s">
        <v>407</v>
      </c>
      <c r="B160">
        <v>275.41230000000002</v>
      </c>
      <c r="C160">
        <v>216.499</v>
      </c>
      <c r="D160">
        <v>274.86399999999998</v>
      </c>
      <c r="E160">
        <v>293.875</v>
      </c>
      <c r="F160">
        <v>1.0019948047034171</v>
      </c>
      <c r="G160">
        <v>0.93717498936622723</v>
      </c>
      <c r="H160">
        <v>0.26958554081081199</v>
      </c>
      <c r="I160">
        <v>6.9165114383840764E-2</v>
      </c>
      <c r="J160">
        <v>116.03600010681151</v>
      </c>
      <c r="K160">
        <v>0.42215786755199491</v>
      </c>
      <c r="L160">
        <v>25.126000000000001</v>
      </c>
      <c r="M160">
        <v>9.1412480353920494E-2</v>
      </c>
      <c r="N160">
        <v>28.419999999999998</v>
      </c>
      <c r="O160">
        <v>2.5753330869909998</v>
      </c>
      <c r="P160">
        <v>9.3694812234086673E-3</v>
      </c>
    </row>
    <row r="161" spans="1:16" x14ac:dyDescent="0.2">
      <c r="A161" t="s">
        <v>409</v>
      </c>
      <c r="B161">
        <v>124.41030000000001</v>
      </c>
      <c r="C161">
        <v>171.0899</v>
      </c>
      <c r="D161">
        <v>128.101112</v>
      </c>
      <c r="E161">
        <v>123</v>
      </c>
      <c r="F161">
        <v>0.97118829069961554</v>
      </c>
      <c r="G161">
        <v>1.0114658536585366</v>
      </c>
      <c r="H161">
        <v>-0.25126432360998513</v>
      </c>
      <c r="I161">
        <v>-3.982098141349466E-2</v>
      </c>
      <c r="J161">
        <v>72.534188598388667</v>
      </c>
      <c r="K161">
        <v>0.56622606522251473</v>
      </c>
      <c r="L161">
        <v>-23.433501</v>
      </c>
      <c r="M161">
        <v>-0.18292972351403164</v>
      </c>
      <c r="N161">
        <v>110.89174399999999</v>
      </c>
      <c r="O161">
        <v>-50.694046620000002</v>
      </c>
      <c r="P161">
        <v>-0.39573463359162725</v>
      </c>
    </row>
    <row r="162" spans="1:16" x14ac:dyDescent="0.2">
      <c r="A162" t="s">
        <v>411</v>
      </c>
      <c r="B162">
        <v>69.755799999999994</v>
      </c>
      <c r="C162">
        <v>278.221</v>
      </c>
      <c r="D162">
        <v>120.13199999999999</v>
      </c>
      <c r="E162">
        <v>124.5</v>
      </c>
      <c r="F162">
        <v>0.58065960776479209</v>
      </c>
      <c r="G162">
        <v>0.56028755020080312</v>
      </c>
      <c r="H162">
        <v>-0.56821375812753172</v>
      </c>
      <c r="I162">
        <v>3.6360003995604906E-2</v>
      </c>
      <c r="J162">
        <v>61.855000404357909</v>
      </c>
      <c r="K162">
        <v>0.5148919555518755</v>
      </c>
      <c r="L162">
        <v>-43.578000000000003</v>
      </c>
      <c r="M162">
        <v>-0.3627509739286785</v>
      </c>
      <c r="N162">
        <v>76.641999999999996</v>
      </c>
      <c r="O162">
        <v>-75.318597068339997</v>
      </c>
      <c r="P162">
        <v>-0.62696531372440323</v>
      </c>
    </row>
    <row r="163" spans="1:16" x14ac:dyDescent="0.2">
      <c r="A163" t="s">
        <v>413</v>
      </c>
      <c r="B163">
        <v>151.4391</v>
      </c>
      <c r="C163">
        <v>30.983000000000001</v>
      </c>
      <c r="D163">
        <v>31.908999999999999</v>
      </c>
      <c r="E163">
        <v>38.61</v>
      </c>
      <c r="F163">
        <v>4.7459682221316868</v>
      </c>
      <c r="G163">
        <v>3.9222766122766122</v>
      </c>
      <c r="H163">
        <v>2.9887357583190728E-2</v>
      </c>
      <c r="I163">
        <v>0.21000344730326859</v>
      </c>
      <c r="J163">
        <v>19.025000007629394</v>
      </c>
      <c r="K163">
        <v>0.59622677011593583</v>
      </c>
      <c r="L163">
        <v>-12.440999999999999</v>
      </c>
      <c r="M163">
        <v>-0.38988999968660876</v>
      </c>
      <c r="N163">
        <v>23.980999999999998</v>
      </c>
      <c r="O163">
        <v>-20.875574530000002</v>
      </c>
      <c r="P163">
        <v>-0.65422214829671888</v>
      </c>
    </row>
    <row r="164" spans="1:16" x14ac:dyDescent="0.2">
      <c r="A164" t="s">
        <v>557</v>
      </c>
      <c r="B164">
        <v>11763.517900000001</v>
      </c>
      <c r="C164">
        <v>389.33</v>
      </c>
      <c r="D164">
        <v>853.57299999999998</v>
      </c>
      <c r="E164">
        <v>1210.8910000000001</v>
      </c>
      <c r="F164">
        <v>13.781501875059311</v>
      </c>
      <c r="G164">
        <v>9.7147620223455284</v>
      </c>
      <c r="H164">
        <v>1.1924151747874554</v>
      </c>
      <c r="I164">
        <v>0.41861445945455178</v>
      </c>
      <c r="J164">
        <v>481.96899993896483</v>
      </c>
      <c r="K164">
        <v>0.56464883488461426</v>
      </c>
      <c r="L164">
        <v>-41.38</v>
      </c>
      <c r="M164">
        <v>-4.8478571838612518E-2</v>
      </c>
      <c r="N164">
        <v>141.67699999999999</v>
      </c>
      <c r="O164">
        <v>-52.222000000000001</v>
      </c>
      <c r="P164">
        <v>-6.1180473140551542E-2</v>
      </c>
    </row>
    <row r="165" spans="1:16" x14ac:dyDescent="0.2">
      <c r="A165" t="s">
        <v>558</v>
      </c>
      <c r="B165">
        <v>3220.2809999999999</v>
      </c>
      <c r="C165">
        <v>65.271000000000001</v>
      </c>
      <c r="D165">
        <v>192.24099999999999</v>
      </c>
      <c r="E165">
        <v>271.53800000000001</v>
      </c>
      <c r="F165">
        <v>16.751270540623491</v>
      </c>
      <c r="G165">
        <v>11.859411942343245</v>
      </c>
      <c r="H165">
        <v>1.9452743178440652</v>
      </c>
      <c r="I165">
        <v>0.41248745064788483</v>
      </c>
      <c r="J165">
        <v>138.52599877929688</v>
      </c>
      <c r="K165">
        <v>0.72058509256244452</v>
      </c>
      <c r="L165">
        <v>-107.69300000000001</v>
      </c>
      <c r="M165">
        <v>-0.5601978766236132</v>
      </c>
      <c r="N165">
        <v>61.901999999999994</v>
      </c>
      <c r="O165">
        <v>-111</v>
      </c>
      <c r="P165">
        <v>-0.57740024240406573</v>
      </c>
    </row>
    <row r="166" spans="1:16" x14ac:dyDescent="0.2">
      <c r="A166" t="s">
        <v>145</v>
      </c>
      <c r="B166">
        <v>3799.4987000000001</v>
      </c>
      <c r="C166">
        <v>80.325000000000003</v>
      </c>
      <c r="D166">
        <v>190.17399999999998</v>
      </c>
      <c r="E166">
        <v>258.79000000000002</v>
      </c>
      <c r="F166">
        <v>19.979064961561519</v>
      </c>
      <c r="G166">
        <v>14.681783299200124</v>
      </c>
      <c r="H166">
        <v>1.3675568004979766</v>
      </c>
      <c r="I166">
        <v>0.36080641938435365</v>
      </c>
      <c r="J166">
        <v>152.2989994506836</v>
      </c>
      <c r="K166">
        <v>0.80084028022065901</v>
      </c>
      <c r="L166">
        <v>-13.46</v>
      </c>
      <c r="M166">
        <f>L166/D166</f>
        <v>-7.0777288167678032E-2</v>
      </c>
      <c r="N166">
        <v>135.57900000000001</v>
      </c>
      <c r="O166">
        <v>-29.382999999999999</v>
      </c>
      <c r="P166">
        <v>-0.1545058735684163</v>
      </c>
    </row>
    <row r="167" spans="1:16" x14ac:dyDescent="0.2">
      <c r="A167" t="s">
        <v>559</v>
      </c>
      <c r="B167">
        <v>6079.7704000000003</v>
      </c>
      <c r="C167">
        <v>277.33499999999998</v>
      </c>
      <c r="D167">
        <v>492.64800000000002</v>
      </c>
      <c r="E167">
        <v>667.76099999999997</v>
      </c>
      <c r="F167">
        <v>12.341002906740716</v>
      </c>
      <c r="G167">
        <v>9.104710218176864</v>
      </c>
      <c r="H167">
        <v>0.7763643247336256</v>
      </c>
      <c r="I167">
        <v>0.35545257465776769</v>
      </c>
      <c r="J167">
        <v>261.8499954833984</v>
      </c>
      <c r="K167">
        <v>0.5315153933100274</v>
      </c>
      <c r="L167">
        <v>-68.85692307692301</v>
      </c>
      <c r="M167">
        <v>-0.13976900967206404</v>
      </c>
      <c r="N167">
        <v>115.286</v>
      </c>
      <c r="O167">
        <v>-90.092929999999996</v>
      </c>
      <c r="P167">
        <v>-0.1828748518211786</v>
      </c>
    </row>
    <row r="168" spans="1:16" x14ac:dyDescent="0.2">
      <c r="A168" t="s">
        <v>561</v>
      </c>
      <c r="B168">
        <v>2404.9515999999999</v>
      </c>
      <c r="C168">
        <v>427.58800000000002</v>
      </c>
      <c r="D168">
        <v>476.02700000000004</v>
      </c>
      <c r="E168">
        <v>635.75</v>
      </c>
      <c r="F168">
        <v>5.0521327571755377</v>
      </c>
      <c r="G168">
        <v>3.7828574125049155</v>
      </c>
      <c r="H168">
        <v>0.11328428300139391</v>
      </c>
      <c r="I168">
        <v>0.33553348864665233</v>
      </c>
      <c r="J168">
        <v>327.95800305175783</v>
      </c>
      <c r="K168">
        <v>0.68894832236776027</v>
      </c>
      <c r="L168">
        <v>100.64099999999999</v>
      </c>
      <c r="M168">
        <v>0.21141868003285524</v>
      </c>
      <c r="N168">
        <v>208.94399999999999</v>
      </c>
      <c r="O168">
        <v>7.2179362649929981</v>
      </c>
      <c r="P168">
        <v>1.5162871570295377E-2</v>
      </c>
    </row>
    <row r="169" spans="1:16" x14ac:dyDescent="0.2">
      <c r="A169" t="s">
        <v>563</v>
      </c>
      <c r="B169">
        <v>4154.2816999999995</v>
      </c>
      <c r="C169">
        <v>290.10300000000001</v>
      </c>
      <c r="D169">
        <v>513.48300000000006</v>
      </c>
      <c r="E169">
        <v>674.78300000000002</v>
      </c>
      <c r="F169">
        <v>8.0903977346864426</v>
      </c>
      <c r="G169">
        <v>6.1564705986961723</v>
      </c>
      <c r="H169">
        <v>0.77000237846557962</v>
      </c>
      <c r="I169">
        <v>0.31412919220305247</v>
      </c>
      <c r="J169">
        <v>418.44500848388674</v>
      </c>
      <c r="K169">
        <v>0.81491501857683057</v>
      </c>
      <c r="L169">
        <v>-27.757000000000005</v>
      </c>
      <c r="M169">
        <v>-5.4056317346436011E-2</v>
      </c>
      <c r="N169">
        <v>85.22999999999999</v>
      </c>
      <c r="O169">
        <v>-41.129518560316001</v>
      </c>
      <c r="P169">
        <v>-8.0099085189414249E-2</v>
      </c>
    </row>
    <row r="170" spans="1:16" x14ac:dyDescent="0.2">
      <c r="A170" t="s">
        <v>564</v>
      </c>
      <c r="B170">
        <v>5590.6315999999997</v>
      </c>
      <c r="C170">
        <v>85.906999999999996</v>
      </c>
      <c r="D170">
        <v>324.19499999999999</v>
      </c>
      <c r="E170">
        <v>424.09399999999999</v>
      </c>
      <c r="F170">
        <v>17.244657073674794</v>
      </c>
      <c r="G170">
        <v>13.182529344909383</v>
      </c>
      <c r="H170">
        <v>2.7737902615619219</v>
      </c>
      <c r="I170">
        <v>0.30814478940144041</v>
      </c>
      <c r="J170">
        <v>228.25000210571289</v>
      </c>
      <c r="K170">
        <v>0.70405158039363003</v>
      </c>
      <c r="L170">
        <v>-116.569</v>
      </c>
      <c r="M170">
        <v>-0.35956445966162343</v>
      </c>
      <c r="N170">
        <v>127.949</v>
      </c>
      <c r="O170">
        <v>-123.625</v>
      </c>
      <c r="P170">
        <v>-0.3813291383272413</v>
      </c>
    </row>
    <row r="171" spans="1:16" x14ac:dyDescent="0.2">
      <c r="A171" t="s">
        <v>570</v>
      </c>
      <c r="B171">
        <v>6010.1651000000002</v>
      </c>
      <c r="C171">
        <v>250.48099999999999</v>
      </c>
      <c r="D171">
        <v>602.31500000000005</v>
      </c>
      <c r="E171">
        <v>762.5</v>
      </c>
      <c r="F171">
        <v>9.9784416791877995</v>
      </c>
      <c r="G171">
        <v>7.882183737704918</v>
      </c>
      <c r="H171">
        <v>1.4046334851745246</v>
      </c>
      <c r="I171">
        <v>0.26594888056913724</v>
      </c>
      <c r="J171">
        <v>444.96900311279296</v>
      </c>
      <c r="K171">
        <v>0.73876460508669539</v>
      </c>
      <c r="L171">
        <v>-19.93</v>
      </c>
      <c r="M171">
        <f>L171/D171</f>
        <v>-3.308899828163004E-2</v>
      </c>
      <c r="N171">
        <v>256.86700000000002</v>
      </c>
      <c r="O171">
        <v>-328.25799999999998</v>
      </c>
      <c r="P171">
        <v>-0.54499389854146074</v>
      </c>
    </row>
    <row r="172" spans="1:16" x14ac:dyDescent="0.2">
      <c r="A172" t="s">
        <v>577</v>
      </c>
      <c r="B172">
        <v>1234.2756999999999</v>
      </c>
      <c r="C172">
        <v>206.98599999999999</v>
      </c>
      <c r="D172">
        <v>265.089</v>
      </c>
      <c r="E172">
        <v>329.13800000000003</v>
      </c>
      <c r="F172">
        <v>4.6560804107299809</v>
      </c>
      <c r="G172">
        <v>3.750024913562092</v>
      </c>
      <c r="H172">
        <v>0.28070980646034038</v>
      </c>
      <c r="I172">
        <v>0.24161319405935378</v>
      </c>
      <c r="J172">
        <v>189.59500091552735</v>
      </c>
      <c r="K172">
        <v>0.71521263015639036</v>
      </c>
      <c r="L172">
        <v>35.430999999999997</v>
      </c>
      <c r="M172">
        <v>0.1336569982156936</v>
      </c>
      <c r="N172">
        <v>128.23099999999999</v>
      </c>
      <c r="O172">
        <v>-1.8899511748109996</v>
      </c>
      <c r="P172">
        <v>-7.1294967909305918E-3</v>
      </c>
    </row>
    <row r="173" spans="1:16" x14ac:dyDescent="0.2">
      <c r="A173" t="s">
        <v>587</v>
      </c>
      <c r="B173">
        <v>28442.0455</v>
      </c>
      <c r="C173">
        <v>1708.721</v>
      </c>
      <c r="D173">
        <v>2684.7350000000001</v>
      </c>
      <c r="E173">
        <v>1858.0640000000001</v>
      </c>
      <c r="F173">
        <v>10.593986184856233</v>
      </c>
      <c r="G173">
        <v>15.307355128779202</v>
      </c>
      <c r="H173">
        <v>0.57119564867523731</v>
      </c>
      <c r="I173">
        <v>-0.30791530635239606</v>
      </c>
      <c r="J173">
        <v>1029.4319973144532</v>
      </c>
      <c r="K173">
        <v>0.38343896038694808</v>
      </c>
      <c r="L173">
        <v>-3.8120000000000012</v>
      </c>
      <c r="M173">
        <v>-1.4198794294408949E-3</v>
      </c>
      <c r="N173">
        <v>696.47399999999993</v>
      </c>
      <c r="O173">
        <v>-55.131</v>
      </c>
      <c r="P173">
        <v>-2.0534987624476902E-2</v>
      </c>
    </row>
    <row r="174" spans="1:16" x14ac:dyDescent="0.2">
      <c r="A174" t="s">
        <v>588</v>
      </c>
      <c r="B174">
        <v>11492.5267</v>
      </c>
      <c r="C174">
        <v>409.221</v>
      </c>
      <c r="D174">
        <v>766.22400000000005</v>
      </c>
      <c r="E174">
        <v>912.07100000000003</v>
      </c>
      <c r="F174">
        <v>14.998912459019817</v>
      </c>
      <c r="G174">
        <v>12.600473756977253</v>
      </c>
      <c r="H174">
        <v>0.87239657788823166</v>
      </c>
      <c r="I174">
        <v>0.19034512100899992</v>
      </c>
      <c r="J174">
        <v>534.71100567626956</v>
      </c>
      <c r="K174">
        <v>0.69785207155645024</v>
      </c>
      <c r="L174">
        <v>188.203</v>
      </c>
      <c r="M174">
        <v>0.24562399507193719</v>
      </c>
      <c r="N174">
        <v>320.18299999999999</v>
      </c>
      <c r="O174">
        <v>162.85600955123999</v>
      </c>
      <c r="P174">
        <v>0.21254360285143767</v>
      </c>
    </row>
    <row r="175" spans="1:16" x14ac:dyDescent="0.2">
      <c r="A175" t="s">
        <v>590</v>
      </c>
      <c r="B175">
        <v>4083.6496999999999</v>
      </c>
      <c r="C175">
        <v>463.38099999999997</v>
      </c>
      <c r="D175">
        <v>609.726</v>
      </c>
      <c r="E175">
        <v>719.86699999999996</v>
      </c>
      <c r="F175">
        <v>6.6975160973945673</v>
      </c>
      <c r="G175">
        <v>5.6727835836341995</v>
      </c>
      <c r="H175">
        <v>0.31582002714828628</v>
      </c>
      <c r="I175">
        <v>0.1806401563981197</v>
      </c>
      <c r="J175">
        <v>460.99100408935544</v>
      </c>
      <c r="K175">
        <v>0.75606256595479848</v>
      </c>
      <c r="L175">
        <v>82.144000000000005</v>
      </c>
      <c r="M175">
        <v>0.13472280991789756</v>
      </c>
      <c r="N175">
        <v>237.32499999999999</v>
      </c>
      <c r="O175">
        <v>48.942264632863001</v>
      </c>
      <c r="P175">
        <v>8.0269276089363087E-2</v>
      </c>
    </row>
    <row r="176" spans="1:16" x14ac:dyDescent="0.2">
      <c r="A176" t="s">
        <v>596</v>
      </c>
      <c r="B176">
        <v>3802.556</v>
      </c>
      <c r="C176">
        <v>2322</v>
      </c>
      <c r="D176">
        <v>2202</v>
      </c>
      <c r="E176">
        <v>2153.799</v>
      </c>
      <c r="F176">
        <v>1.7268646684831972</v>
      </c>
      <c r="G176">
        <v>1.7655110806533014</v>
      </c>
      <c r="H176">
        <v>-5.1679586563307491E-2</v>
      </c>
      <c r="I176">
        <v>-2.1889645776566713E-2</v>
      </c>
      <c r="J176">
        <v>1035</v>
      </c>
      <c r="K176">
        <v>0.47002724795640327</v>
      </c>
      <c r="L176">
        <v>220</v>
      </c>
      <c r="M176">
        <v>9.9909173478655772E-2</v>
      </c>
      <c r="N176">
        <v>1089</v>
      </c>
      <c r="O176">
        <v>70.963692307692</v>
      </c>
      <c r="P176">
        <v>3.2226926570250683E-2</v>
      </c>
    </row>
    <row r="177" spans="1:16" x14ac:dyDescent="0.2">
      <c r="A177" t="s">
        <v>597</v>
      </c>
      <c r="B177">
        <v>498.00700000000001</v>
      </c>
      <c r="C177">
        <v>21.366</v>
      </c>
      <c r="D177">
        <v>45.913776851069429</v>
      </c>
      <c r="E177">
        <v>104.675</v>
      </c>
      <c r="F177">
        <v>10.846570118058157</v>
      </c>
      <c r="G177">
        <v>4.7576498686410318</v>
      </c>
      <c r="H177">
        <v>1.148917759574531</v>
      </c>
      <c r="I177">
        <v>1.2798168039962041</v>
      </c>
      <c r="J177">
        <v>32.362014866124603</v>
      </c>
      <c r="K177">
        <v>0.70484323193662135</v>
      </c>
      <c r="L177">
        <v>12.963605572070199</v>
      </c>
      <c r="M177">
        <v>0.28234674777725782</v>
      </c>
      <c r="N177">
        <v>24.123999999999999</v>
      </c>
      <c r="O177">
        <v>5.1382688847482347</v>
      </c>
      <c r="P177">
        <v>0.111911265793168</v>
      </c>
    </row>
    <row r="178" spans="1:16" x14ac:dyDescent="0.2">
      <c r="A178" t="s">
        <v>598</v>
      </c>
      <c r="B178">
        <v>11310.248799999999</v>
      </c>
      <c r="C178">
        <v>1413.6980000000001</v>
      </c>
      <c r="D178">
        <v>1762.6579999999999</v>
      </c>
      <c r="E178">
        <v>3002.8670000000002</v>
      </c>
      <c r="F178">
        <v>6.4165872222518496</v>
      </c>
      <c r="G178">
        <v>3.766483430668091</v>
      </c>
      <c r="H178">
        <v>0.24684197049157583</v>
      </c>
      <c r="I178">
        <v>0.70360160621062073</v>
      </c>
      <c r="J178">
        <v>927.55099047851559</v>
      </c>
      <c r="K178">
        <v>0.52622289206330197</v>
      </c>
      <c r="L178">
        <v>287.15600000000006</v>
      </c>
      <c r="M178">
        <v>0.16291078586997595</v>
      </c>
      <c r="N178">
        <v>808.97299999999996</v>
      </c>
      <c r="O178">
        <v>192.85892999999999</v>
      </c>
      <c r="P178">
        <v>0.10941369794934695</v>
      </c>
    </row>
    <row r="179" spans="1:16" x14ac:dyDescent="0.2">
      <c r="A179" t="s">
        <v>599</v>
      </c>
      <c r="B179">
        <v>5116.1342000000004</v>
      </c>
      <c r="C179">
        <v>201.49100000000001</v>
      </c>
      <c r="D179">
        <v>662.16275290332658</v>
      </c>
      <c r="E179">
        <v>964.04100000000005</v>
      </c>
      <c r="F179">
        <v>7.7263998579922211</v>
      </c>
      <c r="G179">
        <v>5.3069674422560871</v>
      </c>
      <c r="H179">
        <v>2.2863142914736962</v>
      </c>
      <c r="I179">
        <v>0.4558973541973701</v>
      </c>
      <c r="J179">
        <v>462.07363936766961</v>
      </c>
      <c r="K179">
        <v>0.69782487363062351</v>
      </c>
      <c r="L179">
        <v>163.30981038419148</v>
      </c>
      <c r="M179">
        <v>0.24663092218361932</v>
      </c>
      <c r="N179">
        <v>105.649</v>
      </c>
      <c r="O179">
        <v>77.683937329779184</v>
      </c>
      <c r="P179">
        <v>0.11731849456823912</v>
      </c>
    </row>
    <row r="180" spans="1:16" x14ac:dyDescent="0.2">
      <c r="A180" t="s">
        <v>600</v>
      </c>
      <c r="B180">
        <v>1670.4738</v>
      </c>
      <c r="C180">
        <v>254.18799999999999</v>
      </c>
      <c r="D180">
        <v>505.65300000000002</v>
      </c>
      <c r="E180">
        <v>700.99199999999996</v>
      </c>
      <c r="F180">
        <v>3.3035971308387371</v>
      </c>
      <c r="G180">
        <v>2.3830140714872639</v>
      </c>
      <c r="H180">
        <v>0.98928745652823913</v>
      </c>
      <c r="I180">
        <v>0.38631037490136499</v>
      </c>
      <c r="J180">
        <v>233.04500000000002</v>
      </c>
      <c r="K180">
        <v>0.46087929864946914</v>
      </c>
      <c r="L180">
        <v>12.508000000000003</v>
      </c>
      <c r="M180">
        <v>2.4736331041247658E-2</v>
      </c>
      <c r="N180">
        <v>238.43299999999999</v>
      </c>
      <c r="O180">
        <v>-25.145819318402001</v>
      </c>
      <c r="P180">
        <v>-4.9729398062311504E-2</v>
      </c>
    </row>
    <row r="181" spans="1:16" x14ac:dyDescent="0.2">
      <c r="A181" t="s">
        <v>601</v>
      </c>
      <c r="B181">
        <v>1375.1850999999999</v>
      </c>
      <c r="C181">
        <v>9.6440000000000001</v>
      </c>
      <c r="D181">
        <v>50.944830456625908</v>
      </c>
      <c r="E181">
        <v>68.814000000000007</v>
      </c>
      <c r="F181">
        <v>26.993614222954839</v>
      </c>
      <c r="G181">
        <v>19.984088993518757</v>
      </c>
      <c r="H181">
        <v>4.2825415239139266</v>
      </c>
      <c r="I181">
        <v>0.35075530496833807</v>
      </c>
      <c r="J181">
        <v>50.927435366140706</v>
      </c>
      <c r="K181">
        <v>0.99965855042937057</v>
      </c>
      <c r="L181">
        <v>-15.660510996069489</v>
      </c>
      <c r="M181">
        <v>-0.30740137626726904</v>
      </c>
      <c r="N181">
        <v>16.331</v>
      </c>
      <c r="O181">
        <v>-16.377704596026192</v>
      </c>
      <c r="P181">
        <v>-0.32147922466775231</v>
      </c>
    </row>
    <row r="182" spans="1:16" x14ac:dyDescent="0.2">
      <c r="A182" t="s">
        <v>602</v>
      </c>
      <c r="B182">
        <v>11136.6034</v>
      </c>
      <c r="C182">
        <v>1393.9970000000001</v>
      </c>
      <c r="D182">
        <v>2027.4701488016447</v>
      </c>
      <c r="E182">
        <v>2646.6010000000001</v>
      </c>
      <c r="F182">
        <v>5.4928569017809679</v>
      </c>
      <c r="G182">
        <v>4.2078890622349192</v>
      </c>
      <c r="H182">
        <v>0.45442934870135626</v>
      </c>
      <c r="I182">
        <v>0.30537113040322628</v>
      </c>
      <c r="J182">
        <v>1679.9929314420062</v>
      </c>
      <c r="K182">
        <v>0.82861537193777279</v>
      </c>
      <c r="L182">
        <v>942.26823079258611</v>
      </c>
      <c r="M182">
        <v>0.46475072954811325</v>
      </c>
      <c r="N182">
        <v>746.93899999999996</v>
      </c>
      <c r="O182">
        <v>205.69174478129477</v>
      </c>
      <c r="P182">
        <v>0.10145241590998064</v>
      </c>
    </row>
    <row r="183" spans="1:16" x14ac:dyDescent="0.2">
      <c r="A183" t="s">
        <v>603</v>
      </c>
      <c r="B183">
        <v>1498.6233999999999</v>
      </c>
      <c r="C183">
        <v>94.061999999999998</v>
      </c>
      <c r="D183">
        <v>169.74299999999999</v>
      </c>
      <c r="E183">
        <v>217.958</v>
      </c>
      <c r="F183">
        <v>8.8287788008931152</v>
      </c>
      <c r="G183">
        <v>6.8757439506693947</v>
      </c>
      <c r="H183">
        <v>0.8045863366715571</v>
      </c>
      <c r="I183">
        <v>0.2840470593780009</v>
      </c>
      <c r="J183">
        <v>52.637000358581545</v>
      </c>
      <c r="K183">
        <v>0.3100982094023409</v>
      </c>
      <c r="L183">
        <v>17.134</v>
      </c>
      <c r="M183">
        <v>0.10094083408446888</v>
      </c>
      <c r="N183">
        <v>10.43</v>
      </c>
      <c r="O183">
        <v>8.8915167711629994</v>
      </c>
      <c r="P183">
        <v>5.2382229436047437E-2</v>
      </c>
    </row>
    <row r="184" spans="1:16" x14ac:dyDescent="0.2">
      <c r="A184" t="s">
        <v>604</v>
      </c>
      <c r="B184">
        <v>751.91750000000002</v>
      </c>
      <c r="C184">
        <v>200.58099999999999</v>
      </c>
      <c r="D184">
        <v>332.99599999999998</v>
      </c>
      <c r="E184">
        <v>392.42</v>
      </c>
      <c r="F184">
        <v>2.2580376340856949</v>
      </c>
      <c r="G184">
        <v>1.9161039192701697</v>
      </c>
      <c r="H184">
        <v>0.66015724320847935</v>
      </c>
      <c r="I184">
        <v>0.17845259402515357</v>
      </c>
      <c r="J184">
        <v>180.10199858093262</v>
      </c>
      <c r="K184">
        <v>0.54085333932219193</v>
      </c>
      <c r="L184">
        <v>-42.642000000000003</v>
      </c>
      <c r="M184">
        <v>-0.1280555922593665</v>
      </c>
      <c r="N184">
        <v>63.763999999999996</v>
      </c>
      <c r="O184">
        <v>-26.043469999999999</v>
      </c>
      <c r="P184">
        <v>-7.820955807276965E-2</v>
      </c>
    </row>
    <row r="185" spans="1:16" x14ac:dyDescent="0.2">
      <c r="A185" t="s">
        <v>605</v>
      </c>
      <c r="B185">
        <v>877.18060000000003</v>
      </c>
      <c r="C185">
        <v>49.845999999999997</v>
      </c>
      <c r="D185">
        <v>67.067000000000007</v>
      </c>
      <c r="E185">
        <v>79</v>
      </c>
      <c r="F185">
        <v>13.079168592601427</v>
      </c>
      <c r="G185">
        <v>11.103551898734178</v>
      </c>
      <c r="H185">
        <v>0.3454840910002811</v>
      </c>
      <c r="I185">
        <v>0.1779265510608794</v>
      </c>
      <c r="J185">
        <v>63.660000076293947</v>
      </c>
      <c r="K185">
        <v>0.94920005481524361</v>
      </c>
      <c r="L185">
        <v>20.859000000000002</v>
      </c>
      <c r="M185">
        <v>0.31101734086808713</v>
      </c>
      <c r="N185">
        <v>52.832999999999998</v>
      </c>
      <c r="O185">
        <v>15.805099999999999</v>
      </c>
      <c r="P185">
        <v>0.23566135357180129</v>
      </c>
    </row>
    <row r="186" spans="1:16" x14ac:dyDescent="0.2">
      <c r="A186" t="s">
        <v>606</v>
      </c>
      <c r="B186">
        <v>4269.3923999999997</v>
      </c>
      <c r="C186">
        <v>1549.8989999999999</v>
      </c>
      <c r="D186">
        <v>2006.2450000000001</v>
      </c>
      <c r="E186">
        <v>2239.0819999999999</v>
      </c>
      <c r="F186">
        <v>2.1280513596295565</v>
      </c>
      <c r="G186">
        <v>1.9067601811813948</v>
      </c>
      <c r="H186">
        <v>0.29443596002062089</v>
      </c>
      <c r="I186">
        <v>0.11605611478159439</v>
      </c>
      <c r="J186">
        <v>861.35701245117184</v>
      </c>
      <c r="K186">
        <v>0.4293378986370916</v>
      </c>
      <c r="L186">
        <v>376.78800000000001</v>
      </c>
      <c r="M186">
        <v>0.18780757085998967</v>
      </c>
      <c r="N186">
        <v>155.839</v>
      </c>
      <c r="O186">
        <v>-22.321651615104003</v>
      </c>
      <c r="P186">
        <v>-1.112608460836239E-2</v>
      </c>
    </row>
    <row r="187" spans="1:16" x14ac:dyDescent="0.2">
      <c r="A187" t="s">
        <v>607</v>
      </c>
      <c r="B187">
        <v>25857.610499999999</v>
      </c>
      <c r="C187">
        <v>4396</v>
      </c>
      <c r="D187">
        <v>4838</v>
      </c>
      <c r="E187">
        <v>5394.9750000000004</v>
      </c>
      <c r="F187">
        <v>5.3446900578751544</v>
      </c>
      <c r="G187">
        <v>4.7929064546174907</v>
      </c>
      <c r="H187">
        <v>0.1005459508644222</v>
      </c>
      <c r="I187">
        <v>0.11512505167424569</v>
      </c>
      <c r="J187">
        <v>3503</v>
      </c>
      <c r="K187">
        <v>0.72405952873088053</v>
      </c>
      <c r="L187">
        <v>1151</v>
      </c>
      <c r="M187">
        <v>0.23790822653989252</v>
      </c>
      <c r="N187">
        <v>4258</v>
      </c>
      <c r="O187">
        <v>881.07999999999993</v>
      </c>
      <c r="P187">
        <v>0.18211657709797435</v>
      </c>
    </row>
    <row r="188" spans="1:16" x14ac:dyDescent="0.2">
      <c r="A188" t="s">
        <v>608</v>
      </c>
      <c r="B188">
        <v>2858.7084</v>
      </c>
      <c r="C188">
        <v>741.42</v>
      </c>
      <c r="D188">
        <v>883.15200000000004</v>
      </c>
      <c r="E188">
        <v>981.11099999999999</v>
      </c>
      <c r="F188">
        <v>3.2369381488124351</v>
      </c>
      <c r="G188">
        <v>2.9137461510471292</v>
      </c>
      <c r="H188">
        <v>0.19116290361738297</v>
      </c>
      <c r="I188">
        <v>0.11091975107342789</v>
      </c>
      <c r="J188">
        <v>610.00600537109381</v>
      </c>
      <c r="K188">
        <v>0.69071462825322683</v>
      </c>
      <c r="L188">
        <v>82.168000000000006</v>
      </c>
      <c r="M188">
        <v>9.3039476783158506E-2</v>
      </c>
      <c r="N188">
        <v>372.87</v>
      </c>
      <c r="O188">
        <v>49.854209999999995</v>
      </c>
      <c r="P188">
        <v>5.6450316593293103E-2</v>
      </c>
    </row>
    <row r="189" spans="1:16" x14ac:dyDescent="0.2">
      <c r="A189" t="s">
        <v>609</v>
      </c>
      <c r="B189">
        <v>2570.2040999999999</v>
      </c>
      <c r="C189">
        <v>692.62300000000005</v>
      </c>
      <c r="D189">
        <v>756.01800000000003</v>
      </c>
      <c r="E189">
        <v>833.2</v>
      </c>
      <c r="F189">
        <v>3.3996599287318552</v>
      </c>
      <c r="G189">
        <v>3.0847384781565048</v>
      </c>
      <c r="H189">
        <v>9.1528869240553631E-2</v>
      </c>
      <c r="I189">
        <v>0.10209016187445275</v>
      </c>
      <c r="J189">
        <v>351.15899945068361</v>
      </c>
      <c r="K189">
        <v>0.46448497185342624</v>
      </c>
      <c r="L189">
        <v>88.09</v>
      </c>
      <c r="M189">
        <v>0.11651838977378845</v>
      </c>
      <c r="N189">
        <v>32.423999999999999</v>
      </c>
      <c r="O189">
        <v>25.583342077704</v>
      </c>
      <c r="P189">
        <v>3.3839593869066605E-2</v>
      </c>
    </row>
    <row r="190" spans="1:16" x14ac:dyDescent="0.2">
      <c r="A190" t="s">
        <v>610</v>
      </c>
      <c r="B190">
        <v>4868.8302000000003</v>
      </c>
      <c r="C190">
        <v>1082.9000000000001</v>
      </c>
      <c r="D190">
        <v>1286.5</v>
      </c>
      <c r="E190">
        <v>1414.836</v>
      </c>
      <c r="F190">
        <v>3.7845551496307817</v>
      </c>
      <c r="G190">
        <v>3.4412682459309774</v>
      </c>
      <c r="H190">
        <v>0.18801366700526354</v>
      </c>
      <c r="I190">
        <v>9.9755926933540628E-2</v>
      </c>
      <c r="J190">
        <v>696.89999084472652</v>
      </c>
      <c r="K190">
        <v>0.54170228592672098</v>
      </c>
      <c r="L190">
        <v>325.79999999999995</v>
      </c>
      <c r="M190">
        <v>0.25324523902059848</v>
      </c>
      <c r="N190">
        <v>165.1</v>
      </c>
      <c r="O190">
        <v>132.49198895886499</v>
      </c>
      <c r="P190">
        <v>0.10298638861940536</v>
      </c>
    </row>
    <row r="191" spans="1:16" x14ac:dyDescent="0.2">
      <c r="A191" t="s">
        <v>611</v>
      </c>
      <c r="B191">
        <v>3484.2853</v>
      </c>
      <c r="C191">
        <v>583.90300000000002</v>
      </c>
      <c r="D191">
        <v>106.27463551615409</v>
      </c>
      <c r="E191">
        <v>116.741</v>
      </c>
      <c r="F191">
        <v>32.785671605247494</v>
      </c>
      <c r="G191">
        <v>29.846286223349125</v>
      </c>
      <c r="H191">
        <v>-0.81799265371790508</v>
      </c>
      <c r="I191">
        <v>9.8484124956184749E-2</v>
      </c>
      <c r="J191">
        <v>81.477672212029802</v>
      </c>
      <c r="K191">
        <v>0.76667091650147257</v>
      </c>
      <c r="L191">
        <v>46.149536384401458</v>
      </c>
      <c r="M191">
        <v>0.4342478914207763</v>
      </c>
      <c r="N191">
        <v>647.51599999999996</v>
      </c>
      <c r="O191">
        <v>37.745532686694702</v>
      </c>
      <c r="P191">
        <v>0.3551697213862216</v>
      </c>
    </row>
    <row r="192" spans="1:16" x14ac:dyDescent="0.2">
      <c r="A192" t="s">
        <v>612</v>
      </c>
      <c r="B192">
        <v>988.6848</v>
      </c>
      <c r="C192">
        <v>73.400999999999996</v>
      </c>
      <c r="D192">
        <v>158.81090657152305</v>
      </c>
      <c r="E192">
        <v>172.51400000000001</v>
      </c>
      <c r="F192">
        <v>6.2255472331475534</v>
      </c>
      <c r="G192">
        <v>5.7310409589946323</v>
      </c>
      <c r="H192">
        <v>1.1636068523797094</v>
      </c>
      <c r="I192">
        <v>8.6285594133961752E-2</v>
      </c>
      <c r="J192">
        <v>122.86743957034734</v>
      </c>
      <c r="K192">
        <v>0.77367129388567535</v>
      </c>
      <c r="L192">
        <v>34.725540664341814</v>
      </c>
      <c r="M192">
        <v>0.21865967151760202</v>
      </c>
      <c r="N192">
        <v>22.753</v>
      </c>
      <c r="O192">
        <v>16.478658119925523</v>
      </c>
      <c r="P192">
        <v>0.10376276085612605</v>
      </c>
    </row>
    <row r="193" spans="1:16" x14ac:dyDescent="0.2">
      <c r="A193" t="s">
        <v>613</v>
      </c>
      <c r="B193">
        <v>503.5813</v>
      </c>
      <c r="C193">
        <v>264.7</v>
      </c>
      <c r="D193">
        <v>390.21064688256155</v>
      </c>
      <c r="E193">
        <v>423.65500000000003</v>
      </c>
      <c r="F193">
        <v>1.2905370574154493</v>
      </c>
      <c r="G193">
        <v>1.1886589323860215</v>
      </c>
      <c r="H193">
        <v>0.47416186959789031</v>
      </c>
      <c r="I193">
        <v>8.5708458712311808E-2</v>
      </c>
      <c r="J193">
        <v>208.1033694655994</v>
      </c>
      <c r="K193">
        <v>0.53331033155594687</v>
      </c>
      <c r="L193">
        <v>41.081894131577933</v>
      </c>
      <c r="M193">
        <v>0.10528132550914739</v>
      </c>
      <c r="N193">
        <v>22.7</v>
      </c>
      <c r="O193">
        <v>28.187567163656766</v>
      </c>
      <c r="P193">
        <v>7.2236796686227123E-2</v>
      </c>
    </row>
  </sheetData>
  <autoFilter ref="A1:P193" xr:uid="{D7732E78-9483-4441-974D-E94DC32681D4}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30E47-196B-4857-888A-417BCB8E96D4}">
  <dimension ref="A1:W152"/>
  <sheetViews>
    <sheetView zoomScale="85" zoomScaleNormal="85" workbookViewId="0">
      <selection activeCell="H41" sqref="H41"/>
    </sheetView>
  </sheetViews>
  <sheetFormatPr defaultRowHeight="12.75" x14ac:dyDescent="0.2"/>
  <cols>
    <col min="1" max="1" width="18.28515625" customWidth="1"/>
    <col min="2" max="2" width="10.5703125" bestFit="1" customWidth="1"/>
    <col min="3" max="3" width="10.5703125" customWidth="1"/>
    <col min="4" max="4" width="14" customWidth="1"/>
    <col min="5" max="5" width="9.7109375" customWidth="1"/>
    <col min="6" max="7" width="9.7109375" style="174" customWidth="1"/>
    <col min="8" max="8" width="9.7109375" customWidth="1"/>
    <col min="9" max="9" width="14.85546875" style="181" bestFit="1" customWidth="1"/>
    <col min="10" max="10" width="9.42578125" customWidth="1"/>
    <col min="11" max="11" width="13.5703125" style="177" bestFit="1" customWidth="1"/>
    <col min="12" max="12" width="9.42578125" customWidth="1"/>
    <col min="13" max="13" width="12.28515625" style="184" customWidth="1"/>
    <col min="14" max="14" width="12.28515625" customWidth="1"/>
    <col min="15" max="15" width="12.28515625" style="184" customWidth="1"/>
    <col min="16" max="16" width="12.28515625" customWidth="1"/>
    <col min="17" max="17" width="12.28515625" style="184" customWidth="1"/>
    <col min="18" max="18" width="14" customWidth="1"/>
    <col min="19" max="19" width="12.28515625" style="184" customWidth="1"/>
    <col min="20" max="22" width="12.28515625" customWidth="1"/>
    <col min="23" max="23" width="14.85546875" bestFit="1" customWidth="1"/>
    <col min="25" max="25" width="26.28515625" customWidth="1"/>
    <col min="26" max="32" width="16.28515625" customWidth="1"/>
  </cols>
  <sheetData>
    <row r="1" spans="1:23" ht="55.5" customHeight="1" x14ac:dyDescent="0.2">
      <c r="A1" t="s">
        <v>424</v>
      </c>
      <c r="B1" t="s">
        <v>718</v>
      </c>
      <c r="C1" t="s">
        <v>962</v>
      </c>
      <c r="D1" t="s">
        <v>963</v>
      </c>
      <c r="E1" t="s">
        <v>964</v>
      </c>
      <c r="F1" t="s">
        <v>902</v>
      </c>
      <c r="G1" t="s">
        <v>957</v>
      </c>
      <c r="H1" t="s">
        <v>965</v>
      </c>
      <c r="I1" t="s">
        <v>966</v>
      </c>
      <c r="J1" t="s">
        <v>959</v>
      </c>
      <c r="K1" t="s">
        <v>967</v>
      </c>
      <c r="L1" t="s">
        <v>968</v>
      </c>
      <c r="M1" t="s">
        <v>969</v>
      </c>
      <c r="N1" t="s">
        <v>970</v>
      </c>
      <c r="O1" t="s">
        <v>971</v>
      </c>
      <c r="P1" t="s">
        <v>972</v>
      </c>
      <c r="Q1" t="s">
        <v>973</v>
      </c>
      <c r="R1" t="s">
        <v>438</v>
      </c>
      <c r="S1" t="s">
        <v>974</v>
      </c>
      <c r="T1" t="s">
        <v>975</v>
      </c>
      <c r="U1" t="s">
        <v>956</v>
      </c>
      <c r="V1" t="s">
        <v>976</v>
      </c>
      <c r="W1" t="s">
        <v>977</v>
      </c>
    </row>
    <row r="2" spans="1:23" x14ac:dyDescent="0.2">
      <c r="A2" t="s">
        <v>227</v>
      </c>
      <c r="B2">
        <v>2202.7654000000002</v>
      </c>
      <c r="C2">
        <v>92.183999999999997</v>
      </c>
      <c r="D2">
        <v>167.92599999999999</v>
      </c>
      <c r="E2">
        <v>255.9</v>
      </c>
      <c r="F2">
        <f t="shared" ref="F2:F33" si="0">B2/D2</f>
        <v>13.117476745709421</v>
      </c>
      <c r="G2">
        <f t="shared" ref="G2:G33" si="1">B2/E2</f>
        <v>8.6079148104728418</v>
      </c>
      <c r="H2">
        <f t="shared" ref="H2:H33" si="2">(D2-C2)/C2</f>
        <v>0.82163933003558087</v>
      </c>
      <c r="I2">
        <v>0.52388552100329933</v>
      </c>
      <c r="J2">
        <v>88.019999999999982</v>
      </c>
      <c r="K2">
        <v>0.52415945118683227</v>
      </c>
      <c r="L2">
        <v>38.638999999999996</v>
      </c>
      <c r="M2">
        <v>0.23009539916391744</v>
      </c>
      <c r="N2">
        <v>73.087000000000003</v>
      </c>
      <c r="O2">
        <v>0.43523337660636235</v>
      </c>
      <c r="P2">
        <v>22.571999999999999</v>
      </c>
      <c r="Q2">
        <v>0.13441635005895455</v>
      </c>
      <c r="R2">
        <v>-39.728000000000002</v>
      </c>
      <c r="S2">
        <v>-0.23658039850886703</v>
      </c>
      <c r="T2">
        <v>-29.518000000000001</v>
      </c>
      <c r="U2">
        <v>48.207999999999998</v>
      </c>
      <c r="V2">
        <v>-47.155000000000001</v>
      </c>
      <c r="W2">
        <v>-0.28080821314150284</v>
      </c>
    </row>
    <row r="3" spans="1:23" x14ac:dyDescent="0.2">
      <c r="A3" t="s">
        <v>145</v>
      </c>
      <c r="B3">
        <v>3799.4987000000001</v>
      </c>
      <c r="C3">
        <v>80.325000000000003</v>
      </c>
      <c r="D3">
        <v>190.17399999999998</v>
      </c>
      <c r="E3">
        <v>258.79000000000002</v>
      </c>
      <c r="F3">
        <f t="shared" si="0"/>
        <v>19.979064961561519</v>
      </c>
      <c r="G3">
        <f t="shared" si="1"/>
        <v>14.681783299200124</v>
      </c>
      <c r="H3">
        <f t="shared" si="2"/>
        <v>1.3675568004979766</v>
      </c>
      <c r="I3">
        <v>0.36080641938435365</v>
      </c>
      <c r="J3">
        <v>152.2989994506836</v>
      </c>
      <c r="K3">
        <v>0.80084028022065901</v>
      </c>
      <c r="L3">
        <v>39.378999999999998</v>
      </c>
      <c r="M3">
        <v>0.20706826380051954</v>
      </c>
      <c r="N3">
        <v>116.40900000000001</v>
      </c>
      <c r="O3">
        <v>0.61211837580321193</v>
      </c>
      <c r="P3">
        <v>31.135000000000002</v>
      </c>
      <c r="Q3">
        <v>0.1637184893834068</v>
      </c>
      <c r="R3" t="s">
        <v>480</v>
      </c>
      <c r="S3" t="e">
        <v>#VALUE!</v>
      </c>
      <c r="T3" t="s">
        <v>480</v>
      </c>
      <c r="U3">
        <v>135.57900000000001</v>
      </c>
      <c r="V3">
        <v>-29.382999999999999</v>
      </c>
      <c r="W3">
        <v>-0.1545058735684163</v>
      </c>
    </row>
    <row r="4" spans="1:23" x14ac:dyDescent="0.2">
      <c r="A4" t="s">
        <v>608</v>
      </c>
      <c r="B4">
        <v>2858.7084</v>
      </c>
      <c r="C4">
        <v>741.42</v>
      </c>
      <c r="D4">
        <v>883.15200000000004</v>
      </c>
      <c r="E4">
        <v>981.11099999999999</v>
      </c>
      <c r="F4">
        <f t="shared" si="0"/>
        <v>3.2369381488124351</v>
      </c>
      <c r="G4">
        <f t="shared" si="1"/>
        <v>2.9137461510471292</v>
      </c>
      <c r="H4">
        <f t="shared" si="2"/>
        <v>0.19116290361738297</v>
      </c>
      <c r="I4">
        <v>0.11091975107342789</v>
      </c>
      <c r="J4">
        <v>610.00600537109381</v>
      </c>
      <c r="K4">
        <v>0.69071462825322683</v>
      </c>
      <c r="L4">
        <v>256.012</v>
      </c>
      <c r="M4">
        <v>0.28988441400800768</v>
      </c>
      <c r="N4">
        <v>212.03</v>
      </c>
      <c r="O4">
        <v>0.24008324727793176</v>
      </c>
      <c r="P4">
        <v>108.65300000000001</v>
      </c>
      <c r="Q4">
        <v>0.12302865191948838</v>
      </c>
      <c r="R4">
        <v>82.168000000000006</v>
      </c>
      <c r="S4">
        <v>9.3039476783158506E-2</v>
      </c>
      <c r="T4">
        <v>94.092000000000013</v>
      </c>
      <c r="U4">
        <v>372.87</v>
      </c>
      <c r="V4">
        <v>49.854209999999995</v>
      </c>
      <c r="W4">
        <v>5.6450316593293103E-2</v>
      </c>
    </row>
    <row r="5" spans="1:23" x14ac:dyDescent="0.2">
      <c r="A5" t="s">
        <v>113</v>
      </c>
      <c r="B5">
        <v>5616.1094999999996</v>
      </c>
      <c r="C5">
        <v>311.99900000000002</v>
      </c>
      <c r="D5">
        <v>507.88499999999999</v>
      </c>
      <c r="E5">
        <v>667.96900000000005</v>
      </c>
      <c r="F5">
        <f t="shared" si="0"/>
        <v>11.057836911899347</v>
      </c>
      <c r="G5">
        <f t="shared" si="1"/>
        <v>8.4077397304365906</v>
      </c>
      <c r="H5">
        <f t="shared" si="2"/>
        <v>0.62784175590306368</v>
      </c>
      <c r="I5">
        <v>0.31519733798005456</v>
      </c>
      <c r="J5">
        <v>356.01800524902342</v>
      </c>
      <c r="K5">
        <v>0.70098153174246813</v>
      </c>
      <c r="L5">
        <v>115.291</v>
      </c>
      <c r="M5">
        <v>0.2270021756893785</v>
      </c>
      <c r="N5">
        <v>220.74199999999999</v>
      </c>
      <c r="O5">
        <v>0.43462988668694685</v>
      </c>
      <c r="P5">
        <v>81.680000000000007</v>
      </c>
      <c r="Q5">
        <v>0.1608238085393347</v>
      </c>
      <c r="R5">
        <v>-86.045139240506003</v>
      </c>
      <c r="S5">
        <v>-0.16941854797937722</v>
      </c>
      <c r="T5">
        <v>35.010000000000005</v>
      </c>
      <c r="U5">
        <v>109.36999999999999</v>
      </c>
      <c r="V5">
        <v>-115.405</v>
      </c>
      <c r="W5">
        <v>-0.22722663595105191</v>
      </c>
    </row>
    <row r="6" spans="1:23" x14ac:dyDescent="0.2">
      <c r="A6" t="s">
        <v>243</v>
      </c>
      <c r="B6">
        <v>1797.1029000000001</v>
      </c>
      <c r="C6">
        <v>89.724000000000004</v>
      </c>
      <c r="D6">
        <v>198.54300000000001</v>
      </c>
      <c r="E6">
        <v>249.18700000000001</v>
      </c>
      <c r="F6">
        <f t="shared" si="0"/>
        <v>9.0514543449026164</v>
      </c>
      <c r="G6">
        <f t="shared" si="1"/>
        <v>7.2118645836259514</v>
      </c>
      <c r="H6">
        <f t="shared" si="2"/>
        <v>1.2128193125585127</v>
      </c>
      <c r="I6">
        <v>0.25507824501493381</v>
      </c>
      <c r="J6">
        <v>147.79099822998046</v>
      </c>
      <c r="K6">
        <v>0.74437778330125193</v>
      </c>
      <c r="L6">
        <v>25.686999999999998</v>
      </c>
      <c r="M6">
        <v>0.12937751519821902</v>
      </c>
      <c r="N6">
        <v>126.98</v>
      </c>
      <c r="O6">
        <v>0.63955918868960371</v>
      </c>
      <c r="P6">
        <v>40.079000000000001</v>
      </c>
      <c r="Q6">
        <v>0.20186559082919064</v>
      </c>
      <c r="R6">
        <v>-68.009</v>
      </c>
      <c r="S6">
        <v>-0.34254040686400428</v>
      </c>
      <c r="T6">
        <v>-32.906999999999996</v>
      </c>
      <c r="U6">
        <v>34.366999999999997</v>
      </c>
      <c r="V6">
        <v>-73.292000000000002</v>
      </c>
      <c r="W6">
        <v>-0.36914925230302753</v>
      </c>
    </row>
    <row r="7" spans="1:23" x14ac:dyDescent="0.2">
      <c r="A7" t="s">
        <v>327</v>
      </c>
      <c r="B7">
        <v>2001.8032000000001</v>
      </c>
      <c r="C7">
        <v>789.92600000000004</v>
      </c>
      <c r="D7">
        <v>1528.231</v>
      </c>
      <c r="E7">
        <v>1645</v>
      </c>
      <c r="F7">
        <f t="shared" si="0"/>
        <v>1.3098826028264052</v>
      </c>
      <c r="G7">
        <f t="shared" si="1"/>
        <v>1.2169016413373861</v>
      </c>
      <c r="H7">
        <f t="shared" si="2"/>
        <v>0.93465084071166149</v>
      </c>
      <c r="I7">
        <v>7.6407951415721875E-2</v>
      </c>
      <c r="J7">
        <v>375.46800091552734</v>
      </c>
      <c r="K7">
        <v>0.24568798886786575</v>
      </c>
      <c r="L7">
        <v>0</v>
      </c>
      <c r="M7">
        <v>0</v>
      </c>
      <c r="O7"/>
      <c r="P7">
        <v>220.95500000000001</v>
      </c>
      <c r="Q7">
        <v>0.14458219994228622</v>
      </c>
      <c r="R7">
        <v>275.851</v>
      </c>
      <c r="S7">
        <v>0.18050347100667372</v>
      </c>
      <c r="T7">
        <v>6.2910000000000075</v>
      </c>
      <c r="U7">
        <v>39</v>
      </c>
      <c r="V7">
        <v>-52.607639999999996</v>
      </c>
      <c r="W7">
        <v>-3.4423879635997433E-2</v>
      </c>
    </row>
    <row r="8" spans="1:23" x14ac:dyDescent="0.2">
      <c r="A8" t="s">
        <v>29</v>
      </c>
      <c r="B8">
        <v>37238.548000000003</v>
      </c>
      <c r="C8">
        <v>3578.991</v>
      </c>
      <c r="D8">
        <v>3957.0110000000004</v>
      </c>
      <c r="E8">
        <v>4123.2660000000005</v>
      </c>
      <c r="F8">
        <f t="shared" si="0"/>
        <v>9.4107769728211519</v>
      </c>
      <c r="G8">
        <f t="shared" si="1"/>
        <v>9.0313232277519813</v>
      </c>
      <c r="H8">
        <f t="shared" si="2"/>
        <v>0.10562194763831495</v>
      </c>
      <c r="I8">
        <v>4.2015298921332267E-2</v>
      </c>
      <c r="J8">
        <v>2980.6710327148439</v>
      </c>
      <c r="K8">
        <v>0.75326326682307521</v>
      </c>
      <c r="L8">
        <v>0</v>
      </c>
      <c r="M8">
        <v>0</v>
      </c>
      <c r="N8">
        <v>669.50599999999997</v>
      </c>
      <c r="O8">
        <v>0.16919487967053917</v>
      </c>
      <c r="P8">
        <v>295.101</v>
      </c>
      <c r="Q8">
        <v>7.4576744921861463E-2</v>
      </c>
      <c r="R8">
        <v>1336.268</v>
      </c>
      <c r="S8">
        <v>0.33769630663144479</v>
      </c>
      <c r="T8">
        <v>255.92199999999997</v>
      </c>
      <c r="U8">
        <v>126.503</v>
      </c>
      <c r="V8">
        <v>93.840450000000004</v>
      </c>
      <c r="W8">
        <v>2.3714983354860525E-2</v>
      </c>
    </row>
    <row r="9" spans="1:23" x14ac:dyDescent="0.2">
      <c r="A9" t="s">
        <v>203</v>
      </c>
      <c r="B9">
        <v>2436.4575</v>
      </c>
      <c r="C9">
        <v>562.17899999999997</v>
      </c>
      <c r="D9">
        <v>777.6</v>
      </c>
      <c r="E9">
        <v>824</v>
      </c>
      <c r="F9">
        <f t="shared" si="0"/>
        <v>3.1333043981481481</v>
      </c>
      <c r="G9">
        <f t="shared" si="1"/>
        <v>2.9568658980582523</v>
      </c>
      <c r="H9">
        <f t="shared" si="2"/>
        <v>0.38318934005005534</v>
      </c>
      <c r="I9">
        <v>5.967078189300401E-2</v>
      </c>
      <c r="J9">
        <v>266.30000152587888</v>
      </c>
      <c r="K9">
        <v>0.34246399373184011</v>
      </c>
      <c r="L9">
        <v>0</v>
      </c>
      <c r="M9">
        <v>0</v>
      </c>
      <c r="N9">
        <v>41.767000000000003</v>
      </c>
      <c r="O9">
        <v>5.3712705761316877E-2</v>
      </c>
      <c r="P9">
        <v>117.626</v>
      </c>
      <c r="Q9">
        <v>0.15126800411522634</v>
      </c>
      <c r="R9">
        <v>119.85900000000001</v>
      </c>
      <c r="S9">
        <v>0.15413966049382716</v>
      </c>
      <c r="T9" t="s">
        <v>480</v>
      </c>
      <c r="U9">
        <v>99.828999999999994</v>
      </c>
      <c r="V9">
        <v>92.1</v>
      </c>
      <c r="W9">
        <v>0.11844135802469134</v>
      </c>
    </row>
    <row r="10" spans="1:23" x14ac:dyDescent="0.2">
      <c r="A10" t="s">
        <v>279</v>
      </c>
      <c r="B10">
        <v>1360.3652</v>
      </c>
      <c r="C10">
        <v>178.64599999999999</v>
      </c>
      <c r="D10">
        <v>225.61</v>
      </c>
      <c r="E10">
        <v>255.92000000000002</v>
      </c>
      <c r="F10">
        <f t="shared" si="0"/>
        <v>6.0297203138158766</v>
      </c>
      <c r="G10">
        <f t="shared" si="1"/>
        <v>5.3155876836511409</v>
      </c>
      <c r="H10">
        <f t="shared" si="2"/>
        <v>0.26288861771324312</v>
      </c>
      <c r="I10">
        <v>0.13434688178715493</v>
      </c>
      <c r="J10">
        <v>161.06200064086914</v>
      </c>
      <c r="K10">
        <v>0.71389566349394595</v>
      </c>
      <c r="L10">
        <v>68.171999999999997</v>
      </c>
      <c r="M10">
        <v>0.30216745711626253</v>
      </c>
      <c r="N10">
        <v>84.161000000000001</v>
      </c>
      <c r="O10">
        <v>0.37303754266211603</v>
      </c>
      <c r="P10">
        <v>39.594000000000001</v>
      </c>
      <c r="Q10">
        <v>0.17549754000265946</v>
      </c>
      <c r="R10">
        <v>-48.74664556962</v>
      </c>
      <c r="S10">
        <v>-0.21606597921023002</v>
      </c>
      <c r="T10">
        <v>-0.20499999999999918</v>
      </c>
      <c r="U10">
        <v>60.332999999999998</v>
      </c>
      <c r="V10">
        <v>-53.88</v>
      </c>
      <c r="W10">
        <v>-0.23881920127653916</v>
      </c>
    </row>
    <row r="11" spans="1:23" x14ac:dyDescent="0.2">
      <c r="A11" t="s">
        <v>563</v>
      </c>
      <c r="B11">
        <v>4154.2816999999995</v>
      </c>
      <c r="C11">
        <v>290.10300000000001</v>
      </c>
      <c r="D11">
        <v>513.48300000000006</v>
      </c>
      <c r="E11">
        <v>674.78300000000002</v>
      </c>
      <c r="F11">
        <f t="shared" si="0"/>
        <v>8.0903977346864426</v>
      </c>
      <c r="G11">
        <f t="shared" si="1"/>
        <v>6.1564705986961723</v>
      </c>
      <c r="H11">
        <f t="shared" si="2"/>
        <v>0.77000237846557962</v>
      </c>
      <c r="I11">
        <v>0.31412919220305247</v>
      </c>
      <c r="J11">
        <v>418.44500848388674</v>
      </c>
      <c r="K11">
        <v>0.81491501857683057</v>
      </c>
      <c r="L11">
        <v>153.63499999999999</v>
      </c>
      <c r="M11">
        <v>0.29920172624994396</v>
      </c>
      <c r="N11">
        <v>204.435</v>
      </c>
      <c r="O11">
        <v>0.39813392069455072</v>
      </c>
      <c r="P11">
        <v>48.186</v>
      </c>
      <c r="Q11">
        <v>9.3841470895823217E-2</v>
      </c>
      <c r="R11">
        <v>-27.757000000000005</v>
      </c>
      <c r="S11">
        <v>-5.4056317346436011E-2</v>
      </c>
      <c r="T11">
        <v>88.836999999999989</v>
      </c>
      <c r="U11">
        <v>85.22999999999999</v>
      </c>
      <c r="V11">
        <v>-41.129518560316001</v>
      </c>
      <c r="W11">
        <v>-8.0099085189414249E-2</v>
      </c>
    </row>
    <row r="12" spans="1:23" x14ac:dyDescent="0.2">
      <c r="A12" t="s">
        <v>33</v>
      </c>
      <c r="B12">
        <v>25456.8783</v>
      </c>
      <c r="C12">
        <v>1156.69</v>
      </c>
      <c r="D12">
        <v>2428.232</v>
      </c>
      <c r="E12">
        <v>3119.846</v>
      </c>
      <c r="F12">
        <f t="shared" si="0"/>
        <v>10.483709258423414</v>
      </c>
      <c r="G12">
        <f t="shared" si="1"/>
        <v>8.1596586177651069</v>
      </c>
      <c r="H12">
        <f t="shared" si="2"/>
        <v>1.0992936741910104</v>
      </c>
      <c r="I12">
        <v>0.28482204336323713</v>
      </c>
      <c r="J12">
        <v>1715.5240270996094</v>
      </c>
      <c r="K12">
        <v>0.70649098895806062</v>
      </c>
      <c r="L12">
        <v>910.58399999999995</v>
      </c>
      <c r="M12">
        <v>0.37499876453320768</v>
      </c>
      <c r="N12">
        <v>683.36699999999996</v>
      </c>
      <c r="O12">
        <v>0.28142574515120466</v>
      </c>
      <c r="P12">
        <v>222.90899999999999</v>
      </c>
      <c r="Q12">
        <v>9.1798889068260364E-2</v>
      </c>
      <c r="R12">
        <v>-107.83699999999999</v>
      </c>
      <c r="S12">
        <v>-4.4409677493748537E-2</v>
      </c>
      <c r="T12">
        <v>288.99900000000002</v>
      </c>
      <c r="U12">
        <v>1134.355</v>
      </c>
      <c r="V12">
        <v>-334.86065359999998</v>
      </c>
      <c r="W12">
        <v>-0.137903072523548</v>
      </c>
    </row>
    <row r="13" spans="1:23" x14ac:dyDescent="0.2">
      <c r="A13" t="s">
        <v>241</v>
      </c>
      <c r="B13">
        <v>1637.1987999999999</v>
      </c>
      <c r="C13">
        <v>164.45599999999999</v>
      </c>
      <c r="D13">
        <v>242.52799999999999</v>
      </c>
      <c r="E13">
        <v>285.279</v>
      </c>
      <c r="F13">
        <f t="shared" si="0"/>
        <v>6.7505558121124158</v>
      </c>
      <c r="G13">
        <f t="shared" si="1"/>
        <v>5.7389390736787496</v>
      </c>
      <c r="H13">
        <f t="shared" si="2"/>
        <v>0.47472880284088148</v>
      </c>
      <c r="I13">
        <v>0.1762724303997889</v>
      </c>
      <c r="J13">
        <v>218.322998046875</v>
      </c>
      <c r="K13">
        <v>0.90019708259201003</v>
      </c>
      <c r="L13">
        <v>47.369</v>
      </c>
      <c r="M13">
        <v>0.19531353080881383</v>
      </c>
      <c r="N13">
        <v>135.89599999999999</v>
      </c>
      <c r="O13">
        <v>0.56033117825570655</v>
      </c>
      <c r="P13">
        <v>26.823</v>
      </c>
      <c r="Q13">
        <v>0.11059753925319964</v>
      </c>
      <c r="R13">
        <v>-20.379999999999995</v>
      </c>
      <c r="S13">
        <v>-8.4031534503232599E-2</v>
      </c>
      <c r="T13">
        <v>16.852999999999998</v>
      </c>
      <c r="U13">
        <v>56.689</v>
      </c>
      <c r="V13">
        <v>-25.522279999999999</v>
      </c>
      <c r="W13">
        <v>-0.10523436469191186</v>
      </c>
    </row>
    <row r="14" spans="1:23" x14ac:dyDescent="0.2">
      <c r="A14" t="s">
        <v>17</v>
      </c>
      <c r="B14">
        <v>49272.508399999999</v>
      </c>
      <c r="C14">
        <v>7093</v>
      </c>
      <c r="D14">
        <v>8467</v>
      </c>
      <c r="E14">
        <v>9081.755000000001</v>
      </c>
      <c r="F14">
        <f t="shared" si="0"/>
        <v>5.8193584976969408</v>
      </c>
      <c r="G14">
        <f t="shared" si="1"/>
        <v>5.4254390698714063</v>
      </c>
      <c r="H14">
        <f t="shared" si="2"/>
        <v>0.19371211053150994</v>
      </c>
      <c r="I14">
        <v>7.2605999763788898E-2</v>
      </c>
      <c r="J14">
        <v>7285</v>
      </c>
      <c r="K14">
        <v>0.8603991968820125</v>
      </c>
      <c r="L14">
        <v>1755</v>
      </c>
      <c r="M14">
        <v>0.20727530412188497</v>
      </c>
      <c r="N14">
        <v>2593</v>
      </c>
      <c r="O14">
        <v>0.30624778552025511</v>
      </c>
      <c r="P14">
        <v>654</v>
      </c>
      <c r="Q14">
        <v>7.7241053501830637E-2</v>
      </c>
      <c r="R14">
        <v>2515</v>
      </c>
      <c r="S14">
        <v>0.29703554978150465</v>
      </c>
      <c r="T14">
        <v>3221</v>
      </c>
      <c r="U14">
        <v>5971</v>
      </c>
      <c r="V14">
        <v>3395.5353242424239</v>
      </c>
      <c r="W14">
        <v>0.40103169059199528</v>
      </c>
    </row>
    <row r="15" spans="1:23" x14ac:dyDescent="0.2">
      <c r="A15" t="s">
        <v>588</v>
      </c>
      <c r="B15">
        <v>11492.5267</v>
      </c>
      <c r="C15">
        <v>409.221</v>
      </c>
      <c r="D15">
        <v>766.22400000000005</v>
      </c>
      <c r="E15">
        <v>912.07100000000003</v>
      </c>
      <c r="F15">
        <f t="shared" si="0"/>
        <v>14.998912459019817</v>
      </c>
      <c r="G15">
        <f t="shared" si="1"/>
        <v>12.600473756977253</v>
      </c>
      <c r="H15">
        <f t="shared" si="2"/>
        <v>0.87239657788823166</v>
      </c>
      <c r="I15">
        <v>0.19034512100899992</v>
      </c>
      <c r="J15">
        <v>534.71100567626956</v>
      </c>
      <c r="K15">
        <v>0.69785207155645024</v>
      </c>
      <c r="L15">
        <v>132.05099999999999</v>
      </c>
      <c r="M15">
        <v>0.17233994236672301</v>
      </c>
      <c r="N15">
        <v>130.898</v>
      </c>
      <c r="O15">
        <v>0.1708351604752657</v>
      </c>
      <c r="P15">
        <v>60.390999999999998</v>
      </c>
      <c r="Q15">
        <v>7.8816377456200792E-2</v>
      </c>
      <c r="R15">
        <v>188.203</v>
      </c>
      <c r="S15">
        <v>0.24562399507193719</v>
      </c>
      <c r="T15">
        <v>274.41300000000001</v>
      </c>
      <c r="U15">
        <v>320.18299999999999</v>
      </c>
      <c r="V15">
        <v>162.85600955123999</v>
      </c>
      <c r="W15">
        <v>0.21254360285143767</v>
      </c>
    </row>
    <row r="16" spans="1:23" x14ac:dyDescent="0.2">
      <c r="A16" t="s">
        <v>331</v>
      </c>
      <c r="B16">
        <v>789.97940000000006</v>
      </c>
      <c r="C16">
        <v>74.766999999999996</v>
      </c>
      <c r="D16">
        <v>121.47999999999999</v>
      </c>
      <c r="E16">
        <v>163.429</v>
      </c>
      <c r="F16">
        <f t="shared" si="0"/>
        <v>6.5029585116891679</v>
      </c>
      <c r="G16">
        <f t="shared" si="1"/>
        <v>4.8337773589754578</v>
      </c>
      <c r="H16">
        <f t="shared" si="2"/>
        <v>0.62478098626399348</v>
      </c>
      <c r="I16">
        <v>0.34531610141587099</v>
      </c>
      <c r="J16">
        <v>81.369998809814447</v>
      </c>
      <c r="K16">
        <v>0.66982218315619402</v>
      </c>
      <c r="L16">
        <v>15.253</v>
      </c>
      <c r="M16">
        <v>0.12555976292393811</v>
      </c>
      <c r="N16">
        <v>15.307</v>
      </c>
      <c r="O16">
        <v>0.12600428054000659</v>
      </c>
      <c r="P16">
        <v>23.291</v>
      </c>
      <c r="Q16">
        <v>0.19172703325650314</v>
      </c>
      <c r="R16">
        <v>25.582999999999998</v>
      </c>
      <c r="S16">
        <v>0.210594336516299</v>
      </c>
      <c r="T16">
        <v>5.1309999999999993</v>
      </c>
      <c r="U16">
        <v>22.326000000000001</v>
      </c>
      <c r="V16">
        <v>-2.0403708767979998</v>
      </c>
      <c r="W16">
        <v>-1.6795940704626276E-2</v>
      </c>
    </row>
    <row r="17" spans="1:23" x14ac:dyDescent="0.2">
      <c r="A17" t="s">
        <v>87</v>
      </c>
      <c r="B17">
        <v>8730.4277999999995</v>
      </c>
      <c r="C17">
        <v>781.29100000000005</v>
      </c>
      <c r="D17">
        <v>1035.461</v>
      </c>
      <c r="E17">
        <v>1245.01</v>
      </c>
      <c r="F17">
        <f t="shared" si="0"/>
        <v>8.4314404888257499</v>
      </c>
      <c r="G17">
        <f t="shared" si="1"/>
        <v>7.0123354832491298</v>
      </c>
      <c r="H17">
        <f t="shared" si="2"/>
        <v>0.32532052717873361</v>
      </c>
      <c r="I17">
        <v>0.20237266299744738</v>
      </c>
      <c r="J17">
        <v>648.36900695800773</v>
      </c>
      <c r="K17">
        <v>0.62616458462270208</v>
      </c>
      <c r="L17">
        <v>150.583</v>
      </c>
      <c r="M17">
        <v>0.14542604694913666</v>
      </c>
      <c r="N17">
        <v>269.78100000000001</v>
      </c>
      <c r="O17">
        <v>0.26054192287300054</v>
      </c>
      <c r="P17">
        <v>122.119</v>
      </c>
      <c r="Q17">
        <v>0.11793684165796683</v>
      </c>
      <c r="R17">
        <v>114.41199999999999</v>
      </c>
      <c r="S17">
        <v>0.11049378006511108</v>
      </c>
      <c r="T17">
        <v>172.06</v>
      </c>
      <c r="U17">
        <v>155.685</v>
      </c>
      <c r="V17">
        <v>46.960708818636007</v>
      </c>
      <c r="W17">
        <v>4.5352465055309668E-2</v>
      </c>
    </row>
    <row r="18" spans="1:23" x14ac:dyDescent="0.2">
      <c r="A18" t="s">
        <v>602</v>
      </c>
      <c r="B18">
        <v>11136.6034</v>
      </c>
      <c r="C18">
        <v>1393.9970000000001</v>
      </c>
      <c r="D18">
        <v>2027.4701488016447</v>
      </c>
      <c r="E18">
        <v>2646.6010000000001</v>
      </c>
      <c r="F18">
        <f t="shared" si="0"/>
        <v>5.4928569017809679</v>
      </c>
      <c r="G18">
        <f t="shared" si="1"/>
        <v>4.2078890622349192</v>
      </c>
      <c r="H18">
        <f t="shared" si="2"/>
        <v>0.45442934870135626</v>
      </c>
      <c r="I18">
        <v>0.30537113040322628</v>
      </c>
      <c r="J18">
        <v>1679.9929314420062</v>
      </c>
      <c r="K18">
        <v>0.82861537193777279</v>
      </c>
      <c r="L18">
        <v>808.46222965286324</v>
      </c>
      <c r="M18">
        <v>0.39875419627298209</v>
      </c>
      <c r="N18">
        <v>397.17667897950406</v>
      </c>
      <c r="O18">
        <v>0.19589767041169956</v>
      </c>
      <c r="P18">
        <v>169.33572698676082</v>
      </c>
      <c r="Q18">
        <v>8.3520700458573113E-2</v>
      </c>
      <c r="R18">
        <v>942.26823079258611</v>
      </c>
      <c r="S18">
        <v>0.46475072954811325</v>
      </c>
      <c r="T18">
        <v>809.69499999999994</v>
      </c>
      <c r="U18">
        <v>746.93899999999996</v>
      </c>
      <c r="V18">
        <v>205.69174478129477</v>
      </c>
      <c r="W18">
        <v>0.10145241590998064</v>
      </c>
    </row>
    <row r="19" spans="1:23" x14ac:dyDescent="0.2">
      <c r="A19" t="s">
        <v>317</v>
      </c>
      <c r="B19">
        <v>759.31349999999998</v>
      </c>
      <c r="C19">
        <v>203.441</v>
      </c>
      <c r="D19">
        <v>242.89300000000003</v>
      </c>
      <c r="E19">
        <v>247.21700000000001</v>
      </c>
      <c r="F19">
        <f t="shared" si="0"/>
        <v>3.1261234370689972</v>
      </c>
      <c r="G19">
        <f t="shared" si="1"/>
        <v>3.0714453294069579</v>
      </c>
      <c r="H19">
        <f t="shared" si="2"/>
        <v>0.19392354540136958</v>
      </c>
      <c r="I19">
        <v>1.7802077457975241E-2</v>
      </c>
      <c r="J19">
        <v>197.1649987182617</v>
      </c>
      <c r="K19">
        <v>0.8117360266383209</v>
      </c>
      <c r="L19">
        <v>37.662999999999997</v>
      </c>
      <c r="M19">
        <v>0.15506004701658752</v>
      </c>
      <c r="N19">
        <v>91.507999999999996</v>
      </c>
      <c r="O19">
        <v>0.37674202220730935</v>
      </c>
      <c r="P19">
        <v>46.557000000000002</v>
      </c>
      <c r="Q19">
        <v>0.19167699357330181</v>
      </c>
      <c r="R19">
        <v>40.060203810127</v>
      </c>
      <c r="S19">
        <v>0.16492942904952795</v>
      </c>
      <c r="T19" t="s">
        <v>480</v>
      </c>
      <c r="U19">
        <v>82.822000000000003</v>
      </c>
      <c r="V19">
        <v>15.346821010000001</v>
      </c>
      <c r="W19">
        <v>6.3183463541559445E-2</v>
      </c>
    </row>
    <row r="20" spans="1:23" x14ac:dyDescent="0.2">
      <c r="A20" t="s">
        <v>161</v>
      </c>
      <c r="B20">
        <v>3162.8121999999998</v>
      </c>
      <c r="C20">
        <v>205.864</v>
      </c>
      <c r="D20">
        <v>346.63900000000001</v>
      </c>
      <c r="E20">
        <v>473.83300000000003</v>
      </c>
      <c r="F20">
        <f t="shared" si="0"/>
        <v>9.1242249141037206</v>
      </c>
      <c r="G20">
        <f t="shared" si="1"/>
        <v>6.6749513014078792</v>
      </c>
      <c r="H20">
        <f t="shared" si="2"/>
        <v>0.68382524385030896</v>
      </c>
      <c r="I20">
        <v>0.3669350534706135</v>
      </c>
      <c r="J20">
        <v>287.72500283813474</v>
      </c>
      <c r="K20">
        <v>0.83004221347896434</v>
      </c>
      <c r="L20">
        <v>45.925999999999995</v>
      </c>
      <c r="M20">
        <v>0.13248941982869786</v>
      </c>
      <c r="N20">
        <v>150.923</v>
      </c>
      <c r="O20">
        <v>0.4353895551279573</v>
      </c>
      <c r="P20">
        <v>62.664999999999999</v>
      </c>
      <c r="Q20">
        <v>0.18077885061980908</v>
      </c>
      <c r="R20">
        <v>-26.742999999999999</v>
      </c>
      <c r="S20">
        <v>-7.7149426348448957E-2</v>
      </c>
      <c r="T20" t="s">
        <v>480</v>
      </c>
      <c r="U20">
        <v>223.36999999999998</v>
      </c>
      <c r="V20">
        <v>-47.448000000000008</v>
      </c>
      <c r="W20">
        <v>-0.13688015485851276</v>
      </c>
    </row>
    <row r="21" spans="1:23" x14ac:dyDescent="0.2">
      <c r="A21" t="s">
        <v>559</v>
      </c>
      <c r="B21">
        <v>6079.7704000000003</v>
      </c>
      <c r="C21">
        <v>277.33499999999998</v>
      </c>
      <c r="D21">
        <v>492.64800000000002</v>
      </c>
      <c r="E21">
        <v>667.76099999999997</v>
      </c>
      <c r="F21">
        <f t="shared" si="0"/>
        <v>12.341002906740716</v>
      </c>
      <c r="G21">
        <f t="shared" si="1"/>
        <v>9.104710218176864</v>
      </c>
      <c r="H21">
        <f t="shared" si="2"/>
        <v>0.7763643247336256</v>
      </c>
      <c r="I21">
        <v>0.35545257465776769</v>
      </c>
      <c r="J21">
        <v>261.8499954833984</v>
      </c>
      <c r="K21">
        <v>0.5315153933100274</v>
      </c>
      <c r="L21">
        <v>120.73899999999999</v>
      </c>
      <c r="M21">
        <v>0.24508168103798247</v>
      </c>
      <c r="N21">
        <v>100.669</v>
      </c>
      <c r="O21">
        <v>0.20434265439015278</v>
      </c>
      <c r="P21">
        <v>59.619</v>
      </c>
      <c r="Q21">
        <v>0.12101744044429287</v>
      </c>
      <c r="R21">
        <v>-68.85692307692301</v>
      </c>
      <c r="S21">
        <v>-0.13976900967206404</v>
      </c>
      <c r="T21">
        <v>12.943999999999999</v>
      </c>
      <c r="U21">
        <v>115.286</v>
      </c>
      <c r="V21">
        <v>-90.092929999999996</v>
      </c>
      <c r="W21">
        <v>-0.1828748518211786</v>
      </c>
    </row>
    <row r="22" spans="1:23" x14ac:dyDescent="0.2">
      <c r="A22" t="s">
        <v>598</v>
      </c>
      <c r="B22">
        <v>11310.248799999999</v>
      </c>
      <c r="C22">
        <v>1413.6980000000001</v>
      </c>
      <c r="D22">
        <v>1762.6579999999999</v>
      </c>
      <c r="E22">
        <v>3002.8670000000002</v>
      </c>
      <c r="F22">
        <f t="shared" si="0"/>
        <v>6.4165872222518496</v>
      </c>
      <c r="G22">
        <f t="shared" si="1"/>
        <v>3.766483430668091</v>
      </c>
      <c r="H22">
        <f t="shared" si="2"/>
        <v>0.24684197049157583</v>
      </c>
      <c r="I22">
        <v>0.70360160621062073</v>
      </c>
      <c r="J22">
        <v>927.55099047851559</v>
      </c>
      <c r="K22">
        <v>0.52622289206330197</v>
      </c>
      <c r="L22">
        <v>196.37299999999999</v>
      </c>
      <c r="M22">
        <v>0.11140731781207699</v>
      </c>
      <c r="N22">
        <v>256.09199999999998</v>
      </c>
      <c r="O22">
        <v>0.14528740118616318</v>
      </c>
      <c r="P22">
        <v>247.828</v>
      </c>
      <c r="Q22">
        <v>0.14059902715104122</v>
      </c>
      <c r="R22">
        <v>287.15600000000006</v>
      </c>
      <c r="S22">
        <v>0.16291078586997595</v>
      </c>
      <c r="T22">
        <v>128.85899999999998</v>
      </c>
      <c r="U22">
        <v>808.97299999999996</v>
      </c>
      <c r="V22">
        <v>192.85892999999999</v>
      </c>
      <c r="W22">
        <v>0.10941369794934695</v>
      </c>
    </row>
    <row r="23" spans="1:23" x14ac:dyDescent="0.2">
      <c r="A23" t="s">
        <v>603</v>
      </c>
      <c r="B23">
        <v>1498.6233999999999</v>
      </c>
      <c r="C23">
        <v>94.061999999999998</v>
      </c>
      <c r="D23">
        <v>169.74299999999999</v>
      </c>
      <c r="E23">
        <v>217.958</v>
      </c>
      <c r="F23">
        <f t="shared" si="0"/>
        <v>8.8287788008931152</v>
      </c>
      <c r="G23">
        <f t="shared" si="1"/>
        <v>6.8757439506693947</v>
      </c>
      <c r="H23">
        <f t="shared" si="2"/>
        <v>0.8045863366715571</v>
      </c>
      <c r="I23">
        <v>0.2840470593780009</v>
      </c>
      <c r="J23">
        <v>52.637000358581545</v>
      </c>
      <c r="K23">
        <v>0.3100982094023409</v>
      </c>
      <c r="L23">
        <v>5.6280000000000001</v>
      </c>
      <c r="M23">
        <v>3.3156006433254982E-2</v>
      </c>
      <c r="N23">
        <v>5.5419999999999998</v>
      </c>
      <c r="O23">
        <v>3.2649358147316829E-2</v>
      </c>
      <c r="P23">
        <v>21.181000000000001</v>
      </c>
      <c r="Q23">
        <v>0.12478275981925618</v>
      </c>
      <c r="R23">
        <v>17.134</v>
      </c>
      <c r="S23">
        <v>0.10094083408446888</v>
      </c>
      <c r="T23">
        <v>7.0270000000000001</v>
      </c>
      <c r="U23">
        <v>10.43</v>
      </c>
      <c r="V23">
        <v>8.8915167711629994</v>
      </c>
      <c r="W23">
        <v>5.2382229436047437E-2</v>
      </c>
    </row>
    <row r="24" spans="1:23" x14ac:dyDescent="0.2">
      <c r="A24" t="s">
        <v>397</v>
      </c>
      <c r="B24">
        <v>128.17080000000001</v>
      </c>
      <c r="C24">
        <v>183.346</v>
      </c>
      <c r="D24">
        <v>106.17999999999999</v>
      </c>
      <c r="E24">
        <v>222.333</v>
      </c>
      <c r="F24">
        <f t="shared" si="0"/>
        <v>1.2071086833678661</v>
      </c>
      <c r="G24">
        <f t="shared" si="1"/>
        <v>0.57648122410978131</v>
      </c>
      <c r="H24">
        <f t="shared" si="2"/>
        <v>-0.4208763758140347</v>
      </c>
      <c r="I24">
        <v>1.0939254096816726</v>
      </c>
      <c r="J24">
        <v>43.949999134063717</v>
      </c>
      <c r="K24">
        <v>0.41391975074461967</v>
      </c>
      <c r="L24">
        <v>87.488</v>
      </c>
      <c r="M24">
        <v>0.82395931437182146</v>
      </c>
      <c r="N24">
        <v>20.748000000000001</v>
      </c>
      <c r="O24">
        <v>0.19540403089093994</v>
      </c>
      <c r="P24">
        <v>21.562000000000001</v>
      </c>
      <c r="Q24">
        <v>0.20307025805236392</v>
      </c>
      <c r="R24">
        <v>-82.265000000000001</v>
      </c>
      <c r="S24">
        <v>-0.77476925974759847</v>
      </c>
      <c r="T24">
        <v>-7.963000000000001</v>
      </c>
      <c r="U24">
        <v>17.117000000000001</v>
      </c>
      <c r="V24">
        <v>-86.175290000000004</v>
      </c>
      <c r="W24">
        <v>-0.81159625164814475</v>
      </c>
    </row>
    <row r="25" spans="1:23" x14ac:dyDescent="0.2">
      <c r="A25" t="s">
        <v>245</v>
      </c>
      <c r="B25">
        <v>1708.3059000000001</v>
      </c>
      <c r="C25">
        <v>105.98399999999999</v>
      </c>
      <c r="D25">
        <v>176.48500000000001</v>
      </c>
      <c r="E25">
        <v>232.17500000000001</v>
      </c>
      <c r="F25">
        <f t="shared" si="0"/>
        <v>9.679609598549451</v>
      </c>
      <c r="G25">
        <f t="shared" si="1"/>
        <v>7.357837407128244</v>
      </c>
      <c r="H25">
        <f t="shared" si="2"/>
        <v>0.66520418176328522</v>
      </c>
      <c r="I25">
        <v>0.31555089667677128</v>
      </c>
      <c r="J25">
        <v>135.33699801635743</v>
      </c>
      <c r="K25">
        <v>0.76684702958527584</v>
      </c>
      <c r="L25">
        <v>26.834999999999997</v>
      </c>
      <c r="M25">
        <v>0.15205258237243957</v>
      </c>
      <c r="N25">
        <v>86.891999999999996</v>
      </c>
      <c r="O25">
        <v>0.49234779159701952</v>
      </c>
      <c r="P25">
        <v>29.446000000000002</v>
      </c>
      <c r="Q25">
        <v>0.16684704082499929</v>
      </c>
      <c r="R25">
        <v>-30.723999999999997</v>
      </c>
      <c r="S25">
        <v>-0.17408844944329543</v>
      </c>
      <c r="T25">
        <v>-5.52</v>
      </c>
      <c r="U25">
        <v>87.024000000000001</v>
      </c>
      <c r="V25">
        <v>-34.695</v>
      </c>
      <c r="W25">
        <v>-0.19658894523613904</v>
      </c>
    </row>
    <row r="26" spans="1:23" x14ac:dyDescent="0.2">
      <c r="A26" t="s">
        <v>187</v>
      </c>
      <c r="B26">
        <v>2961.8824</v>
      </c>
      <c r="C26">
        <v>124.371</v>
      </c>
      <c r="D26">
        <v>187.727</v>
      </c>
      <c r="E26">
        <v>294.17700000000002</v>
      </c>
      <c r="F26">
        <f t="shared" si="0"/>
        <v>15.777604713227186</v>
      </c>
      <c r="G26">
        <f t="shared" si="1"/>
        <v>10.068368363264293</v>
      </c>
      <c r="H26">
        <f t="shared" si="2"/>
        <v>0.50941135795322068</v>
      </c>
      <c r="I26">
        <v>0.56704682863946054</v>
      </c>
      <c r="J26">
        <v>162.13900000000001</v>
      </c>
      <c r="K26">
        <v>0.86369568575644429</v>
      </c>
      <c r="L26">
        <v>57.672999999999995</v>
      </c>
      <c r="M26">
        <v>0.30721739547321375</v>
      </c>
      <c r="N26">
        <v>116.29900000000001</v>
      </c>
      <c r="O26">
        <v>0.61951131163870943</v>
      </c>
      <c r="P26">
        <v>28.927</v>
      </c>
      <c r="Q26">
        <v>0.15409078076142482</v>
      </c>
      <c r="R26">
        <v>-36.067999999999998</v>
      </c>
      <c r="S26">
        <v>-0.19213006120590004</v>
      </c>
      <c r="T26">
        <v>-9.0210000000000008</v>
      </c>
      <c r="U26">
        <v>27.209999999999997</v>
      </c>
      <c r="V26">
        <v>-41.021999999999998</v>
      </c>
      <c r="W26">
        <v>-0.21851944579096239</v>
      </c>
    </row>
    <row r="27" spans="1:23" x14ac:dyDescent="0.2">
      <c r="A27" t="s">
        <v>51</v>
      </c>
      <c r="B27">
        <v>15390.5118</v>
      </c>
      <c r="C27">
        <v>457.05799999999999</v>
      </c>
      <c r="D27">
        <v>947.42399999999998</v>
      </c>
      <c r="E27">
        <v>1254.6490000000001</v>
      </c>
      <c r="F27">
        <f t="shared" si="0"/>
        <v>16.244587217549903</v>
      </c>
      <c r="G27">
        <f t="shared" si="1"/>
        <v>12.266786806509231</v>
      </c>
      <c r="H27">
        <f t="shared" si="2"/>
        <v>1.0728747773805511</v>
      </c>
      <c r="I27">
        <v>0.32427403147904221</v>
      </c>
      <c r="J27">
        <v>769.6390129394531</v>
      </c>
      <c r="K27">
        <v>0.81234907806795387</v>
      </c>
      <c r="L27">
        <v>415.77599999999995</v>
      </c>
      <c r="M27">
        <v>0.43884892086330929</v>
      </c>
      <c r="N27">
        <v>187.99</v>
      </c>
      <c r="O27">
        <v>0.19842224811699938</v>
      </c>
      <c r="P27">
        <v>151.24199999999999</v>
      </c>
      <c r="Q27">
        <v>0.15963496808187252</v>
      </c>
      <c r="R27">
        <v>43.517999999999994</v>
      </c>
      <c r="S27">
        <v>4.5932971932313299E-2</v>
      </c>
      <c r="T27">
        <v>292.77500000000003</v>
      </c>
      <c r="U27">
        <v>1410.3389999999999</v>
      </c>
      <c r="V27">
        <v>-301.38798999999995</v>
      </c>
      <c r="W27">
        <v>-0.31811310458675307</v>
      </c>
    </row>
    <row r="28" spans="1:23" x14ac:dyDescent="0.2">
      <c r="A28" t="s">
        <v>73</v>
      </c>
      <c r="B28">
        <v>14628.111500000001</v>
      </c>
      <c r="C28">
        <v>3600</v>
      </c>
      <c r="D28">
        <v>4827</v>
      </c>
      <c r="E28">
        <v>4770.0380000000005</v>
      </c>
      <c r="F28">
        <f t="shared" si="0"/>
        <v>3.0304767971825153</v>
      </c>
      <c r="G28">
        <f t="shared" si="1"/>
        <v>3.066665611468923</v>
      </c>
      <c r="H28">
        <f t="shared" si="2"/>
        <v>0.34083333333333332</v>
      </c>
      <c r="I28">
        <v>-1.180070437124503E-2</v>
      </c>
      <c r="J28">
        <v>3803</v>
      </c>
      <c r="K28">
        <v>0.78785995442303713</v>
      </c>
      <c r="L28">
        <v>957</v>
      </c>
      <c r="M28">
        <v>0.19825978868862648</v>
      </c>
      <c r="N28">
        <v>1593</v>
      </c>
      <c r="O28">
        <v>0.33001864512119328</v>
      </c>
      <c r="P28">
        <v>578</v>
      </c>
      <c r="Q28">
        <v>0.11974311166355915</v>
      </c>
      <c r="R28">
        <v>1276</v>
      </c>
      <c r="S28">
        <v>0.26434638491816864</v>
      </c>
      <c r="T28">
        <v>966</v>
      </c>
      <c r="U28">
        <v>1774</v>
      </c>
      <c r="V28">
        <v>412.36329172576399</v>
      </c>
      <c r="W28">
        <v>8.5428483887666037E-2</v>
      </c>
    </row>
    <row r="29" spans="1:23" x14ac:dyDescent="0.2">
      <c r="A29" t="s">
        <v>285</v>
      </c>
      <c r="B29">
        <v>1236.1941999999999</v>
      </c>
      <c r="C29">
        <v>1460.037</v>
      </c>
      <c r="D29">
        <v>1637.712</v>
      </c>
      <c r="E29">
        <v>1656.5</v>
      </c>
      <c r="F29">
        <f t="shared" si="0"/>
        <v>0.75483003116543079</v>
      </c>
      <c r="G29">
        <f t="shared" si="1"/>
        <v>0.74626875943253845</v>
      </c>
      <c r="H29">
        <f t="shared" si="2"/>
        <v>0.12169212150103043</v>
      </c>
      <c r="I29">
        <v>1.147210254305997E-2</v>
      </c>
      <c r="J29">
        <v>553.73400109863292</v>
      </c>
      <c r="K29">
        <v>0.33811439441039259</v>
      </c>
      <c r="L29">
        <v>0</v>
      </c>
      <c r="M29">
        <v>0</v>
      </c>
      <c r="O29"/>
      <c r="P29">
        <v>376.863</v>
      </c>
      <c r="Q29">
        <v>0.23011555145227</v>
      </c>
      <c r="R29">
        <v>168.06400000000002</v>
      </c>
      <c r="S29">
        <v>0.10262121789423294</v>
      </c>
      <c r="T29">
        <v>53.613999999999997</v>
      </c>
      <c r="U29">
        <v>343.73399999999998</v>
      </c>
      <c r="V29">
        <v>71.187725335842003</v>
      </c>
      <c r="W29">
        <v>4.3467792466466634E-2</v>
      </c>
    </row>
    <row r="30" spans="1:23" x14ac:dyDescent="0.2">
      <c r="A30" t="s">
        <v>353</v>
      </c>
      <c r="B30">
        <v>388.22890000000001</v>
      </c>
      <c r="C30">
        <v>15.507</v>
      </c>
      <c r="D30">
        <v>29.199000000000002</v>
      </c>
      <c r="E30">
        <v>39.658999999999999</v>
      </c>
      <c r="F30">
        <f t="shared" si="0"/>
        <v>13.295965615260796</v>
      </c>
      <c r="G30">
        <f t="shared" si="1"/>
        <v>9.7891752187397572</v>
      </c>
      <c r="H30">
        <f t="shared" si="2"/>
        <v>0.88295608434900386</v>
      </c>
      <c r="I30">
        <v>0.35823144628240677</v>
      </c>
      <c r="J30">
        <v>15.933999778747559</v>
      </c>
      <c r="K30">
        <v>0.54570361240958798</v>
      </c>
      <c r="L30">
        <v>4.1589999999999998</v>
      </c>
      <c r="M30">
        <v>0.14243638480769888</v>
      </c>
      <c r="N30">
        <v>6.1790000000000003</v>
      </c>
      <c r="O30">
        <v>0.2116168361930203</v>
      </c>
      <c r="P30">
        <v>5.5949999999999998</v>
      </c>
      <c r="Q30">
        <v>0.19161615123805609</v>
      </c>
      <c r="R30">
        <v>0.91400000000000003</v>
      </c>
      <c r="S30">
        <v>3.130244186444741E-2</v>
      </c>
      <c r="T30">
        <v>-10.175999999999998</v>
      </c>
      <c r="U30">
        <v>19.567</v>
      </c>
      <c r="V30">
        <v>-4.5880099999999997</v>
      </c>
      <c r="W30">
        <v>-0.15712901126750914</v>
      </c>
    </row>
    <row r="31" spans="1:23" x14ac:dyDescent="0.2">
      <c r="A31" t="s">
        <v>71</v>
      </c>
      <c r="B31">
        <v>18277.499500000002</v>
      </c>
      <c r="C31">
        <v>1481.4359999999999</v>
      </c>
      <c r="D31">
        <v>2174.3449999999998</v>
      </c>
      <c r="E31">
        <v>4355.393</v>
      </c>
      <c r="F31">
        <f t="shared" si="0"/>
        <v>8.405979501872979</v>
      </c>
      <c r="G31">
        <f t="shared" si="1"/>
        <v>4.1965213012924441</v>
      </c>
      <c r="H31">
        <f t="shared" si="2"/>
        <v>0.46772793424758136</v>
      </c>
      <c r="I31">
        <v>1.003082767454107</v>
      </c>
      <c r="J31">
        <v>895.99100952148433</v>
      </c>
      <c r="K31">
        <v>0.4120739852790079</v>
      </c>
      <c r="L31">
        <v>153.334</v>
      </c>
      <c r="M31">
        <v>7.0519627749966091E-2</v>
      </c>
      <c r="N31">
        <v>118.449</v>
      </c>
      <c r="O31">
        <v>5.4475715675295321E-2</v>
      </c>
      <c r="P31">
        <v>120.17400000000001</v>
      </c>
      <c r="Q31">
        <v>5.5269058038167826E-2</v>
      </c>
      <c r="R31">
        <v>748.41300000000001</v>
      </c>
      <c r="S31">
        <v>0.34420158714463439</v>
      </c>
      <c r="T31">
        <v>419.84499999999997</v>
      </c>
      <c r="U31">
        <v>64.057000000000002</v>
      </c>
      <c r="V31">
        <v>260.79930813918901</v>
      </c>
      <c r="W31">
        <v>0.11994384890125027</v>
      </c>
    </row>
    <row r="32" spans="1:23" x14ac:dyDescent="0.2">
      <c r="A32" t="s">
        <v>587</v>
      </c>
      <c r="B32">
        <v>28442.0455</v>
      </c>
      <c r="C32">
        <v>1708.721</v>
      </c>
      <c r="D32">
        <v>2684.7350000000001</v>
      </c>
      <c r="E32">
        <v>1858.0640000000001</v>
      </c>
      <c r="F32">
        <f t="shared" si="0"/>
        <v>10.593986184856233</v>
      </c>
      <c r="G32">
        <f t="shared" si="1"/>
        <v>15.307355128779202</v>
      </c>
      <c r="H32">
        <f t="shared" si="2"/>
        <v>0.57119564867523731</v>
      </c>
      <c r="I32">
        <v>-0.30791530635239606</v>
      </c>
      <c r="J32">
        <v>1029.4319973144532</v>
      </c>
      <c r="K32">
        <v>0.38343896038694808</v>
      </c>
      <c r="L32">
        <v>321.88799999999998</v>
      </c>
      <c r="M32">
        <v>0.11989563215736375</v>
      </c>
      <c r="N32">
        <v>253.17</v>
      </c>
      <c r="O32">
        <v>9.4299809850879129E-2</v>
      </c>
      <c r="P32">
        <v>250.553</v>
      </c>
      <c r="Q32">
        <v>9.3325039529041032E-2</v>
      </c>
      <c r="R32">
        <v>-3.8120000000000012</v>
      </c>
      <c r="S32">
        <v>-1.4198794294408949E-3</v>
      </c>
      <c r="T32">
        <v>72.408999999999992</v>
      </c>
      <c r="U32">
        <v>696.47399999999993</v>
      </c>
      <c r="V32">
        <v>-55.131</v>
      </c>
      <c r="W32">
        <v>-2.0534987624476902E-2</v>
      </c>
    </row>
    <row r="33" spans="1:23" x14ac:dyDescent="0.2">
      <c r="A33" t="s">
        <v>271</v>
      </c>
      <c r="B33">
        <v>1335.0657000000001</v>
      </c>
      <c r="C33">
        <v>193.29499999999999</v>
      </c>
      <c r="D33">
        <v>234.53299999999999</v>
      </c>
      <c r="E33">
        <v>255.227</v>
      </c>
      <c r="F33">
        <f t="shared" si="0"/>
        <v>5.6924428545236712</v>
      </c>
      <c r="G33">
        <f t="shared" si="1"/>
        <v>5.2308952422745243</v>
      </c>
      <c r="H33">
        <f t="shared" si="2"/>
        <v>0.21334230062857293</v>
      </c>
      <c r="I33">
        <v>8.8234917900679388E-2</v>
      </c>
      <c r="J33">
        <v>156.26900183105468</v>
      </c>
      <c r="K33">
        <v>0.666298567071818</v>
      </c>
      <c r="L33">
        <v>23.183</v>
      </c>
      <c r="M33">
        <v>9.8847496940729029E-2</v>
      </c>
      <c r="N33">
        <v>73.295000000000002</v>
      </c>
      <c r="O33">
        <v>0.31251465678603868</v>
      </c>
      <c r="P33">
        <v>37.460999999999999</v>
      </c>
      <c r="Q33">
        <v>0.15972592343081785</v>
      </c>
      <c r="R33">
        <v>24.942</v>
      </c>
      <c r="S33">
        <v>0.10634750760020978</v>
      </c>
      <c r="T33">
        <v>34.721000000000004</v>
      </c>
      <c r="U33">
        <v>123.127</v>
      </c>
      <c r="V33">
        <v>10.046000000000001</v>
      </c>
      <c r="W33">
        <v>4.2834057467392654E-2</v>
      </c>
    </row>
    <row r="34" spans="1:23" x14ac:dyDescent="0.2">
      <c r="A34" t="s">
        <v>57</v>
      </c>
      <c r="B34">
        <v>12778.339900000001</v>
      </c>
      <c r="C34">
        <v>668.43499999999995</v>
      </c>
      <c r="D34">
        <v>1448.318</v>
      </c>
      <c r="E34">
        <v>1866.8810000000001</v>
      </c>
      <c r="F34">
        <f t="shared" ref="F34:F65" si="3">B34/D34</f>
        <v>8.8228827508875813</v>
      </c>
      <c r="G34">
        <f t="shared" ref="G34:G65" si="4">B34/E34</f>
        <v>6.8447533077898379</v>
      </c>
      <c r="H34">
        <f t="shared" ref="H34:H65" si="5">(D34-C34)/C34</f>
        <v>1.1667297493398761</v>
      </c>
      <c r="I34">
        <v>0.28899937720859659</v>
      </c>
      <c r="J34">
        <v>1148.2299877929688</v>
      </c>
      <c r="K34">
        <v>0.79280240098719257</v>
      </c>
      <c r="L34">
        <v>301.11399999999998</v>
      </c>
      <c r="M34">
        <v>0.20790599854451852</v>
      </c>
      <c r="N34">
        <v>808.41700000000003</v>
      </c>
      <c r="O34">
        <v>0.55817645019947282</v>
      </c>
      <c r="P34">
        <v>159.143</v>
      </c>
      <c r="Q34">
        <v>0.10988125535966549</v>
      </c>
      <c r="R34">
        <v>-257.30799999999999</v>
      </c>
      <c r="S34">
        <v>-0.17765987856258086</v>
      </c>
      <c r="T34">
        <v>293.40800000000002</v>
      </c>
      <c r="U34">
        <v>545.947</v>
      </c>
      <c r="V34">
        <v>-319.97310999999996</v>
      </c>
      <c r="W34">
        <v>-0.22092738611271831</v>
      </c>
    </row>
    <row r="35" spans="1:23" x14ac:dyDescent="0.2">
      <c r="A35" t="s">
        <v>63</v>
      </c>
      <c r="B35">
        <v>13254.6572</v>
      </c>
      <c r="C35">
        <v>2422.5320000000002</v>
      </c>
      <c r="D35">
        <v>3022.62</v>
      </c>
      <c r="E35">
        <v>3239.1</v>
      </c>
      <c r="F35">
        <f t="shared" si="3"/>
        <v>4.3851549979818829</v>
      </c>
      <c r="G35">
        <f t="shared" si="4"/>
        <v>4.0920802692105829</v>
      </c>
      <c r="H35">
        <f t="shared" si="5"/>
        <v>0.24771107254723557</v>
      </c>
      <c r="I35">
        <v>7.1619985310756862E-2</v>
      </c>
      <c r="J35">
        <v>2310.4400556640626</v>
      </c>
      <c r="K35">
        <v>0.76438323562474364</v>
      </c>
      <c r="L35">
        <v>908.84100000000001</v>
      </c>
      <c r="M35">
        <v>0.30067987375191063</v>
      </c>
      <c r="N35">
        <v>549.24800000000005</v>
      </c>
      <c r="O35">
        <v>0.18171255400943553</v>
      </c>
      <c r="P35">
        <v>196.84399999999999</v>
      </c>
      <c r="Q35">
        <v>6.5123634462817021E-2</v>
      </c>
      <c r="R35">
        <v>650.30199999999991</v>
      </c>
      <c r="S35">
        <v>0.21514513898538351</v>
      </c>
      <c r="T35">
        <v>387.55500000000006</v>
      </c>
      <c r="U35">
        <v>1048.356</v>
      </c>
      <c r="V35">
        <v>367.32709702556298</v>
      </c>
      <c r="W35">
        <v>0.12152605918890333</v>
      </c>
    </row>
    <row r="36" spans="1:23" x14ac:dyDescent="0.2">
      <c r="A36" t="s">
        <v>201</v>
      </c>
      <c r="B36">
        <v>2499.6136000000001</v>
      </c>
      <c r="C36">
        <v>40.750999999999998</v>
      </c>
      <c r="D36">
        <v>111.253</v>
      </c>
      <c r="E36">
        <v>195.833</v>
      </c>
      <c r="F36">
        <f t="shared" si="3"/>
        <v>22.467830979838748</v>
      </c>
      <c r="G36">
        <f t="shared" si="4"/>
        <v>12.764006066393305</v>
      </c>
      <c r="H36">
        <f t="shared" si="5"/>
        <v>1.7300679737920546</v>
      </c>
      <c r="I36">
        <v>0.76024916182035529</v>
      </c>
      <c r="J36">
        <v>89.570999999999998</v>
      </c>
      <c r="K36">
        <v>0.80511087341464949</v>
      </c>
      <c r="L36">
        <v>37.589999999999996</v>
      </c>
      <c r="M36">
        <v>0.3378785291183159</v>
      </c>
      <c r="N36">
        <v>72.924999999999997</v>
      </c>
      <c r="O36">
        <v>0.65548794189819592</v>
      </c>
      <c r="P36">
        <v>28.033999999999999</v>
      </c>
      <c r="Q36">
        <v>0.25198421615596883</v>
      </c>
      <c r="R36">
        <v>-44.902000000000001</v>
      </c>
      <c r="S36">
        <v>-0.40360259948046345</v>
      </c>
      <c r="T36">
        <v>-19.587</v>
      </c>
      <c r="U36">
        <v>58.157999999999994</v>
      </c>
      <c r="V36">
        <v>-49.106000000000002</v>
      </c>
      <c r="W36">
        <v>-0.44139034453003517</v>
      </c>
    </row>
    <row r="37" spans="1:23" x14ac:dyDescent="0.2">
      <c r="A37" t="s">
        <v>557</v>
      </c>
      <c r="B37">
        <v>11763.517900000001</v>
      </c>
      <c r="C37">
        <v>389.33</v>
      </c>
      <c r="D37">
        <v>853.57299999999998</v>
      </c>
      <c r="E37">
        <v>1210.8910000000001</v>
      </c>
      <c r="F37">
        <f t="shared" si="3"/>
        <v>13.781501875059311</v>
      </c>
      <c r="G37">
        <f t="shared" si="4"/>
        <v>9.7147620223455284</v>
      </c>
      <c r="H37">
        <f t="shared" si="5"/>
        <v>1.1924151747874554</v>
      </c>
      <c r="I37">
        <v>0.41861445945455178</v>
      </c>
      <c r="J37">
        <v>481.96899993896483</v>
      </c>
      <c r="K37">
        <v>0.56464883488461426</v>
      </c>
      <c r="L37">
        <v>135.99699999999999</v>
      </c>
      <c r="M37">
        <v>0.15932673596751537</v>
      </c>
      <c r="N37">
        <v>225.69399999999999</v>
      </c>
      <c r="O37">
        <v>0.26441089397157597</v>
      </c>
      <c r="P37">
        <v>67.718999999999994</v>
      </c>
      <c r="Q37">
        <v>7.9335920887844386E-2</v>
      </c>
      <c r="R37">
        <v>-41.38</v>
      </c>
      <c r="S37">
        <v>-4.8478571838612518E-2</v>
      </c>
      <c r="T37">
        <v>-12.155000000000001</v>
      </c>
      <c r="U37">
        <v>141.67699999999999</v>
      </c>
      <c r="V37">
        <v>-52.222000000000001</v>
      </c>
      <c r="W37">
        <v>-6.1180473140551542E-2</v>
      </c>
    </row>
    <row r="38" spans="1:23" x14ac:dyDescent="0.2">
      <c r="A38" t="s">
        <v>259</v>
      </c>
      <c r="B38">
        <v>1346.6967</v>
      </c>
      <c r="C38">
        <v>79.929000000000002</v>
      </c>
      <c r="D38">
        <v>128.28899999999999</v>
      </c>
      <c r="E38">
        <v>156.166</v>
      </c>
      <c r="F38">
        <f t="shared" si="3"/>
        <v>10.497366882585414</v>
      </c>
      <c r="G38">
        <f t="shared" si="4"/>
        <v>8.6234948708425652</v>
      </c>
      <c r="H38">
        <f t="shared" si="5"/>
        <v>0.605036970311151</v>
      </c>
      <c r="I38">
        <v>0.21729844335835513</v>
      </c>
      <c r="J38">
        <v>95.234000320434575</v>
      </c>
      <c r="K38">
        <v>0.74233956395664935</v>
      </c>
      <c r="L38">
        <v>29.642999999999997</v>
      </c>
      <c r="M38">
        <v>0.23106423777564716</v>
      </c>
      <c r="N38">
        <v>28.184999999999999</v>
      </c>
      <c r="O38">
        <v>0.21969927273577627</v>
      </c>
      <c r="P38">
        <v>30.100999999999999</v>
      </c>
      <c r="Q38">
        <v>0.23463430223947496</v>
      </c>
      <c r="R38">
        <v>4.5019999999999998</v>
      </c>
      <c r="S38">
        <v>3.5092642393346273E-2</v>
      </c>
      <c r="T38">
        <v>6.2230000000000008</v>
      </c>
      <c r="U38">
        <v>175.49599999999998</v>
      </c>
      <c r="V38">
        <v>-4.702</v>
      </c>
      <c r="W38">
        <v>-3.6651622508554908E-2</v>
      </c>
    </row>
    <row r="39" spans="1:23" x14ac:dyDescent="0.2">
      <c r="A39" t="s">
        <v>613</v>
      </c>
      <c r="B39">
        <v>503.5813</v>
      </c>
      <c r="C39">
        <v>264.7</v>
      </c>
      <c r="D39">
        <v>390.21064688256155</v>
      </c>
      <c r="E39">
        <v>423.65500000000003</v>
      </c>
      <c r="F39">
        <f t="shared" si="3"/>
        <v>1.2905370574154493</v>
      </c>
      <c r="G39">
        <f t="shared" si="4"/>
        <v>1.1886589323860215</v>
      </c>
      <c r="H39">
        <f t="shared" si="5"/>
        <v>0.47416186959789031</v>
      </c>
      <c r="I39">
        <v>8.5708458712311808E-2</v>
      </c>
      <c r="J39">
        <v>208.1033694655994</v>
      </c>
      <c r="K39">
        <v>0.53331033155594687</v>
      </c>
      <c r="L39">
        <v>34.018854199922998</v>
      </c>
      <c r="M39">
        <v>8.718074320038062E-2</v>
      </c>
      <c r="O39"/>
      <c r="P39">
        <v>172.67145692385159</v>
      </c>
      <c r="Q39">
        <v>0.44250831775950766</v>
      </c>
      <c r="R39">
        <v>41.081894131577933</v>
      </c>
      <c r="S39">
        <v>0.10528132550914739</v>
      </c>
      <c r="T39">
        <v>12.2</v>
      </c>
      <c r="U39">
        <v>22.7</v>
      </c>
      <c r="V39">
        <v>28.187567163656766</v>
      </c>
      <c r="W39">
        <v>7.2236796686227123E-2</v>
      </c>
    </row>
    <row r="40" spans="1:23" x14ac:dyDescent="0.2">
      <c r="A40" t="s">
        <v>293</v>
      </c>
      <c r="B40">
        <v>1118.7239</v>
      </c>
      <c r="C40">
        <v>339.52199999999999</v>
      </c>
      <c r="D40">
        <v>493.41899999999998</v>
      </c>
      <c r="E40">
        <v>540.76700000000005</v>
      </c>
      <c r="F40">
        <f t="shared" si="3"/>
        <v>2.2672898692591894</v>
      </c>
      <c r="G40">
        <f t="shared" si="4"/>
        <v>2.0687725027599684</v>
      </c>
      <c r="H40">
        <f t="shared" si="5"/>
        <v>0.45327548730273737</v>
      </c>
      <c r="I40">
        <v>9.5959012522825571E-2</v>
      </c>
      <c r="J40">
        <v>254.20199630737304</v>
      </c>
      <c r="K40">
        <v>0.51518485568527572</v>
      </c>
      <c r="L40">
        <v>80.164000000000001</v>
      </c>
      <c r="M40">
        <v>0.162466382526818</v>
      </c>
      <c r="N40">
        <v>151.34100000000001</v>
      </c>
      <c r="O40">
        <v>0.3067190359511896</v>
      </c>
      <c r="P40">
        <v>92.725999999999999</v>
      </c>
      <c r="Q40">
        <v>0.18792547510330976</v>
      </c>
      <c r="R40">
        <v>-32.902000000000001</v>
      </c>
      <c r="S40">
        <v>-6.6681664062389165E-2</v>
      </c>
      <c r="T40">
        <v>9.2789999999999999</v>
      </c>
      <c r="U40">
        <v>101.539</v>
      </c>
      <c r="V40">
        <v>-51.781127336844001</v>
      </c>
      <c r="W40">
        <v>-0.10494352130105246</v>
      </c>
    </row>
    <row r="41" spans="1:23" x14ac:dyDescent="0.2">
      <c r="A41" t="s">
        <v>411</v>
      </c>
      <c r="B41">
        <v>69.755799999999994</v>
      </c>
      <c r="C41">
        <v>278.221</v>
      </c>
      <c r="D41">
        <v>120.13199999999999</v>
      </c>
      <c r="E41">
        <v>124.5</v>
      </c>
      <c r="F41">
        <f t="shared" si="3"/>
        <v>0.58065960776479209</v>
      </c>
      <c r="G41">
        <f t="shared" si="4"/>
        <v>0.56028755020080312</v>
      </c>
      <c r="H41">
        <f t="shared" si="5"/>
        <v>-0.56821375812753172</v>
      </c>
      <c r="I41">
        <v>3.6360003995604906E-2</v>
      </c>
      <c r="J41">
        <v>61.855000404357909</v>
      </c>
      <c r="K41">
        <v>0.5148919555518755</v>
      </c>
      <c r="L41">
        <v>47.5</v>
      </c>
      <c r="M41">
        <v>0.39539839509872476</v>
      </c>
      <c r="N41">
        <v>51.793999999999997</v>
      </c>
      <c r="O41">
        <v>0.43114241001564946</v>
      </c>
      <c r="P41">
        <v>55.595999999999997</v>
      </c>
      <c r="Q41">
        <v>0.46279092997702526</v>
      </c>
      <c r="R41">
        <v>-43.578000000000003</v>
      </c>
      <c r="S41">
        <v>-0.3627509739286785</v>
      </c>
      <c r="T41">
        <v>-42.018000000000001</v>
      </c>
      <c r="U41">
        <v>76.641999999999996</v>
      </c>
      <c r="V41">
        <v>-75.318597068339997</v>
      </c>
      <c r="W41">
        <v>-0.62696531372440323</v>
      </c>
    </row>
    <row r="42" spans="1:23" x14ac:dyDescent="0.2">
      <c r="A42" t="s">
        <v>263</v>
      </c>
      <c r="B42">
        <v>1443.3649</v>
      </c>
      <c r="C42">
        <v>157.43700000000001</v>
      </c>
      <c r="D42">
        <v>221.20800000000003</v>
      </c>
      <c r="E42">
        <v>260.59699999999998</v>
      </c>
      <c r="F42">
        <f t="shared" si="3"/>
        <v>6.524921793063541</v>
      </c>
      <c r="G42">
        <f t="shared" si="4"/>
        <v>5.5386857868663117</v>
      </c>
      <c r="H42">
        <f t="shared" si="5"/>
        <v>0.40505726099963801</v>
      </c>
      <c r="I42">
        <v>0.17806318035514068</v>
      </c>
      <c r="J42">
        <v>155.65399899291992</v>
      </c>
      <c r="K42">
        <v>0.70365447448971064</v>
      </c>
      <c r="L42">
        <v>50.937999999999995</v>
      </c>
      <c r="M42">
        <v>0.2302719612310585</v>
      </c>
      <c r="N42">
        <v>111.593</v>
      </c>
      <c r="O42">
        <v>0.50447090521138471</v>
      </c>
      <c r="P42">
        <v>30.292999999999999</v>
      </c>
      <c r="Q42">
        <v>0.13694351018046361</v>
      </c>
      <c r="R42">
        <v>-47.295392405064</v>
      </c>
      <c r="S42">
        <v>-0.21380507217218181</v>
      </c>
      <c r="T42">
        <v>-7.3879999999999981</v>
      </c>
      <c r="U42">
        <v>51.561999999999998</v>
      </c>
      <c r="V42">
        <v>-53.869</v>
      </c>
      <c r="W42">
        <v>-0.24352193410726553</v>
      </c>
    </row>
    <row r="43" spans="1:23" x14ac:dyDescent="0.2">
      <c r="A43" t="s">
        <v>123</v>
      </c>
      <c r="B43">
        <v>5264.8521000000001</v>
      </c>
      <c r="C43">
        <v>568.12800000000004</v>
      </c>
      <c r="D43">
        <v>774.29099999999994</v>
      </c>
      <c r="E43">
        <v>940.42899999999997</v>
      </c>
      <c r="F43">
        <f t="shared" si="3"/>
        <v>6.7995780656109917</v>
      </c>
      <c r="G43">
        <f t="shared" si="4"/>
        <v>5.5983514970295474</v>
      </c>
      <c r="H43">
        <f t="shared" si="5"/>
        <v>0.36288125211219985</v>
      </c>
      <c r="I43">
        <v>0.21456790793125591</v>
      </c>
      <c r="J43">
        <v>470.14299932861331</v>
      </c>
      <c r="K43">
        <v>0.60719161055548021</v>
      </c>
      <c r="L43">
        <v>89.451999999999998</v>
      </c>
      <c r="M43">
        <v>0.11552762462691676</v>
      </c>
      <c r="N43">
        <v>165.07900000000001</v>
      </c>
      <c r="O43">
        <v>0.21320020509085089</v>
      </c>
      <c r="P43">
        <v>112.97499999999999</v>
      </c>
      <c r="Q43">
        <v>0.14590767553800832</v>
      </c>
      <c r="R43">
        <v>151.96100000000001</v>
      </c>
      <c r="S43">
        <v>0.19625825432557015</v>
      </c>
      <c r="T43">
        <v>117.538</v>
      </c>
      <c r="U43">
        <v>69.343000000000004</v>
      </c>
      <c r="V43">
        <v>39.375608755979997</v>
      </c>
      <c r="W43">
        <v>5.0853760092755822E-2</v>
      </c>
    </row>
    <row r="44" spans="1:23" x14ac:dyDescent="0.2">
      <c r="A44" t="s">
        <v>115</v>
      </c>
      <c r="B44">
        <v>5688.8769000000002</v>
      </c>
      <c r="C44">
        <v>379.72399999999999</v>
      </c>
      <c r="D44">
        <v>581.47399999999993</v>
      </c>
      <c r="E44">
        <v>724.625</v>
      </c>
      <c r="F44">
        <f t="shared" si="3"/>
        <v>9.7835447500662127</v>
      </c>
      <c r="G44">
        <f t="shared" si="4"/>
        <v>7.8507875107814389</v>
      </c>
      <c r="H44">
        <f t="shared" si="5"/>
        <v>0.53130694925788191</v>
      </c>
      <c r="I44">
        <v>0.24618641590165691</v>
      </c>
      <c r="J44">
        <v>443.33000299072262</v>
      </c>
      <c r="K44">
        <v>0.762424464362504</v>
      </c>
      <c r="L44">
        <v>75.147999999999996</v>
      </c>
      <c r="M44">
        <v>0.12923707680824939</v>
      </c>
      <c r="N44">
        <v>260.06900000000002</v>
      </c>
      <c r="O44">
        <v>0.44725817491409769</v>
      </c>
      <c r="P44">
        <v>72.313000000000002</v>
      </c>
      <c r="Q44">
        <v>0.1243615363713597</v>
      </c>
      <c r="R44">
        <v>1.981681596884</v>
      </c>
      <c r="S44">
        <v>3.4080313081651117E-3</v>
      </c>
      <c r="T44">
        <v>27.823</v>
      </c>
      <c r="U44">
        <v>181.19199999999998</v>
      </c>
      <c r="V44">
        <v>-22.126999999999999</v>
      </c>
      <c r="W44">
        <v>-3.8053292150637866E-2</v>
      </c>
    </row>
    <row r="45" spans="1:23" x14ac:dyDescent="0.2">
      <c r="A45" t="s">
        <v>37</v>
      </c>
      <c r="B45">
        <v>19172.8344</v>
      </c>
      <c r="C45">
        <v>2052.23</v>
      </c>
      <c r="D45">
        <v>3156.587</v>
      </c>
      <c r="E45">
        <v>3599.1820000000002</v>
      </c>
      <c r="F45">
        <f t="shared" si="3"/>
        <v>6.0739128685507477</v>
      </c>
      <c r="G45">
        <f t="shared" si="4"/>
        <v>5.3269977455988604</v>
      </c>
      <c r="H45">
        <f t="shared" si="5"/>
        <v>0.5381253563197107</v>
      </c>
      <c r="I45">
        <v>0.14021314793477901</v>
      </c>
      <c r="J45">
        <v>2690.5739580078125</v>
      </c>
      <c r="K45">
        <v>0.85236806652495634</v>
      </c>
      <c r="L45">
        <v>578.32999999999993</v>
      </c>
      <c r="M45">
        <v>0.18321370518221103</v>
      </c>
      <c r="N45">
        <v>1198.576</v>
      </c>
      <c r="O45">
        <v>0.37970630937781852</v>
      </c>
      <c r="P45">
        <v>239.316</v>
      </c>
      <c r="Q45">
        <v>7.5814796170674215E-2</v>
      </c>
      <c r="R45">
        <v>602.68600000000004</v>
      </c>
      <c r="S45">
        <v>0.19092963381018804</v>
      </c>
      <c r="T45">
        <v>941.41899999999998</v>
      </c>
      <c r="U45">
        <v>1724.1319999999998</v>
      </c>
      <c r="V45">
        <v>417.021865536652</v>
      </c>
      <c r="W45">
        <v>0.13211163371598883</v>
      </c>
    </row>
    <row r="46" spans="1:23" x14ac:dyDescent="0.2">
      <c r="A46" t="s">
        <v>219</v>
      </c>
      <c r="B46">
        <v>2059.2656000000002</v>
      </c>
      <c r="C46">
        <v>150.22399999999999</v>
      </c>
      <c r="D46">
        <v>215.20100000000002</v>
      </c>
      <c r="E46">
        <v>265.75200000000001</v>
      </c>
      <c r="F46">
        <f t="shared" si="3"/>
        <v>9.5690336011449766</v>
      </c>
      <c r="G46">
        <f t="shared" si="4"/>
        <v>7.7488244679249831</v>
      </c>
      <c r="H46">
        <f t="shared" si="5"/>
        <v>0.43253408243689451</v>
      </c>
      <c r="I46">
        <v>0.2349013248079701</v>
      </c>
      <c r="J46">
        <v>106.53599938964844</v>
      </c>
      <c r="K46">
        <v>0.49505345881129004</v>
      </c>
      <c r="L46">
        <v>40.338000000000001</v>
      </c>
      <c r="M46">
        <v>0.18744336689885269</v>
      </c>
      <c r="N46">
        <v>41.17</v>
      </c>
      <c r="O46">
        <v>0.19130951993717502</v>
      </c>
      <c r="P46">
        <v>37.179000000000002</v>
      </c>
      <c r="Q46">
        <v>0.17276406708147266</v>
      </c>
      <c r="R46">
        <v>-7.5960000000000001</v>
      </c>
      <c r="S46">
        <v>-3.5297233748913803E-2</v>
      </c>
      <c r="T46">
        <v>-8.8409999999999993</v>
      </c>
      <c r="U46">
        <v>57.960999999999999</v>
      </c>
      <c r="V46">
        <v>-24.3462</v>
      </c>
      <c r="W46">
        <v>-0.11313237392019553</v>
      </c>
    </row>
    <row r="47" spans="1:23" x14ac:dyDescent="0.2">
      <c r="A47" t="s">
        <v>173</v>
      </c>
      <c r="B47">
        <v>2532.3746999999998</v>
      </c>
      <c r="C47">
        <v>197.92500000000001</v>
      </c>
      <c r="D47">
        <v>255.43600000000001</v>
      </c>
      <c r="E47">
        <v>303.84500000000003</v>
      </c>
      <c r="F47">
        <f t="shared" si="3"/>
        <v>9.9139302995662302</v>
      </c>
      <c r="G47">
        <f t="shared" si="4"/>
        <v>8.3344293965673266</v>
      </c>
      <c r="H47">
        <f t="shared" si="5"/>
        <v>0.2905696602248326</v>
      </c>
      <c r="I47">
        <v>0.18951518188509064</v>
      </c>
      <c r="J47">
        <v>196.15400054931641</v>
      </c>
      <c r="K47">
        <v>0.76791838483736197</v>
      </c>
      <c r="L47">
        <v>42.815999999999995</v>
      </c>
      <c r="M47">
        <v>0.16761928623999747</v>
      </c>
      <c r="N47">
        <v>63.854999999999997</v>
      </c>
      <c r="O47">
        <v>0.24998434050016441</v>
      </c>
      <c r="P47">
        <v>35.334000000000003</v>
      </c>
      <c r="Q47">
        <v>0.13832819179755398</v>
      </c>
      <c r="R47">
        <v>67.129000000000005</v>
      </c>
      <c r="S47">
        <v>0.2628016411155828</v>
      </c>
      <c r="T47">
        <v>93.984999999999999</v>
      </c>
      <c r="U47">
        <v>86.590999999999994</v>
      </c>
      <c r="V47">
        <v>42.557038674647998</v>
      </c>
      <c r="W47">
        <v>0.166605485032055</v>
      </c>
    </row>
    <row r="48" spans="1:23" x14ac:dyDescent="0.2">
      <c r="A48" t="s">
        <v>313</v>
      </c>
      <c r="B48">
        <v>684.58810000000005</v>
      </c>
      <c r="C48">
        <v>277.85199999999998</v>
      </c>
      <c r="D48">
        <v>328.411</v>
      </c>
      <c r="E48">
        <v>339.733</v>
      </c>
      <c r="F48">
        <f t="shared" si="3"/>
        <v>2.0845468026345038</v>
      </c>
      <c r="G48">
        <f t="shared" si="4"/>
        <v>2.0150768397535712</v>
      </c>
      <c r="H48">
        <f t="shared" si="5"/>
        <v>0.18196377927817697</v>
      </c>
      <c r="I48">
        <v>3.4475093708797866E-2</v>
      </c>
      <c r="J48">
        <v>169.04300082397461</v>
      </c>
      <c r="K48">
        <v>0.51473002068741491</v>
      </c>
      <c r="L48">
        <v>47.661000000000001</v>
      </c>
      <c r="M48">
        <v>0.14512607677574746</v>
      </c>
      <c r="N48">
        <v>75.367999999999995</v>
      </c>
      <c r="O48">
        <v>0.22949292197886184</v>
      </c>
      <c r="P48">
        <v>35.222000000000001</v>
      </c>
      <c r="Q48">
        <v>0.10724975716404141</v>
      </c>
      <c r="R48">
        <v>6.7769999999999992</v>
      </c>
      <c r="S48">
        <v>2.0635727792309023E-2</v>
      </c>
      <c r="T48">
        <v>18.332999999999998</v>
      </c>
      <c r="U48">
        <v>147.023</v>
      </c>
      <c r="V48">
        <v>-1.2028757999999999</v>
      </c>
      <c r="W48">
        <v>-3.6627147080944304E-3</v>
      </c>
    </row>
    <row r="49" spans="1:23" x14ac:dyDescent="0.2">
      <c r="A49" t="s">
        <v>139</v>
      </c>
      <c r="B49">
        <v>4485.9957999999997</v>
      </c>
      <c r="C49">
        <v>280.87400000000002</v>
      </c>
      <c r="D49">
        <v>509.43599999999998</v>
      </c>
      <c r="E49">
        <v>735.4</v>
      </c>
      <c r="F49">
        <f t="shared" si="3"/>
        <v>8.8058083841738704</v>
      </c>
      <c r="G49">
        <f t="shared" si="4"/>
        <v>6.1000758770737011</v>
      </c>
      <c r="H49">
        <f t="shared" si="5"/>
        <v>0.81375278594672318</v>
      </c>
      <c r="I49">
        <v>0.44355718873420802</v>
      </c>
      <c r="J49">
        <v>281.04199999999997</v>
      </c>
      <c r="K49">
        <v>0.55167283034571557</v>
      </c>
      <c r="L49">
        <v>160.947</v>
      </c>
      <c r="M49">
        <v>0.31593173627305493</v>
      </c>
      <c r="N49">
        <v>221.18700000000001</v>
      </c>
      <c r="O49">
        <v>0.43418015216828026</v>
      </c>
      <c r="P49">
        <v>67.203999999999994</v>
      </c>
      <c r="Q49">
        <v>0.13191843528922179</v>
      </c>
      <c r="R49">
        <v>-146.059</v>
      </c>
      <c r="S49">
        <v>-0.2867072605783651</v>
      </c>
      <c r="T49">
        <v>-129.36799999999999</v>
      </c>
      <c r="U49">
        <v>73.012</v>
      </c>
      <c r="V49">
        <v>-163.51499999999999</v>
      </c>
      <c r="W49">
        <v>-0.32097260499846886</v>
      </c>
    </row>
    <row r="50" spans="1:23" x14ac:dyDescent="0.2">
      <c r="A50" t="s">
        <v>79</v>
      </c>
      <c r="B50">
        <v>10635.886500000001</v>
      </c>
      <c r="C50">
        <v>1140.5329999999999</v>
      </c>
      <c r="D50">
        <v>1235.683</v>
      </c>
      <c r="E50">
        <v>1329.231</v>
      </c>
      <c r="F50">
        <f t="shared" si="3"/>
        <v>8.6072936991121516</v>
      </c>
      <c r="G50">
        <f t="shared" si="4"/>
        <v>8.0015335934837513</v>
      </c>
      <c r="H50">
        <f t="shared" si="5"/>
        <v>8.3425907010143588E-2</v>
      </c>
      <c r="I50">
        <v>7.5705500520764524E-2</v>
      </c>
      <c r="J50">
        <v>904.73300866699219</v>
      </c>
      <c r="K50">
        <v>0.73217241692812174</v>
      </c>
      <c r="L50">
        <v>236.059</v>
      </c>
      <c r="M50">
        <v>0.19103524123905566</v>
      </c>
      <c r="N50">
        <v>372.94600000000003</v>
      </c>
      <c r="O50">
        <v>0.30181365285433243</v>
      </c>
      <c r="P50">
        <v>145.06700000000001</v>
      </c>
      <c r="Q50">
        <v>0.11739823239455427</v>
      </c>
      <c r="R50">
        <v>170.774</v>
      </c>
      <c r="S50">
        <v>0.1382021117066432</v>
      </c>
      <c r="T50">
        <v>211.76999999999998</v>
      </c>
      <c r="U50">
        <v>259.94600000000003</v>
      </c>
      <c r="V50">
        <v>48.873303467433999</v>
      </c>
      <c r="W50">
        <v>3.955165157037363E-2</v>
      </c>
    </row>
    <row r="51" spans="1:23" x14ac:dyDescent="0.2">
      <c r="A51" t="s">
        <v>169</v>
      </c>
      <c r="B51">
        <v>3692.9135000000001</v>
      </c>
      <c r="C51">
        <v>131.84100000000001</v>
      </c>
      <c r="D51">
        <v>166.82400000000001</v>
      </c>
      <c r="E51">
        <v>257.7</v>
      </c>
      <c r="F51">
        <f t="shared" si="3"/>
        <v>22.136584064642975</v>
      </c>
      <c r="G51">
        <f t="shared" si="4"/>
        <v>14.330281334885527</v>
      </c>
      <c r="H51">
        <f t="shared" si="5"/>
        <v>0.26534234418731656</v>
      </c>
      <c r="I51">
        <v>0.54474176377499628</v>
      </c>
      <c r="J51">
        <v>116.99600000000001</v>
      </c>
      <c r="K51">
        <v>0.70131395962211673</v>
      </c>
      <c r="L51">
        <v>0</v>
      </c>
      <c r="M51">
        <v>0</v>
      </c>
      <c r="N51">
        <v>103.47799999999999</v>
      </c>
      <c r="O51">
        <v>0.62028245336402432</v>
      </c>
      <c r="P51">
        <v>46.970999999999997</v>
      </c>
      <c r="Q51">
        <v>0.28156020716443675</v>
      </c>
      <c r="R51">
        <v>-66.082999999999998</v>
      </c>
      <c r="S51">
        <v>-0.39612405888840929</v>
      </c>
      <c r="T51">
        <v>-18.09</v>
      </c>
      <c r="U51">
        <v>28.266999999999999</v>
      </c>
      <c r="V51">
        <v>-95.293880000000001</v>
      </c>
      <c r="W51">
        <v>-0.57122404450199005</v>
      </c>
    </row>
    <row r="52" spans="1:23" x14ac:dyDescent="0.2">
      <c r="A52" t="s">
        <v>303</v>
      </c>
      <c r="B52">
        <v>1209.0925</v>
      </c>
      <c r="C52">
        <v>153.27600000000001</v>
      </c>
      <c r="D52">
        <v>183.61700000000002</v>
      </c>
      <c r="E52">
        <v>205.86799999999999</v>
      </c>
      <c r="F52">
        <f t="shared" si="3"/>
        <v>6.5848614235065375</v>
      </c>
      <c r="G52">
        <f t="shared" si="4"/>
        <v>5.8731444420696759</v>
      </c>
      <c r="H52">
        <f t="shared" si="5"/>
        <v>0.19795010308202202</v>
      </c>
      <c r="I52">
        <v>0.12118158993992911</v>
      </c>
      <c r="J52">
        <v>109.50099978637695</v>
      </c>
      <c r="K52">
        <v>0.59635545611995044</v>
      </c>
      <c r="L52">
        <v>56.021000000000001</v>
      </c>
      <c r="M52">
        <v>0.30509702260683919</v>
      </c>
      <c r="N52">
        <v>68.116</v>
      </c>
      <c r="O52">
        <v>0.37096782977611004</v>
      </c>
      <c r="P52">
        <v>40.335999999999999</v>
      </c>
      <c r="Q52">
        <v>0.21967464886148882</v>
      </c>
      <c r="R52">
        <v>-44.247999999999998</v>
      </c>
      <c r="S52">
        <v>-0.24097986569870977</v>
      </c>
      <c r="T52">
        <v>-6.407</v>
      </c>
      <c r="U52">
        <v>160.505</v>
      </c>
      <c r="V52">
        <v>-63.304550127549</v>
      </c>
      <c r="W52">
        <v>-0.3447641020578105</v>
      </c>
    </row>
    <row r="53" spans="1:23" x14ac:dyDescent="0.2">
      <c r="A53" t="s">
        <v>277</v>
      </c>
      <c r="B53">
        <v>1403.5246</v>
      </c>
      <c r="C53">
        <v>405.34100000000001</v>
      </c>
      <c r="D53">
        <v>401.911</v>
      </c>
      <c r="E53">
        <v>396.25</v>
      </c>
      <c r="F53">
        <f t="shared" si="3"/>
        <v>3.4921278591528968</v>
      </c>
      <c r="G53">
        <f t="shared" si="4"/>
        <v>3.5420179179810725</v>
      </c>
      <c r="H53">
        <f t="shared" si="5"/>
        <v>-8.4620109981472548E-3</v>
      </c>
      <c r="I53">
        <v>-1.4085207919166232E-2</v>
      </c>
      <c r="J53">
        <v>333.70999957275393</v>
      </c>
      <c r="K53">
        <v>0.83030820149922224</v>
      </c>
      <c r="L53">
        <v>76.988</v>
      </c>
      <c r="M53">
        <v>0.19155484671979617</v>
      </c>
      <c r="N53">
        <v>96.344999999999999</v>
      </c>
      <c r="O53">
        <v>0.23971725083413989</v>
      </c>
      <c r="P53">
        <v>45.738999999999997</v>
      </c>
      <c r="Q53">
        <v>0.11380380233434764</v>
      </c>
      <c r="R53">
        <v>142.37699999999998</v>
      </c>
      <c r="S53">
        <v>0.35425007028919331</v>
      </c>
      <c r="T53">
        <v>121.06</v>
      </c>
      <c r="U53">
        <v>133.464</v>
      </c>
      <c r="V53">
        <v>65.876939999999991</v>
      </c>
      <c r="W53">
        <v>0.16390927344611117</v>
      </c>
    </row>
    <row r="54" spans="1:23" x14ac:dyDescent="0.2">
      <c r="A54" t="s">
        <v>127</v>
      </c>
      <c r="B54">
        <v>5177.2318999999998</v>
      </c>
      <c r="C54">
        <v>375.49599999999998</v>
      </c>
      <c r="D54">
        <v>614.04600000000005</v>
      </c>
      <c r="E54">
        <v>792.19399999999996</v>
      </c>
      <c r="F54">
        <f t="shared" si="3"/>
        <v>8.4313421144344218</v>
      </c>
      <c r="G54">
        <f t="shared" si="4"/>
        <v>6.5353081442171996</v>
      </c>
      <c r="H54">
        <f t="shared" si="5"/>
        <v>0.63529305238937317</v>
      </c>
      <c r="I54">
        <v>0.29012158698208257</v>
      </c>
      <c r="J54">
        <v>439.7080033569336</v>
      </c>
      <c r="K54">
        <v>0.71608316536046746</v>
      </c>
      <c r="L54">
        <v>129.803</v>
      </c>
      <c r="M54">
        <v>0.21138970044589492</v>
      </c>
      <c r="N54">
        <v>258.83699999999999</v>
      </c>
      <c r="O54">
        <v>0.42152705171925225</v>
      </c>
      <c r="P54">
        <v>52.734999999999999</v>
      </c>
      <c r="Q54">
        <v>8.5881188054315147E-2</v>
      </c>
      <c r="R54">
        <v>-23.048000000000005</v>
      </c>
      <c r="S54">
        <v>-3.7534647241411888E-2</v>
      </c>
      <c r="T54">
        <v>136.89599999999999</v>
      </c>
      <c r="U54">
        <v>286.072</v>
      </c>
      <c r="V54">
        <v>-78.538188416806008</v>
      </c>
      <c r="W54">
        <v>-0.12790277669230971</v>
      </c>
    </row>
    <row r="55" spans="1:23" x14ac:dyDescent="0.2">
      <c r="A55" t="s">
        <v>147</v>
      </c>
      <c r="B55">
        <v>3887.6603</v>
      </c>
      <c r="C55">
        <v>750.26599999999996</v>
      </c>
      <c r="D55">
        <v>851.31600000000003</v>
      </c>
      <c r="E55">
        <v>927.80000000000007</v>
      </c>
      <c r="F55">
        <f t="shared" si="3"/>
        <v>4.5666477547702611</v>
      </c>
      <c r="G55">
        <f t="shared" si="4"/>
        <v>4.1901921750377236</v>
      </c>
      <c r="H55">
        <f t="shared" si="5"/>
        <v>0.1346855648529989</v>
      </c>
      <c r="I55">
        <v>8.9842079791757845E-2</v>
      </c>
      <c r="J55">
        <v>558.17699633789061</v>
      </c>
      <c r="K55">
        <v>0.65566369754343934</v>
      </c>
      <c r="L55">
        <v>162.886</v>
      </c>
      <c r="M55">
        <v>0.19133435762983428</v>
      </c>
      <c r="N55">
        <v>307.20999999999998</v>
      </c>
      <c r="O55">
        <v>0.36086482575212958</v>
      </c>
      <c r="P55">
        <v>52.152999999999999</v>
      </c>
      <c r="Q55">
        <v>6.1261623181051453E-2</v>
      </c>
      <c r="R55">
        <v>16.656999999999996</v>
      </c>
      <c r="S55">
        <v>1.9566177541594419E-2</v>
      </c>
      <c r="T55">
        <v>106.762</v>
      </c>
      <c r="U55">
        <v>162.279</v>
      </c>
      <c r="V55">
        <v>16.697999999999997</v>
      </c>
      <c r="W55">
        <v>1.9614338271570129E-2</v>
      </c>
    </row>
    <row r="56" spans="1:23" x14ac:dyDescent="0.2">
      <c r="A56" t="s">
        <v>167</v>
      </c>
      <c r="B56">
        <v>3202.2395999999999</v>
      </c>
      <c r="C56">
        <v>230.70099999999999</v>
      </c>
      <c r="D56">
        <v>377.52699999999999</v>
      </c>
      <c r="E56">
        <v>452.61400000000003</v>
      </c>
      <c r="F56">
        <f t="shared" si="3"/>
        <v>8.482147237151251</v>
      </c>
      <c r="G56">
        <f t="shared" si="4"/>
        <v>7.0749901682228113</v>
      </c>
      <c r="H56">
        <f t="shared" si="5"/>
        <v>0.63643417237029742</v>
      </c>
      <c r="I56">
        <v>0.19889173489578238</v>
      </c>
      <c r="J56">
        <v>228.32999908447266</v>
      </c>
      <c r="K56">
        <v>0.60480442215913743</v>
      </c>
      <c r="L56">
        <v>37.644999999999996</v>
      </c>
      <c r="M56">
        <v>9.9714722390716423E-2</v>
      </c>
      <c r="N56">
        <v>95.483999999999995</v>
      </c>
      <c r="O56">
        <v>0.25291965872639571</v>
      </c>
      <c r="P56">
        <v>79.251999999999995</v>
      </c>
      <c r="Q56">
        <v>0.20992405841171624</v>
      </c>
      <c r="R56">
        <v>46.511999999999993</v>
      </c>
      <c r="S56">
        <v>0.12320178424324617</v>
      </c>
      <c r="T56">
        <v>58.707999999999998</v>
      </c>
      <c r="U56">
        <v>137.19299999999998</v>
      </c>
      <c r="V56">
        <v>3.8283299999999998</v>
      </c>
      <c r="W56">
        <v>1.0140546239076941E-2</v>
      </c>
    </row>
    <row r="57" spans="1:23" x14ac:dyDescent="0.2">
      <c r="A57" t="s">
        <v>97</v>
      </c>
      <c r="B57">
        <v>7407.2659999999996</v>
      </c>
      <c r="C57">
        <v>329.14100000000002</v>
      </c>
      <c r="D57">
        <v>498.02800000000002</v>
      </c>
      <c r="E57">
        <v>621.76</v>
      </c>
      <c r="F57">
        <f t="shared" si="3"/>
        <v>14.87319186873027</v>
      </c>
      <c r="G57">
        <f t="shared" si="4"/>
        <v>11.913384585692228</v>
      </c>
      <c r="H57">
        <f t="shared" si="5"/>
        <v>0.5131144403158524</v>
      </c>
      <c r="I57">
        <v>0.24844386259407103</v>
      </c>
      <c r="J57">
        <v>416.48600439453128</v>
      </c>
      <c r="K57">
        <v>0.83627025868933325</v>
      </c>
      <c r="L57">
        <v>30.43</v>
      </c>
      <c r="M57">
        <v>6.1100982274089007E-2</v>
      </c>
      <c r="N57">
        <v>150.512</v>
      </c>
      <c r="O57">
        <v>0.30221593966604288</v>
      </c>
      <c r="P57">
        <v>91.647000000000006</v>
      </c>
      <c r="Q57">
        <v>0.18401977398861108</v>
      </c>
      <c r="R57">
        <v>148.13299999999998</v>
      </c>
      <c r="S57">
        <v>0.29743909980964922</v>
      </c>
      <c r="T57">
        <v>123.30200000000001</v>
      </c>
      <c r="U57">
        <v>46.076999999999998</v>
      </c>
      <c r="V57">
        <v>104.562799698118</v>
      </c>
      <c r="W57">
        <v>0.20995365661793713</v>
      </c>
    </row>
    <row r="58" spans="1:23" x14ac:dyDescent="0.2">
      <c r="A58" t="s">
        <v>81</v>
      </c>
      <c r="B58">
        <v>10049.311299999999</v>
      </c>
      <c r="C58">
        <v>1138.385</v>
      </c>
      <c r="D58">
        <v>790.56539690225225</v>
      </c>
      <c r="E58">
        <v>1373.425</v>
      </c>
      <c r="F58">
        <f t="shared" si="3"/>
        <v>12.711549657216436</v>
      </c>
      <c r="G58">
        <f t="shared" si="4"/>
        <v>7.3169712943917578</v>
      </c>
      <c r="H58">
        <f t="shared" si="5"/>
        <v>-0.30553776015824852</v>
      </c>
      <c r="I58">
        <v>0.73726930799352219</v>
      </c>
      <c r="J58">
        <v>375.64298104046151</v>
      </c>
      <c r="K58">
        <v>0.47515737788724272</v>
      </c>
      <c r="L58">
        <v>0</v>
      </c>
      <c r="M58">
        <v>0</v>
      </c>
      <c r="N58">
        <v>76.995211344008382</v>
      </c>
      <c r="O58">
        <v>9.7392589715798408E-2</v>
      </c>
      <c r="P58">
        <v>47.989678864420718</v>
      </c>
      <c r="Q58">
        <v>6.0702984284998117E-2</v>
      </c>
      <c r="R58">
        <v>266.81505779650513</v>
      </c>
      <c r="S58">
        <v>0.3374990340356307</v>
      </c>
      <c r="T58">
        <v>346.06900000000002</v>
      </c>
      <c r="U58">
        <v>66.766999999999996</v>
      </c>
      <c r="V58">
        <v>149.9999767353207</v>
      </c>
      <c r="W58">
        <v>0.1897375945406666</v>
      </c>
    </row>
    <row r="59" spans="1:23" x14ac:dyDescent="0.2">
      <c r="A59" t="s">
        <v>85</v>
      </c>
      <c r="B59">
        <v>11155.011</v>
      </c>
      <c r="C59">
        <v>1824.2280000000001</v>
      </c>
      <c r="D59">
        <v>2815.241</v>
      </c>
      <c r="E59">
        <v>2896.0419999999999</v>
      </c>
      <c r="F59">
        <f t="shared" si="3"/>
        <v>3.9623645009432589</v>
      </c>
      <c r="G59">
        <f t="shared" si="4"/>
        <v>3.8518125773037823</v>
      </c>
      <c r="H59">
        <f t="shared" si="5"/>
        <v>0.54325062437370764</v>
      </c>
      <c r="I59">
        <v>2.8701272821758383E-2</v>
      </c>
      <c r="J59">
        <v>1863.8300090332032</v>
      </c>
      <c r="K59">
        <v>0.66204989520726754</v>
      </c>
      <c r="L59">
        <v>323.46100000000001</v>
      </c>
      <c r="M59">
        <v>0.11489638009676614</v>
      </c>
      <c r="N59">
        <v>529.38099999999997</v>
      </c>
      <c r="O59">
        <v>0.18804109488317342</v>
      </c>
      <c r="P59">
        <v>205.31299999999999</v>
      </c>
      <c r="Q59">
        <v>7.2929102694938019E-2</v>
      </c>
      <c r="R59">
        <v>991.54299999999989</v>
      </c>
      <c r="S59">
        <v>0.35220537069472913</v>
      </c>
      <c r="T59">
        <v>714.82</v>
      </c>
      <c r="U59">
        <v>682.94200000000001</v>
      </c>
      <c r="V59">
        <v>279.654731196885</v>
      </c>
      <c r="W59">
        <v>9.9335982673200984E-2</v>
      </c>
    </row>
    <row r="60" spans="1:23" x14ac:dyDescent="0.2">
      <c r="A60" t="s">
        <v>325</v>
      </c>
      <c r="B60">
        <v>599.29819999999995</v>
      </c>
      <c r="C60">
        <v>192.304</v>
      </c>
      <c r="D60">
        <v>200.61800000000002</v>
      </c>
      <c r="E60">
        <v>222.86700000000002</v>
      </c>
      <c r="F60">
        <f t="shared" si="3"/>
        <v>2.9872603654706951</v>
      </c>
      <c r="G60">
        <f t="shared" si="4"/>
        <v>2.6890396514513135</v>
      </c>
      <c r="H60">
        <f t="shared" si="5"/>
        <v>4.3233630085697757E-2</v>
      </c>
      <c r="I60">
        <v>0.1109023118563639</v>
      </c>
      <c r="J60">
        <v>143.23199945068359</v>
      </c>
      <c r="K60">
        <v>0.71395387976494418</v>
      </c>
      <c r="L60">
        <v>23.119</v>
      </c>
      <c r="M60">
        <v>0.11523891176265338</v>
      </c>
      <c r="N60">
        <v>58.994</v>
      </c>
      <c r="O60">
        <v>0.29406135042717996</v>
      </c>
      <c r="P60">
        <v>37.4</v>
      </c>
      <c r="Q60">
        <v>0.18642394999451692</v>
      </c>
      <c r="R60">
        <v>18.504999999999999</v>
      </c>
      <c r="S60">
        <v>9.2239978466538378E-2</v>
      </c>
      <c r="T60">
        <v>-11.802</v>
      </c>
      <c r="U60">
        <v>78.661000000000001</v>
      </c>
      <c r="V60">
        <v>7.2605520712620004</v>
      </c>
      <c r="W60">
        <v>3.6190930381431376E-2</v>
      </c>
    </row>
    <row r="61" spans="1:23" x14ac:dyDescent="0.2">
      <c r="A61" t="s">
        <v>409</v>
      </c>
      <c r="B61">
        <v>124.41030000000001</v>
      </c>
      <c r="C61">
        <v>171.0899</v>
      </c>
      <c r="D61">
        <v>128.101112</v>
      </c>
      <c r="E61">
        <v>123</v>
      </c>
      <c r="F61">
        <f t="shared" si="3"/>
        <v>0.97118829069961554</v>
      </c>
      <c r="G61">
        <f t="shared" si="4"/>
        <v>1.0114658536585366</v>
      </c>
      <c r="H61">
        <f t="shared" si="5"/>
        <v>-0.25126432360998513</v>
      </c>
      <c r="I61">
        <v>-3.982098141349466E-2</v>
      </c>
      <c r="J61">
        <v>72.534188598388667</v>
      </c>
      <c r="K61">
        <v>0.56622606522251473</v>
      </c>
      <c r="L61">
        <v>41.944024999999996</v>
      </c>
      <c r="M61">
        <v>0.32742904682981983</v>
      </c>
      <c r="N61">
        <v>19.221935999999999</v>
      </c>
      <c r="O61">
        <v>0.15005284263262289</v>
      </c>
      <c r="P61">
        <v>36.027413000000003</v>
      </c>
      <c r="Q61">
        <v>0.28124200045976183</v>
      </c>
      <c r="R61">
        <v>-23.433501</v>
      </c>
      <c r="S61">
        <v>-0.18292972351403164</v>
      </c>
      <c r="T61">
        <v>-57.896322999999995</v>
      </c>
      <c r="U61">
        <v>110.89174399999999</v>
      </c>
      <c r="V61">
        <v>-50.694046620000002</v>
      </c>
      <c r="W61">
        <v>-0.39573463359162725</v>
      </c>
    </row>
    <row r="62" spans="1:23" x14ac:dyDescent="0.2">
      <c r="A62" t="s">
        <v>564</v>
      </c>
      <c r="B62">
        <v>5590.6315999999997</v>
      </c>
      <c r="C62">
        <v>85.906999999999996</v>
      </c>
      <c r="D62">
        <v>324.19499999999999</v>
      </c>
      <c r="E62">
        <v>424.09399999999999</v>
      </c>
      <c r="F62">
        <f t="shared" si="3"/>
        <v>17.244657073674794</v>
      </c>
      <c r="G62">
        <f t="shared" si="4"/>
        <v>13.182529344909383</v>
      </c>
      <c r="H62">
        <f t="shared" si="5"/>
        <v>2.7737902615619219</v>
      </c>
      <c r="I62">
        <v>0.30814478940144041</v>
      </c>
      <c r="J62">
        <v>228.25000210571289</v>
      </c>
      <c r="K62">
        <v>0.70405158039363003</v>
      </c>
      <c r="L62">
        <v>70.820999999999998</v>
      </c>
      <c r="M62">
        <v>0.21845185767824921</v>
      </c>
      <c r="N62">
        <v>172.97300000000001</v>
      </c>
      <c r="O62">
        <v>0.53354616820123701</v>
      </c>
      <c r="P62">
        <v>51.802999999999997</v>
      </c>
      <c r="Q62">
        <v>0.15978963278273878</v>
      </c>
      <c r="R62">
        <v>-116.569</v>
      </c>
      <c r="S62">
        <v>-0.35956445966162343</v>
      </c>
      <c r="T62">
        <v>-21.870999999999999</v>
      </c>
      <c r="U62">
        <v>127.949</v>
      </c>
      <c r="V62">
        <v>-123.625</v>
      </c>
      <c r="W62">
        <v>-0.3813291383272413</v>
      </c>
    </row>
    <row r="63" spans="1:23" x14ac:dyDescent="0.2">
      <c r="A63" t="s">
        <v>135</v>
      </c>
      <c r="B63">
        <v>6727.3046000000004</v>
      </c>
      <c r="C63">
        <v>1948.903</v>
      </c>
      <c r="D63">
        <v>2007.8210000000001</v>
      </c>
      <c r="E63">
        <v>2103.1669999999999</v>
      </c>
      <c r="F63">
        <f t="shared" si="3"/>
        <v>3.3505499743254004</v>
      </c>
      <c r="G63">
        <f t="shared" si="4"/>
        <v>3.1986545053245892</v>
      </c>
      <c r="H63">
        <f t="shared" si="5"/>
        <v>3.0231366055673434E-2</v>
      </c>
      <c r="I63">
        <v>4.7487300909792252E-2</v>
      </c>
      <c r="J63">
        <v>1132.4420061035157</v>
      </c>
      <c r="K63">
        <v>0.56401542074891919</v>
      </c>
      <c r="L63">
        <v>266.09699999999998</v>
      </c>
      <c r="M63">
        <v>0.13253024049454606</v>
      </c>
      <c r="N63">
        <v>398.13</v>
      </c>
      <c r="O63">
        <v>0.19828958856392076</v>
      </c>
      <c r="P63">
        <v>166.67699999999999</v>
      </c>
      <c r="Q63">
        <v>8.3013874244765834E-2</v>
      </c>
      <c r="R63">
        <v>344.83600000000001</v>
      </c>
      <c r="S63">
        <v>0.17174638575849141</v>
      </c>
      <c r="T63">
        <v>395.58100000000002</v>
      </c>
      <c r="U63">
        <v>315.96299999999997</v>
      </c>
      <c r="V63">
        <v>21.322419709094</v>
      </c>
      <c r="W63">
        <v>1.0619681589690514E-2</v>
      </c>
    </row>
    <row r="64" spans="1:23" x14ac:dyDescent="0.2">
      <c r="A64" t="s">
        <v>107</v>
      </c>
      <c r="B64">
        <v>6236.2366000000002</v>
      </c>
      <c r="C64">
        <v>503.41</v>
      </c>
      <c r="D64">
        <v>1155.4570000000001</v>
      </c>
      <c r="E64">
        <v>1366.1669999999999</v>
      </c>
      <c r="F64">
        <f t="shared" si="3"/>
        <v>5.397203530724207</v>
      </c>
      <c r="G64">
        <f t="shared" si="4"/>
        <v>4.5647688752546358</v>
      </c>
      <c r="H64">
        <f t="shared" si="5"/>
        <v>1.2952603245863212</v>
      </c>
      <c r="I64">
        <v>0.18236074557512727</v>
      </c>
      <c r="J64">
        <v>769.42700024414057</v>
      </c>
      <c r="K64">
        <v>0.66590708286343891</v>
      </c>
      <c r="L64">
        <v>313.77699999999999</v>
      </c>
      <c r="M64">
        <v>0.27156094947713327</v>
      </c>
      <c r="N64">
        <v>649.65700000000004</v>
      </c>
      <c r="O64">
        <v>0.56225112661050991</v>
      </c>
      <c r="P64">
        <v>86.400999999999996</v>
      </c>
      <c r="Q64">
        <v>7.4776473724249351E-2</v>
      </c>
      <c r="R64">
        <v>-222.005860759494</v>
      </c>
      <c r="S64">
        <v>-0.19213684348227064</v>
      </c>
      <c r="T64">
        <v>58.033000000000001</v>
      </c>
      <c r="U64">
        <v>305.97499999999997</v>
      </c>
      <c r="V64">
        <v>-290.7982245</v>
      </c>
      <c r="W64">
        <v>-0.25167377453250095</v>
      </c>
    </row>
    <row r="65" spans="1:23" x14ac:dyDescent="0.2">
      <c r="A65" t="s">
        <v>23</v>
      </c>
      <c r="B65">
        <v>30069.100900000001</v>
      </c>
      <c r="C65">
        <v>1390.5129999999999</v>
      </c>
      <c r="D65">
        <v>2264.8180000000002</v>
      </c>
      <c r="E65">
        <v>2957.73</v>
      </c>
      <c r="F65">
        <f t="shared" si="3"/>
        <v>13.27660805415711</v>
      </c>
      <c r="G65">
        <f t="shared" si="4"/>
        <v>10.166276468778422</v>
      </c>
      <c r="H65">
        <f t="shared" si="5"/>
        <v>0.62876434812188042</v>
      </c>
      <c r="I65">
        <v>0.30594599654365151</v>
      </c>
      <c r="J65">
        <v>1706.5400173339845</v>
      </c>
      <c r="K65">
        <v>0.75349984737580866</v>
      </c>
      <c r="L65">
        <v>377.51799999999997</v>
      </c>
      <c r="M65">
        <v>0.16668800760149377</v>
      </c>
      <c r="N65">
        <v>946.61699999999996</v>
      </c>
      <c r="O65">
        <v>0.41796603523991765</v>
      </c>
      <c r="P65">
        <v>210.53299999999999</v>
      </c>
      <c r="Q65">
        <v>9.2958021350942971E-2</v>
      </c>
      <c r="R65">
        <v>59.362000000000002</v>
      </c>
      <c r="S65">
        <v>2.6210494618110591E-2</v>
      </c>
      <c r="T65">
        <v>535.26</v>
      </c>
      <c r="U65">
        <v>726.495</v>
      </c>
      <c r="V65">
        <v>-89.498374022804001</v>
      </c>
      <c r="W65">
        <v>-3.9516806217013457E-2</v>
      </c>
    </row>
    <row r="66" spans="1:23" x14ac:dyDescent="0.2">
      <c r="A66" t="s">
        <v>137</v>
      </c>
      <c r="B66">
        <v>4436.8191999999999</v>
      </c>
      <c r="C66">
        <v>181.309</v>
      </c>
      <c r="D66">
        <v>383.18099999999998</v>
      </c>
      <c r="E66">
        <v>489.97500000000002</v>
      </c>
      <c r="F66">
        <f t="shared" ref="F66:F97" si="6">B66/D66</f>
        <v>11.578912315589761</v>
      </c>
      <c r="G66">
        <f t="shared" ref="G66:G97" si="7">B66/E66</f>
        <v>9.0551950609724976</v>
      </c>
      <c r="H66">
        <f t="shared" ref="H66:H97" si="8">(D66-C66)/C66</f>
        <v>1.1134141162325091</v>
      </c>
      <c r="I66">
        <v>0.27870379794405276</v>
      </c>
      <c r="J66">
        <v>318.38299798583984</v>
      </c>
      <c r="K66">
        <v>0.83089453283393444</v>
      </c>
      <c r="L66">
        <v>74.331999999999994</v>
      </c>
      <c r="M66">
        <v>0.1939866538267816</v>
      </c>
      <c r="N66">
        <v>207.02099999999999</v>
      </c>
      <c r="O66">
        <v>0.54026948100245054</v>
      </c>
      <c r="P66">
        <v>57.787999999999997</v>
      </c>
      <c r="Q66">
        <v>0.1508112354213805</v>
      </c>
      <c r="R66">
        <v>-2.2589999999999986</v>
      </c>
      <c r="S66">
        <v>-5.8953862534937762E-3</v>
      </c>
      <c r="T66">
        <v>49.615000000000009</v>
      </c>
      <c r="U66">
        <v>132.47900000000001</v>
      </c>
      <c r="V66">
        <v>-33.405200000000001</v>
      </c>
      <c r="W66">
        <v>-8.7178644035064382E-2</v>
      </c>
    </row>
    <row r="67" spans="1:23" x14ac:dyDescent="0.2">
      <c r="A67" t="s">
        <v>275</v>
      </c>
      <c r="B67">
        <v>719.44939999999997</v>
      </c>
      <c r="C67">
        <v>512.16099999999994</v>
      </c>
      <c r="D67">
        <v>506.92600000000004</v>
      </c>
      <c r="E67">
        <v>514</v>
      </c>
      <c r="F67">
        <f t="shared" si="6"/>
        <v>1.4192394945218827</v>
      </c>
      <c r="G67">
        <f t="shared" si="7"/>
        <v>1.3997070038910506</v>
      </c>
      <c r="H67">
        <f t="shared" si="8"/>
        <v>-1.0221395225329341E-2</v>
      </c>
      <c r="I67">
        <v>1.3954699502491508E-2</v>
      </c>
      <c r="J67">
        <v>407.5589940185547</v>
      </c>
      <c r="K67">
        <v>0.803981239901987</v>
      </c>
      <c r="L67">
        <v>78.765999999999991</v>
      </c>
      <c r="M67">
        <v>0.15537968066344987</v>
      </c>
      <c r="N67">
        <v>174.61199999999999</v>
      </c>
      <c r="O67">
        <v>0.34445264200297476</v>
      </c>
      <c r="P67">
        <v>80.161000000000001</v>
      </c>
      <c r="Q67">
        <v>0.1581315616085977</v>
      </c>
      <c r="R67">
        <v>47.558000000000007</v>
      </c>
      <c r="S67">
        <v>9.3816454472644931E-2</v>
      </c>
      <c r="T67">
        <v>46.129999999999995</v>
      </c>
      <c r="U67">
        <v>420.24399999999997</v>
      </c>
      <c r="V67">
        <v>42.201000000000001</v>
      </c>
      <c r="W67">
        <v>8.3248837108374787E-2</v>
      </c>
    </row>
    <row r="68" spans="1:23" x14ac:dyDescent="0.2">
      <c r="A68" t="s">
        <v>339</v>
      </c>
      <c r="B68">
        <v>471.51530000000002</v>
      </c>
      <c r="C68">
        <v>106.971</v>
      </c>
      <c r="D68">
        <v>155.49099999999999</v>
      </c>
      <c r="E68">
        <v>150.45000000000002</v>
      </c>
      <c r="F68">
        <f t="shared" si="6"/>
        <v>3.0324282434353118</v>
      </c>
      <c r="G68">
        <f t="shared" si="7"/>
        <v>3.1340332336324357</v>
      </c>
      <c r="H68">
        <f t="shared" si="8"/>
        <v>0.45358087706013761</v>
      </c>
      <c r="I68">
        <v>-3.2419882822799839E-2</v>
      </c>
      <c r="J68">
        <v>91.647999832153317</v>
      </c>
      <c r="K68">
        <v>0.58941031848887282</v>
      </c>
      <c r="L68">
        <v>31.064</v>
      </c>
      <c r="M68">
        <v>0.19978005157854797</v>
      </c>
      <c r="N68">
        <v>41.338999999999999</v>
      </c>
      <c r="O68">
        <v>0.2658610466200616</v>
      </c>
      <c r="P68">
        <v>36.280999999999999</v>
      </c>
      <c r="Q68">
        <v>0.23333183271057489</v>
      </c>
      <c r="R68">
        <v>-12.936999999999999</v>
      </c>
      <c r="S68">
        <v>-8.3200956968570536E-2</v>
      </c>
      <c r="T68">
        <v>2.270999999999999</v>
      </c>
      <c r="U68">
        <v>56.704000000000001</v>
      </c>
      <c r="V68">
        <v>-30.891449999999999</v>
      </c>
      <c r="W68">
        <v>-0.19867034104867806</v>
      </c>
    </row>
    <row r="69" spans="1:23" x14ac:dyDescent="0.2">
      <c r="A69" t="s">
        <v>343</v>
      </c>
      <c r="B69">
        <v>343.18979999999999</v>
      </c>
      <c r="C69">
        <v>163.92599999999999</v>
      </c>
      <c r="D69">
        <v>181.369</v>
      </c>
      <c r="E69">
        <v>204.3</v>
      </c>
      <c r="F69">
        <f t="shared" si="6"/>
        <v>1.8922186261158191</v>
      </c>
      <c r="G69">
        <f t="shared" si="7"/>
        <v>1.6798325991189427</v>
      </c>
      <c r="H69">
        <f t="shared" si="8"/>
        <v>0.10640776935934515</v>
      </c>
      <c r="I69">
        <v>0.12643285236175972</v>
      </c>
      <c r="J69">
        <v>150.5580012512207</v>
      </c>
      <c r="K69">
        <v>0.83011981789181555</v>
      </c>
      <c r="L69">
        <v>75.349999999999994</v>
      </c>
      <c r="M69">
        <v>0.41545137261604792</v>
      </c>
      <c r="N69">
        <v>96.477000000000004</v>
      </c>
      <c r="O69">
        <v>0.53193765196918985</v>
      </c>
      <c r="P69">
        <v>28.091000000000001</v>
      </c>
      <c r="Q69">
        <v>0.15488313879439156</v>
      </c>
      <c r="R69">
        <v>-47.040999999999997</v>
      </c>
      <c r="S69">
        <v>-0.25936626435609172</v>
      </c>
      <c r="T69">
        <v>14.708</v>
      </c>
      <c r="U69">
        <v>85.832999999999998</v>
      </c>
      <c r="V69">
        <v>-51.76737</v>
      </c>
      <c r="W69">
        <v>-0.28542567914031614</v>
      </c>
    </row>
    <row r="70" spans="1:23" x14ac:dyDescent="0.2">
      <c r="A70" t="s">
        <v>369</v>
      </c>
      <c r="B70">
        <v>305.15159999999997</v>
      </c>
      <c r="C70">
        <v>34.701000000000001</v>
      </c>
      <c r="D70">
        <v>55.426000000000002</v>
      </c>
      <c r="E70">
        <v>77.417000000000002</v>
      </c>
      <c r="F70">
        <f t="shared" si="6"/>
        <v>5.505567784072456</v>
      </c>
      <c r="G70">
        <f t="shared" si="7"/>
        <v>3.9416613922006789</v>
      </c>
      <c r="H70">
        <f t="shared" si="8"/>
        <v>0.5972450361661048</v>
      </c>
      <c r="I70">
        <v>0.39676325190343875</v>
      </c>
      <c r="J70">
        <v>48.276000267028806</v>
      </c>
      <c r="K70">
        <v>0.87099917488234413</v>
      </c>
      <c r="L70">
        <v>10.43</v>
      </c>
      <c r="M70">
        <v>0.1881788330386461</v>
      </c>
      <c r="N70">
        <v>14.484</v>
      </c>
      <c r="O70">
        <v>0.2613214015083174</v>
      </c>
      <c r="P70">
        <v>11.31</v>
      </c>
      <c r="Q70">
        <v>0.20405585826146574</v>
      </c>
      <c r="R70">
        <v>6.4513846153849999</v>
      </c>
      <c r="S70">
        <v>0.11639635938702053</v>
      </c>
      <c r="T70">
        <v>4.0730000000000004</v>
      </c>
      <c r="U70">
        <v>9.0860000000000003</v>
      </c>
      <c r="V70">
        <v>2.9750000000000001</v>
      </c>
      <c r="W70">
        <v>5.3675170497600407E-2</v>
      </c>
    </row>
    <row r="71" spans="1:23" x14ac:dyDescent="0.2">
      <c r="A71" t="s">
        <v>223</v>
      </c>
      <c r="B71">
        <v>1905.4384</v>
      </c>
      <c r="C71">
        <v>141.84100000000001</v>
      </c>
      <c r="D71">
        <v>282.14300000000003</v>
      </c>
      <c r="E71">
        <v>349.18299999999999</v>
      </c>
      <c r="F71">
        <f t="shared" si="6"/>
        <v>6.7534491374941066</v>
      </c>
      <c r="G71">
        <f t="shared" si="7"/>
        <v>5.4568475555797393</v>
      </c>
      <c r="H71">
        <f t="shared" si="8"/>
        <v>0.98914982268878537</v>
      </c>
      <c r="I71">
        <v>0.23761000627341433</v>
      </c>
      <c r="J71">
        <v>206.71999600219726</v>
      </c>
      <c r="K71">
        <v>0.73267809586697963</v>
      </c>
      <c r="L71">
        <v>38.372999999999998</v>
      </c>
      <c r="M71">
        <v>0.13600550075670845</v>
      </c>
      <c r="N71">
        <v>121.246</v>
      </c>
      <c r="O71">
        <v>0.42973244064180216</v>
      </c>
      <c r="P71">
        <v>36.988999999999997</v>
      </c>
      <c r="Q71">
        <v>0.13110018678471552</v>
      </c>
      <c r="R71">
        <v>17.619</v>
      </c>
      <c r="S71">
        <v>6.2447056988831899E-2</v>
      </c>
      <c r="T71">
        <v>19.605</v>
      </c>
      <c r="U71">
        <v>78.338999999999999</v>
      </c>
      <c r="V71">
        <v>-11.200076829023001</v>
      </c>
      <c r="W71">
        <v>-3.9696454737572787E-2</v>
      </c>
    </row>
    <row r="72" spans="1:23" x14ac:dyDescent="0.2">
      <c r="A72" t="s">
        <v>355</v>
      </c>
      <c r="B72">
        <v>374.9058</v>
      </c>
      <c r="C72">
        <v>201.64599999999999</v>
      </c>
      <c r="D72">
        <v>271.697</v>
      </c>
      <c r="E72">
        <v>301</v>
      </c>
      <c r="F72">
        <f t="shared" si="6"/>
        <v>1.3798672786228776</v>
      </c>
      <c r="G72">
        <f t="shared" si="7"/>
        <v>1.245534219269103</v>
      </c>
      <c r="H72">
        <f t="shared" si="8"/>
        <v>0.3473959314838877</v>
      </c>
      <c r="I72">
        <v>0.10785176133707775</v>
      </c>
      <c r="J72">
        <v>87.58700073242187</v>
      </c>
      <c r="K72">
        <v>0.32237014296227734</v>
      </c>
      <c r="L72">
        <v>6.9419999999999993</v>
      </c>
      <c r="M72">
        <v>2.5550521352830539E-2</v>
      </c>
      <c r="N72">
        <v>27.244</v>
      </c>
      <c r="O72">
        <v>0.10027346639823038</v>
      </c>
      <c r="P72">
        <v>22.837</v>
      </c>
      <c r="Q72">
        <v>8.4053191606826727E-2</v>
      </c>
      <c r="R72">
        <v>41.933999999999997</v>
      </c>
      <c r="S72">
        <v>0.15434104903624257</v>
      </c>
      <c r="T72">
        <v>23.638000000000002</v>
      </c>
      <c r="U72">
        <v>76.075999999999993</v>
      </c>
      <c r="V72">
        <v>18.194142797403998</v>
      </c>
      <c r="W72">
        <v>6.6964827721336634E-2</v>
      </c>
    </row>
    <row r="73" spans="1:23" x14ac:dyDescent="0.2">
      <c r="A73" t="s">
        <v>590</v>
      </c>
      <c r="B73">
        <v>4083.6496999999999</v>
      </c>
      <c r="C73">
        <v>463.38099999999997</v>
      </c>
      <c r="D73">
        <v>609.726</v>
      </c>
      <c r="E73">
        <v>719.86699999999996</v>
      </c>
      <c r="F73">
        <f t="shared" si="6"/>
        <v>6.6975160973945673</v>
      </c>
      <c r="G73">
        <f t="shared" si="7"/>
        <v>5.6727835836341995</v>
      </c>
      <c r="H73">
        <f t="shared" si="8"/>
        <v>0.31582002714828628</v>
      </c>
      <c r="I73">
        <v>0.1806401563981197</v>
      </c>
      <c r="J73">
        <v>460.99100408935544</v>
      </c>
      <c r="K73">
        <v>0.75606256595479848</v>
      </c>
      <c r="L73">
        <v>138.56399999999999</v>
      </c>
      <c r="M73">
        <v>0.22725617736491471</v>
      </c>
      <c r="N73">
        <v>126.273</v>
      </c>
      <c r="O73">
        <v>0.2070979423544346</v>
      </c>
      <c r="P73">
        <v>94.323999999999998</v>
      </c>
      <c r="Q73">
        <v>0.15469899594243972</v>
      </c>
      <c r="R73">
        <v>82.144000000000005</v>
      </c>
      <c r="S73">
        <v>0.13472280991789756</v>
      </c>
      <c r="T73">
        <v>44.370999999999995</v>
      </c>
      <c r="U73">
        <v>237.32499999999999</v>
      </c>
      <c r="V73">
        <v>48.942264632863001</v>
      </c>
      <c r="W73">
        <v>8.0269276089363087E-2</v>
      </c>
    </row>
    <row r="74" spans="1:23" x14ac:dyDescent="0.2">
      <c r="A74" t="s">
        <v>558</v>
      </c>
      <c r="B74">
        <v>3220.2809999999999</v>
      </c>
      <c r="C74">
        <v>65.271000000000001</v>
      </c>
      <c r="D74">
        <v>192.24099999999999</v>
      </c>
      <c r="E74">
        <v>271.53800000000001</v>
      </c>
      <c r="F74">
        <f t="shared" si="6"/>
        <v>16.751270540623491</v>
      </c>
      <c r="G74">
        <f t="shared" si="7"/>
        <v>11.859411942343245</v>
      </c>
      <c r="H74">
        <f t="shared" si="8"/>
        <v>1.9452743178440652</v>
      </c>
      <c r="I74">
        <v>0.41248745064788483</v>
      </c>
      <c r="J74">
        <v>138.52599877929688</v>
      </c>
      <c r="K74">
        <v>0.72058509256244452</v>
      </c>
      <c r="L74">
        <v>62.201999999999998</v>
      </c>
      <c r="M74">
        <v>0.32356261151367294</v>
      </c>
      <c r="N74">
        <v>109.95</v>
      </c>
      <c r="O74">
        <v>0.57193834821916245</v>
      </c>
      <c r="P74">
        <v>36.774999999999999</v>
      </c>
      <c r="Q74">
        <v>0.19129634157125691</v>
      </c>
      <c r="R74">
        <v>-107.69300000000001</v>
      </c>
      <c r="S74">
        <v>-0.5601978766236132</v>
      </c>
      <c r="T74">
        <v>-44.982999999999997</v>
      </c>
      <c r="U74">
        <v>61.901999999999994</v>
      </c>
      <c r="V74">
        <v>-111</v>
      </c>
      <c r="W74">
        <v>-0.57740024240406573</v>
      </c>
    </row>
    <row r="75" spans="1:23" x14ac:dyDescent="0.2">
      <c r="A75" t="s">
        <v>257</v>
      </c>
      <c r="B75">
        <v>1454.999</v>
      </c>
      <c r="C75">
        <v>139.02099999999999</v>
      </c>
      <c r="D75">
        <v>211.739</v>
      </c>
      <c r="E75">
        <v>279.25700000000001</v>
      </c>
      <c r="F75">
        <f t="shared" si="6"/>
        <v>6.8716627546177129</v>
      </c>
      <c r="G75">
        <f t="shared" si="7"/>
        <v>5.2102507725858258</v>
      </c>
      <c r="H75">
        <f t="shared" si="8"/>
        <v>0.52307205386236633</v>
      </c>
      <c r="I75">
        <v>0.31887370772507673</v>
      </c>
      <c r="J75">
        <v>149.78799795532225</v>
      </c>
      <c r="K75">
        <v>0.70741808526214944</v>
      </c>
      <c r="L75">
        <v>35.809999999999995</v>
      </c>
      <c r="M75">
        <v>0.16912330746815651</v>
      </c>
      <c r="N75">
        <v>71.825000000000003</v>
      </c>
      <c r="O75">
        <v>0.33921478801732324</v>
      </c>
      <c r="P75">
        <v>37.470999999999997</v>
      </c>
      <c r="Q75">
        <v>0.176967870822097</v>
      </c>
      <c r="R75">
        <v>-11.435911392404998</v>
      </c>
      <c r="S75">
        <v>-5.4009471058260393E-2</v>
      </c>
      <c r="T75">
        <v>-8.91</v>
      </c>
      <c r="U75">
        <v>232.01899999999998</v>
      </c>
      <c r="V75">
        <v>-22.763379999999998</v>
      </c>
      <c r="W75">
        <v>-0.10750678901855586</v>
      </c>
    </row>
    <row r="76" spans="1:23" x14ac:dyDescent="0.2">
      <c r="A76" t="s">
        <v>171</v>
      </c>
      <c r="B76">
        <v>2833.0971</v>
      </c>
      <c r="C76">
        <v>604.55700000000002</v>
      </c>
      <c r="D76">
        <v>558.87699999999995</v>
      </c>
      <c r="E76">
        <v>561.4</v>
      </c>
      <c r="F76">
        <f t="shared" si="6"/>
        <v>5.0692676563895098</v>
      </c>
      <c r="G76">
        <f t="shared" si="7"/>
        <v>5.0464857499109375</v>
      </c>
      <c r="H76">
        <f t="shared" si="8"/>
        <v>-7.5559459240402582E-2</v>
      </c>
      <c r="I76">
        <v>4.5144101474923204E-3</v>
      </c>
      <c r="J76">
        <v>322.08900360107418</v>
      </c>
      <c r="K76">
        <v>0.57631465170524854</v>
      </c>
      <c r="L76">
        <v>57.704000000000001</v>
      </c>
      <c r="M76">
        <v>0.10324991008755058</v>
      </c>
      <c r="N76">
        <v>47.481999999999999</v>
      </c>
      <c r="O76">
        <v>8.4959660175673718E-2</v>
      </c>
      <c r="P76">
        <v>46.054000000000002</v>
      </c>
      <c r="Q76">
        <v>8.2404536239637713E-2</v>
      </c>
      <c r="R76">
        <v>152.07</v>
      </c>
      <c r="S76">
        <v>0.27209922755812105</v>
      </c>
      <c r="T76">
        <v>142.90699999999998</v>
      </c>
      <c r="U76">
        <v>125.52199999999999</v>
      </c>
      <c r="V76">
        <v>105.80647999999999</v>
      </c>
      <c r="W76">
        <v>0.18931979666366661</v>
      </c>
    </row>
    <row r="77" spans="1:23" x14ac:dyDescent="0.2">
      <c r="A77" t="s">
        <v>287</v>
      </c>
      <c r="B77">
        <v>1214.4014</v>
      </c>
      <c r="C77">
        <v>222.779</v>
      </c>
      <c r="D77">
        <v>233.78399999999999</v>
      </c>
      <c r="E77">
        <v>258.85399999999998</v>
      </c>
      <c r="F77">
        <f t="shared" si="6"/>
        <v>5.194544536837423</v>
      </c>
      <c r="G77">
        <f t="shared" si="7"/>
        <v>4.6914530971126585</v>
      </c>
      <c r="H77">
        <f t="shared" si="8"/>
        <v>4.9398731478281145E-2</v>
      </c>
      <c r="I77">
        <v>0.10723573897272698</v>
      </c>
      <c r="J77">
        <v>174.50399725341796</v>
      </c>
      <c r="K77">
        <v>0.74643259270702</v>
      </c>
      <c r="L77">
        <v>40.033999999999999</v>
      </c>
      <c r="M77">
        <v>0.17124354104643602</v>
      </c>
      <c r="N77">
        <v>90.905000000000001</v>
      </c>
      <c r="O77">
        <v>0.38884183690928381</v>
      </c>
      <c r="P77">
        <v>43.124000000000002</v>
      </c>
      <c r="Q77">
        <v>0.18446086986277935</v>
      </c>
      <c r="R77">
        <v>9.7840000000000007</v>
      </c>
      <c r="S77">
        <v>4.1850597132395723E-2</v>
      </c>
      <c r="T77">
        <v>-19.381999999999998</v>
      </c>
      <c r="U77">
        <v>56.114999999999995</v>
      </c>
      <c r="V77">
        <v>-8.9980586626340013</v>
      </c>
      <c r="W77">
        <v>-3.8488770243618048E-2</v>
      </c>
    </row>
    <row r="78" spans="1:23" x14ac:dyDescent="0.2">
      <c r="A78" t="s">
        <v>153</v>
      </c>
      <c r="B78">
        <v>4064.2968000000001</v>
      </c>
      <c r="C78">
        <v>336.06799999999998</v>
      </c>
      <c r="D78">
        <v>1130.17</v>
      </c>
      <c r="E78">
        <v>1221.8890000000001</v>
      </c>
      <c r="F78">
        <f t="shared" si="6"/>
        <v>3.5961818133555128</v>
      </c>
      <c r="G78">
        <f t="shared" si="7"/>
        <v>3.3262405995961988</v>
      </c>
      <c r="H78">
        <f t="shared" si="8"/>
        <v>2.3629205994025022</v>
      </c>
      <c r="I78">
        <v>8.1155047470734543E-2</v>
      </c>
      <c r="J78">
        <v>883.36700305175782</v>
      </c>
      <c r="K78">
        <v>0.78162312134613177</v>
      </c>
      <c r="L78">
        <v>156.73099999999999</v>
      </c>
      <c r="M78">
        <v>0.13867913676703503</v>
      </c>
      <c r="N78">
        <v>346.96100000000001</v>
      </c>
      <c r="O78">
        <v>0.30699894706106162</v>
      </c>
      <c r="P78">
        <v>160.36600000000001</v>
      </c>
      <c r="Q78">
        <v>0.1418954670536291</v>
      </c>
      <c r="R78">
        <v>389.65500000000003</v>
      </c>
      <c r="S78">
        <v>0.34477556473804827</v>
      </c>
      <c r="T78">
        <v>328.89800000000002</v>
      </c>
      <c r="U78">
        <v>252.40199999999999</v>
      </c>
      <c r="V78">
        <v>85.247472264912005</v>
      </c>
      <c r="W78">
        <v>7.5428893232798611E-2</v>
      </c>
    </row>
    <row r="79" spans="1:23" x14ac:dyDescent="0.2">
      <c r="A79" t="s">
        <v>251</v>
      </c>
      <c r="B79">
        <v>1563.4879000000001</v>
      </c>
      <c r="C79">
        <v>115.95099999999999</v>
      </c>
      <c r="D79">
        <v>143.75199999999998</v>
      </c>
      <c r="E79">
        <v>169.75800000000001</v>
      </c>
      <c r="F79">
        <f t="shared" si="6"/>
        <v>10.876286242974013</v>
      </c>
      <c r="G79">
        <f t="shared" si="7"/>
        <v>9.2100984931490704</v>
      </c>
      <c r="H79">
        <f t="shared" si="8"/>
        <v>0.23976507317746279</v>
      </c>
      <c r="I79">
        <v>0.18090878735600224</v>
      </c>
      <c r="J79">
        <v>101.70600183105469</v>
      </c>
      <c r="K79">
        <v>0.70751016911802767</v>
      </c>
      <c r="L79">
        <v>23.690999999999999</v>
      </c>
      <c r="M79">
        <v>0.16480466358728924</v>
      </c>
      <c r="N79">
        <v>29.28</v>
      </c>
      <c r="O79">
        <v>0.20368412265568483</v>
      </c>
      <c r="P79">
        <v>13.855</v>
      </c>
      <c r="Q79">
        <v>9.6381267738883655E-2</v>
      </c>
      <c r="R79">
        <v>35.331999999999994</v>
      </c>
      <c r="S79">
        <v>0.2457844064778229</v>
      </c>
      <c r="T79">
        <v>17.315999999999999</v>
      </c>
      <c r="U79">
        <v>158.398</v>
      </c>
      <c r="V79">
        <v>20.335000000000001</v>
      </c>
      <c r="W79">
        <v>0.14145890144137127</v>
      </c>
    </row>
    <row r="80" spans="1:23" x14ac:dyDescent="0.2">
      <c r="A80" t="s">
        <v>329</v>
      </c>
      <c r="B80">
        <v>748.60599999999999</v>
      </c>
      <c r="C80">
        <v>70.322000000000003</v>
      </c>
      <c r="D80">
        <v>42.178586942867071</v>
      </c>
      <c r="E80">
        <v>103.099</v>
      </c>
      <c r="F80">
        <f t="shared" si="6"/>
        <v>17.748484580908862</v>
      </c>
      <c r="G80">
        <f t="shared" si="7"/>
        <v>7.2610403592663362</v>
      </c>
      <c r="H80">
        <f t="shared" si="8"/>
        <v>-0.40020780206952206</v>
      </c>
      <c r="I80">
        <v>1.4443445708518534</v>
      </c>
      <c r="J80">
        <v>10.568609400887199</v>
      </c>
      <c r="K80">
        <v>0.25056812394409728</v>
      </c>
      <c r="L80">
        <v>10.614831048696628</v>
      </c>
      <c r="M80">
        <v>0.25166397971261883</v>
      </c>
      <c r="N80">
        <v>8.8403345824744104</v>
      </c>
      <c r="O80">
        <v>0.20959295280444246</v>
      </c>
      <c r="P80">
        <v>4.8045328849601585</v>
      </c>
      <c r="Q80">
        <v>0.11390928983628897</v>
      </c>
      <c r="R80">
        <v>-12.381475760643527</v>
      </c>
      <c r="S80">
        <v>-0.29354885163447586</v>
      </c>
      <c r="T80" t="s">
        <v>480</v>
      </c>
      <c r="U80">
        <v>208.161</v>
      </c>
      <c r="V80">
        <v>-13.376278212695807</v>
      </c>
      <c r="W80">
        <v>-0.31713433716531614</v>
      </c>
    </row>
    <row r="81" spans="1:23" x14ac:dyDescent="0.2">
      <c r="A81" t="s">
        <v>157</v>
      </c>
      <c r="B81">
        <v>4272.2191999999995</v>
      </c>
      <c r="C81">
        <v>874.255</v>
      </c>
      <c r="D81">
        <v>1158.5079999999998</v>
      </c>
      <c r="E81">
        <v>1252.3330000000001</v>
      </c>
      <c r="F81">
        <f t="shared" si="6"/>
        <v>3.6876907194425934</v>
      </c>
      <c r="G81">
        <f t="shared" si="7"/>
        <v>3.4114083075348165</v>
      </c>
      <c r="H81">
        <f t="shared" si="8"/>
        <v>0.3251374027028725</v>
      </c>
      <c r="I81">
        <v>8.0987787740784078E-2</v>
      </c>
      <c r="J81">
        <v>974.26899780273436</v>
      </c>
      <c r="K81">
        <v>0.84096872684757851</v>
      </c>
      <c r="L81">
        <v>46.003999999999998</v>
      </c>
      <c r="M81">
        <v>3.9709695573962374E-2</v>
      </c>
      <c r="N81">
        <v>330.29599999999999</v>
      </c>
      <c r="O81">
        <v>0.28510463458172064</v>
      </c>
      <c r="P81">
        <v>323.517</v>
      </c>
      <c r="Q81">
        <v>0.27925314283544012</v>
      </c>
      <c r="R81">
        <v>412.85069230769199</v>
      </c>
      <c r="S81">
        <v>0.35636412722889443</v>
      </c>
      <c r="T81">
        <v>324.49900000000002</v>
      </c>
      <c r="U81">
        <v>350.94499999999999</v>
      </c>
      <c r="V81">
        <v>150.78399999999999</v>
      </c>
      <c r="W81">
        <v>0.1301536113691058</v>
      </c>
    </row>
    <row r="82" spans="1:23" x14ac:dyDescent="0.2">
      <c r="A82" t="s">
        <v>19</v>
      </c>
      <c r="B82">
        <v>52287.719499999999</v>
      </c>
      <c r="C82">
        <v>4694</v>
      </c>
      <c r="D82">
        <v>5964</v>
      </c>
      <c r="E82">
        <v>6610.5380000000005</v>
      </c>
      <c r="F82">
        <f t="shared" si="6"/>
        <v>8.7672232562038896</v>
      </c>
      <c r="G82">
        <f t="shared" si="7"/>
        <v>7.9097525042591084</v>
      </c>
      <c r="H82">
        <f t="shared" si="8"/>
        <v>0.27055815935236471</v>
      </c>
      <c r="I82">
        <v>0.10840677397719656</v>
      </c>
      <c r="J82">
        <v>4992</v>
      </c>
      <c r="K82">
        <v>0.83702213279678073</v>
      </c>
      <c r="L82">
        <v>1186</v>
      </c>
      <c r="M82">
        <v>0.19885982562038901</v>
      </c>
      <c r="N82">
        <v>1634</v>
      </c>
      <c r="O82">
        <v>0.27397719651240776</v>
      </c>
      <c r="P82">
        <v>664</v>
      </c>
      <c r="Q82">
        <v>0.11133467471495641</v>
      </c>
      <c r="R82">
        <v>1823</v>
      </c>
      <c r="S82">
        <v>0.3056673373574782</v>
      </c>
      <c r="T82">
        <v>1938</v>
      </c>
      <c r="U82">
        <v>1464</v>
      </c>
      <c r="V82">
        <v>1268.9562790151069</v>
      </c>
      <c r="W82">
        <v>0.21276932914404878</v>
      </c>
    </row>
    <row r="83" spans="1:23" x14ac:dyDescent="0.2">
      <c r="A83" t="s">
        <v>305</v>
      </c>
      <c r="B83">
        <v>1011.2338999999999</v>
      </c>
      <c r="C83">
        <v>110.88</v>
      </c>
      <c r="D83">
        <v>184.83700000000002</v>
      </c>
      <c r="E83">
        <v>231.28900000000002</v>
      </c>
      <c r="F83">
        <f t="shared" si="6"/>
        <v>5.4709495393238363</v>
      </c>
      <c r="G83">
        <f t="shared" si="7"/>
        <v>4.3721659914652227</v>
      </c>
      <c r="H83">
        <f t="shared" si="8"/>
        <v>0.66700036075036095</v>
      </c>
      <c r="I83">
        <v>0.25131331930295331</v>
      </c>
      <c r="J83">
        <v>130.4860018157959</v>
      </c>
      <c r="K83">
        <v>0.70595174026734853</v>
      </c>
      <c r="L83">
        <v>48.292999999999999</v>
      </c>
      <c r="M83">
        <v>0.26127344633379679</v>
      </c>
      <c r="N83">
        <v>83.715999999999994</v>
      </c>
      <c r="O83">
        <v>0.45291797637918807</v>
      </c>
      <c r="P83">
        <v>31.196000000000002</v>
      </c>
      <c r="Q83">
        <v>0.16877573213155375</v>
      </c>
      <c r="R83">
        <v>-40.238</v>
      </c>
      <c r="S83">
        <v>-0.21769450921622832</v>
      </c>
      <c r="T83">
        <v>-18.588999999999992</v>
      </c>
      <c r="U83">
        <v>35.692999999999998</v>
      </c>
      <c r="V83">
        <v>-49.079000000000001</v>
      </c>
      <c r="W83">
        <v>-0.2655258416875409</v>
      </c>
    </row>
    <row r="84" spans="1:23" x14ac:dyDescent="0.2">
      <c r="A84" t="s">
        <v>561</v>
      </c>
      <c r="B84">
        <v>2404.9515999999999</v>
      </c>
      <c r="C84">
        <v>427.58800000000002</v>
      </c>
      <c r="D84">
        <v>476.02700000000004</v>
      </c>
      <c r="E84">
        <v>635.75</v>
      </c>
      <c r="F84">
        <f t="shared" si="6"/>
        <v>5.0521327571755377</v>
      </c>
      <c r="G84">
        <f t="shared" si="7"/>
        <v>3.7828574125049155</v>
      </c>
      <c r="H84">
        <f t="shared" si="8"/>
        <v>0.11328428300139391</v>
      </c>
      <c r="I84">
        <v>0.33553348864665233</v>
      </c>
      <c r="J84">
        <v>327.95800305175783</v>
      </c>
      <c r="K84">
        <v>0.68894832236776027</v>
      </c>
      <c r="L84">
        <v>27.382999999999999</v>
      </c>
      <c r="M84">
        <v>5.7524048005680346E-2</v>
      </c>
      <c r="N84">
        <v>34.103000000000002</v>
      </c>
      <c r="O84">
        <v>7.164089431901971E-2</v>
      </c>
      <c r="P84">
        <v>149.94800000000001</v>
      </c>
      <c r="Q84">
        <v>0.31499893913580529</v>
      </c>
      <c r="R84">
        <v>100.64099999999999</v>
      </c>
      <c r="S84">
        <v>0.21141868003285524</v>
      </c>
      <c r="T84">
        <v>3.2039999999999935</v>
      </c>
      <c r="U84">
        <v>208.94399999999999</v>
      </c>
      <c r="V84">
        <v>7.2179362649929981</v>
      </c>
      <c r="W84">
        <v>1.5162871570295377E-2</v>
      </c>
    </row>
    <row r="85" spans="1:23" x14ac:dyDescent="0.2">
      <c r="A85" t="s">
        <v>229</v>
      </c>
      <c r="B85">
        <v>1544.9141</v>
      </c>
      <c r="C85">
        <v>264.45499999999998</v>
      </c>
      <c r="D85">
        <v>344.017</v>
      </c>
      <c r="E85">
        <v>369.76900000000001</v>
      </c>
      <c r="F85">
        <f t="shared" si="6"/>
        <v>4.4908074310281174</v>
      </c>
      <c r="G85">
        <f t="shared" si="7"/>
        <v>4.1780519729885413</v>
      </c>
      <c r="H85">
        <f t="shared" si="8"/>
        <v>0.30085269705620998</v>
      </c>
      <c r="I85">
        <v>7.4856765799364622E-2</v>
      </c>
      <c r="J85">
        <v>274.43599694824218</v>
      </c>
      <c r="K85">
        <v>0.79773963771628198</v>
      </c>
      <c r="L85">
        <v>63.451999999999998</v>
      </c>
      <c r="M85">
        <v>0.1844443733885244</v>
      </c>
      <c r="N85">
        <v>152.178</v>
      </c>
      <c r="O85">
        <v>0.44235604635817416</v>
      </c>
      <c r="P85">
        <v>54.435000000000002</v>
      </c>
      <c r="Q85">
        <v>0.15823345939299513</v>
      </c>
      <c r="R85">
        <v>7.0558987341769992</v>
      </c>
      <c r="S85">
        <v>2.0510319938192006E-2</v>
      </c>
      <c r="T85">
        <v>76.452000000000012</v>
      </c>
      <c r="U85">
        <v>192.53799999999998</v>
      </c>
      <c r="V85">
        <v>-22.831899999999997</v>
      </c>
      <c r="W85">
        <v>-6.636852248580738E-2</v>
      </c>
    </row>
    <row r="86" spans="1:23" x14ac:dyDescent="0.2">
      <c r="A86" t="s">
        <v>405</v>
      </c>
      <c r="B86">
        <v>162.81110000000001</v>
      </c>
      <c r="C86">
        <v>0</v>
      </c>
      <c r="D86">
        <v>8.5688190662573405</v>
      </c>
      <c r="E86">
        <v>67.894999999999996</v>
      </c>
      <c r="F86">
        <f t="shared" si="6"/>
        <v>19.000412862155589</v>
      </c>
      <c r="G86">
        <f t="shared" si="7"/>
        <v>2.3979836512261583</v>
      </c>
      <c r="H86" t="e">
        <f t="shared" si="8"/>
        <v>#DIV/0!</v>
      </c>
      <c r="I86">
        <v>6.923495580313956</v>
      </c>
      <c r="J86">
        <v>2.4821392877652002</v>
      </c>
      <c r="K86">
        <v>0.2896711050347035</v>
      </c>
      <c r="L86">
        <v>0</v>
      </c>
      <c r="M86">
        <v>0</v>
      </c>
      <c r="O86"/>
      <c r="P86">
        <v>1.0619080464735536E-2</v>
      </c>
      <c r="Q86">
        <v>1.2392700070598761E-3</v>
      </c>
      <c r="R86">
        <v>4.4655614782134192</v>
      </c>
      <c r="S86">
        <v>0.52114082975542064</v>
      </c>
      <c r="T86" t="s">
        <v>480</v>
      </c>
      <c r="U86">
        <v>0.28625200000000001</v>
      </c>
      <c r="V86">
        <v>-3.0786477360037656</v>
      </c>
      <c r="W86">
        <v>-0.35928495072640704</v>
      </c>
    </row>
    <row r="87" spans="1:23" x14ac:dyDescent="0.2">
      <c r="A87" t="s">
        <v>129</v>
      </c>
      <c r="B87">
        <v>4738.1673000000001</v>
      </c>
      <c r="C87">
        <v>270.96699999999998</v>
      </c>
      <c r="D87">
        <v>441.399</v>
      </c>
      <c r="E87">
        <v>558.06700000000001</v>
      </c>
      <c r="F87">
        <f t="shared" si="6"/>
        <v>10.734431432785303</v>
      </c>
      <c r="G87">
        <f t="shared" si="7"/>
        <v>8.490319800310715</v>
      </c>
      <c r="H87">
        <f t="shared" si="8"/>
        <v>0.62897696029405803</v>
      </c>
      <c r="I87">
        <v>0.26431414661111607</v>
      </c>
      <c r="J87">
        <v>354.10500488281252</v>
      </c>
      <c r="K87">
        <v>0.80223336455862504</v>
      </c>
      <c r="L87">
        <v>70.37299999999999</v>
      </c>
      <c r="M87">
        <v>0.15943171597579511</v>
      </c>
      <c r="N87">
        <v>212.85900000000001</v>
      </c>
      <c r="O87">
        <v>0.48223715957670954</v>
      </c>
      <c r="P87">
        <v>56.786999999999999</v>
      </c>
      <c r="Q87">
        <v>0.12865230777595779</v>
      </c>
      <c r="R87">
        <v>-24.503810126582</v>
      </c>
      <c r="S87">
        <v>-5.5513968374604379E-2</v>
      </c>
      <c r="T87">
        <v>43.858999999999995</v>
      </c>
      <c r="U87">
        <v>87.679999999999993</v>
      </c>
      <c r="V87">
        <v>-55.844099999999997</v>
      </c>
      <c r="W87">
        <v>-0.1265161452563327</v>
      </c>
    </row>
    <row r="88" spans="1:23" x14ac:dyDescent="0.2">
      <c r="A88" t="s">
        <v>267</v>
      </c>
      <c r="B88">
        <v>1375.7365</v>
      </c>
      <c r="C88">
        <v>184.46100000000001</v>
      </c>
      <c r="D88">
        <v>309.411</v>
      </c>
      <c r="E88">
        <v>376.04599999999999</v>
      </c>
      <c r="F88">
        <f t="shared" si="6"/>
        <v>4.4463076619771114</v>
      </c>
      <c r="G88">
        <f t="shared" si="7"/>
        <v>3.6584260968073057</v>
      </c>
      <c r="H88">
        <f t="shared" si="8"/>
        <v>0.67737895815375593</v>
      </c>
      <c r="I88">
        <v>0.21536079842022415</v>
      </c>
      <c r="J88">
        <v>220.4609998474121</v>
      </c>
      <c r="K88">
        <v>0.71251830040758768</v>
      </c>
      <c r="L88">
        <v>101.09399999999999</v>
      </c>
      <c r="M88">
        <v>0.32673046530343136</v>
      </c>
      <c r="N88">
        <v>200.18799999999999</v>
      </c>
      <c r="O88">
        <v>0.64699703630446226</v>
      </c>
      <c r="P88">
        <v>78.281999999999996</v>
      </c>
      <c r="Q88">
        <v>0.25300328689025275</v>
      </c>
      <c r="R88">
        <v>-163.124</v>
      </c>
      <c r="S88">
        <v>-0.52720814709237873</v>
      </c>
      <c r="T88">
        <v>19.364999999999998</v>
      </c>
      <c r="U88">
        <v>62.738999999999997</v>
      </c>
      <c r="V88">
        <v>-176.84800000000001</v>
      </c>
      <c r="W88">
        <v>-0.57156338979545007</v>
      </c>
    </row>
    <row r="89" spans="1:23" x14ac:dyDescent="0.2">
      <c r="A89" t="s">
        <v>101</v>
      </c>
      <c r="B89">
        <v>6390.3563999999997</v>
      </c>
      <c r="C89">
        <v>424.44600000000003</v>
      </c>
      <c r="D89">
        <v>661.06700000000001</v>
      </c>
      <c r="E89">
        <v>749.7</v>
      </c>
      <c r="F89">
        <f t="shared" si="6"/>
        <v>9.6667303011646322</v>
      </c>
      <c r="G89">
        <f t="shared" si="7"/>
        <v>8.5238847539015605</v>
      </c>
      <c r="H89">
        <f t="shared" si="8"/>
        <v>0.55748198828590667</v>
      </c>
      <c r="I89">
        <v>0.13407566857822273</v>
      </c>
      <c r="J89">
        <v>364.36000024414062</v>
      </c>
      <c r="K89">
        <v>0.55116954899297743</v>
      </c>
      <c r="L89">
        <v>171.65699999999998</v>
      </c>
      <c r="M89">
        <v>0.25966656934924898</v>
      </c>
      <c r="N89">
        <v>124.117</v>
      </c>
      <c r="O89">
        <v>0.18775252735350578</v>
      </c>
      <c r="P89">
        <v>75.915999999999997</v>
      </c>
      <c r="Q89">
        <v>0.11483858670906277</v>
      </c>
      <c r="R89">
        <v>28.280999999999985</v>
      </c>
      <c r="S89">
        <v>4.2780837645805925E-2</v>
      </c>
      <c r="T89">
        <v>131.27800000000002</v>
      </c>
      <c r="U89">
        <v>437.14</v>
      </c>
      <c r="V89">
        <v>35.34196</v>
      </c>
      <c r="W89">
        <v>5.3461994018760582E-2</v>
      </c>
    </row>
    <row r="90" spans="1:23" x14ac:dyDescent="0.2">
      <c r="A90" t="s">
        <v>399</v>
      </c>
      <c r="B90">
        <v>194.5496</v>
      </c>
      <c r="C90">
        <v>400.25900000000001</v>
      </c>
      <c r="D90">
        <v>77.324254925706967</v>
      </c>
      <c r="E90">
        <v>93.373000000000005</v>
      </c>
      <c r="F90">
        <f t="shared" si="6"/>
        <v>2.5160229501974896</v>
      </c>
      <c r="G90">
        <f t="shared" si="7"/>
        <v>2.0835744808456407</v>
      </c>
      <c r="H90">
        <f t="shared" si="8"/>
        <v>-0.80681445032914445</v>
      </c>
      <c r="I90">
        <v>0.20755124106546718</v>
      </c>
      <c r="J90">
        <v>65.752319670119391</v>
      </c>
      <c r="K90">
        <v>0.8503453377377399</v>
      </c>
      <c r="L90">
        <v>23.226824863907463</v>
      </c>
      <c r="M90">
        <v>0.30038213606097808</v>
      </c>
      <c r="N90">
        <v>21.908126817776814</v>
      </c>
      <c r="O90">
        <v>0.28332800411495862</v>
      </c>
      <c r="P90">
        <v>12.618812398265399</v>
      </c>
      <c r="Q90">
        <v>0.16319345605579436</v>
      </c>
      <c r="R90">
        <v>-10.102160110826825</v>
      </c>
      <c r="S90">
        <v>-0.13064671777998982</v>
      </c>
      <c r="T90" t="s">
        <v>480</v>
      </c>
      <c r="U90">
        <v>524.45399999999995</v>
      </c>
      <c r="V90">
        <v>-21.599914824453627</v>
      </c>
      <c r="W90">
        <v>-0.27934203627576876</v>
      </c>
    </row>
    <row r="91" spans="1:23" x14ac:dyDescent="0.2">
      <c r="A91" t="s">
        <v>193</v>
      </c>
      <c r="B91">
        <v>2665.1181000000001</v>
      </c>
      <c r="C91">
        <v>263.86500000000001</v>
      </c>
      <c r="D91">
        <v>325.887</v>
      </c>
      <c r="E91">
        <v>515.72500000000002</v>
      </c>
      <c r="F91">
        <f t="shared" si="6"/>
        <v>8.1780436163455441</v>
      </c>
      <c r="G91">
        <f t="shared" si="7"/>
        <v>5.1677116680401376</v>
      </c>
      <c r="H91">
        <f t="shared" si="8"/>
        <v>0.23505201523506333</v>
      </c>
      <c r="I91">
        <v>0.58252707226738099</v>
      </c>
      <c r="J91">
        <v>236.179</v>
      </c>
      <c r="K91">
        <v>0.72472666906013439</v>
      </c>
      <c r="L91">
        <v>0</v>
      </c>
      <c r="M91">
        <v>0</v>
      </c>
      <c r="N91">
        <v>2.198</v>
      </c>
      <c r="O91">
        <v>6.7446691644649833E-3</v>
      </c>
      <c r="P91">
        <v>14.875999999999999</v>
      </c>
      <c r="Q91">
        <v>4.5647724518007776E-2</v>
      </c>
      <c r="R91">
        <v>150.26899999999998</v>
      </c>
      <c r="S91">
        <v>0.46110768456550882</v>
      </c>
      <c r="T91">
        <v>156.25900000000001</v>
      </c>
      <c r="U91">
        <v>224.61399999999998</v>
      </c>
      <c r="V91">
        <v>138.66800000000001</v>
      </c>
      <c r="W91">
        <v>0.42550945573158794</v>
      </c>
    </row>
    <row r="92" spans="1:23" x14ac:dyDescent="0.2">
      <c r="A92" t="s">
        <v>604</v>
      </c>
      <c r="B92">
        <v>751.91750000000002</v>
      </c>
      <c r="C92">
        <v>200.58099999999999</v>
      </c>
      <c r="D92">
        <v>332.99599999999998</v>
      </c>
      <c r="E92">
        <v>392.42</v>
      </c>
      <c r="F92">
        <f t="shared" si="6"/>
        <v>2.2580376340856949</v>
      </c>
      <c r="G92">
        <f t="shared" si="7"/>
        <v>1.9161039192701697</v>
      </c>
      <c r="H92">
        <f t="shared" si="8"/>
        <v>0.66015724320847935</v>
      </c>
      <c r="I92">
        <v>0.17845259402515357</v>
      </c>
      <c r="J92">
        <v>180.10199858093262</v>
      </c>
      <c r="K92">
        <v>0.54085333932219193</v>
      </c>
      <c r="L92">
        <v>92.42</v>
      </c>
      <c r="M92">
        <v>0.27754087136181815</v>
      </c>
      <c r="N92">
        <v>104.35599999999999</v>
      </c>
      <c r="O92">
        <v>0.31338514576751675</v>
      </c>
      <c r="P92">
        <v>34.424999999999997</v>
      </c>
      <c r="Q92">
        <v>0.10337962017561772</v>
      </c>
      <c r="R92">
        <v>-42.642000000000003</v>
      </c>
      <c r="S92">
        <v>-0.1280555922593665</v>
      </c>
      <c r="T92" t="s">
        <v>480</v>
      </c>
      <c r="U92">
        <v>63.763999999999996</v>
      </c>
      <c r="V92">
        <v>-26.043469999999999</v>
      </c>
      <c r="W92">
        <v>-7.820955807276965E-2</v>
      </c>
    </row>
    <row r="93" spans="1:23" x14ac:dyDescent="0.2">
      <c r="A93" t="s">
        <v>59</v>
      </c>
      <c r="B93">
        <v>12362.801600000001</v>
      </c>
      <c r="C93">
        <v>1275.443</v>
      </c>
      <c r="D93">
        <v>1631.1849999999999</v>
      </c>
      <c r="E93">
        <v>1909.7080000000001</v>
      </c>
      <c r="F93">
        <f t="shared" si="6"/>
        <v>7.5790309498922568</v>
      </c>
      <c r="G93">
        <f t="shared" si="7"/>
        <v>6.4736606852984853</v>
      </c>
      <c r="H93">
        <f t="shared" si="8"/>
        <v>0.27891642354852392</v>
      </c>
      <c r="I93">
        <v>0.17074887275201789</v>
      </c>
      <c r="J93">
        <v>1221.8169738769532</v>
      </c>
      <c r="K93">
        <v>0.74903642068615961</v>
      </c>
      <c r="L93">
        <v>210.614</v>
      </c>
      <c r="M93">
        <v>0.12911717555029012</v>
      </c>
      <c r="N93">
        <v>701.02599999999995</v>
      </c>
      <c r="O93">
        <v>0.42976486419382226</v>
      </c>
      <c r="P93">
        <v>87.861999999999995</v>
      </c>
      <c r="Q93">
        <v>5.386390875345224E-2</v>
      </c>
      <c r="R93">
        <v>213.77799999999999</v>
      </c>
      <c r="S93">
        <v>0.1310568696990225</v>
      </c>
      <c r="T93">
        <v>561.17100000000005</v>
      </c>
      <c r="U93">
        <v>811.00400000000002</v>
      </c>
      <c r="V93">
        <v>136.69200000000001</v>
      </c>
      <c r="W93">
        <v>8.3799201194223835E-2</v>
      </c>
    </row>
    <row r="94" spans="1:23" x14ac:dyDescent="0.2">
      <c r="A94" t="s">
        <v>299</v>
      </c>
      <c r="B94">
        <v>949.03020000000004</v>
      </c>
      <c r="C94">
        <v>166.84100000000001</v>
      </c>
      <c r="D94">
        <v>257.60300000000001</v>
      </c>
      <c r="E94">
        <v>302.613</v>
      </c>
      <c r="F94">
        <f t="shared" si="6"/>
        <v>3.6840805425402654</v>
      </c>
      <c r="G94">
        <f t="shared" si="7"/>
        <v>3.1361184086605665</v>
      </c>
      <c r="H94">
        <f t="shared" si="8"/>
        <v>0.54400297289035671</v>
      </c>
      <c r="I94">
        <v>0.17472622601444865</v>
      </c>
      <c r="J94">
        <v>194.42499871826172</v>
      </c>
      <c r="K94">
        <v>0.75474664005567371</v>
      </c>
      <c r="L94">
        <v>47.434999999999995</v>
      </c>
      <c r="M94">
        <v>0.18413993625850628</v>
      </c>
      <c r="N94">
        <v>151.09299999999999</v>
      </c>
      <c r="O94">
        <v>0.58653431831151026</v>
      </c>
      <c r="P94">
        <v>51.206000000000003</v>
      </c>
      <c r="Q94">
        <v>0.19877874093081216</v>
      </c>
      <c r="R94">
        <v>-82.965000000000003</v>
      </c>
      <c r="S94">
        <v>-0.32206534861783442</v>
      </c>
      <c r="T94">
        <v>-6.802999999999999</v>
      </c>
      <c r="U94">
        <v>63.009</v>
      </c>
      <c r="V94">
        <v>-92.112000000000009</v>
      </c>
      <c r="W94">
        <v>-0.35757347546418328</v>
      </c>
    </row>
    <row r="95" spans="1:23" x14ac:dyDescent="0.2">
      <c r="A95" t="s">
        <v>217</v>
      </c>
      <c r="B95">
        <v>2066.1927000000001</v>
      </c>
      <c r="C95">
        <v>162.09</v>
      </c>
      <c r="D95">
        <v>225.50900000000001</v>
      </c>
      <c r="E95">
        <v>266.108</v>
      </c>
      <c r="F95">
        <f t="shared" si="6"/>
        <v>9.1623513917404615</v>
      </c>
      <c r="G95">
        <f t="shared" si="7"/>
        <v>7.7644892299367179</v>
      </c>
      <c r="H95">
        <f t="shared" si="8"/>
        <v>0.39125794311802092</v>
      </c>
      <c r="I95">
        <v>0.18003272596659103</v>
      </c>
      <c r="J95">
        <v>133.13299966430662</v>
      </c>
      <c r="K95">
        <v>0.59036668010725346</v>
      </c>
      <c r="L95">
        <v>27.119999999999997</v>
      </c>
      <c r="M95">
        <v>0.12026127560319098</v>
      </c>
      <c r="N95">
        <v>66.569999999999993</v>
      </c>
      <c r="O95">
        <v>0.29519886124278849</v>
      </c>
      <c r="P95">
        <v>29.151</v>
      </c>
      <c r="Q95">
        <v>0.12926756803497863</v>
      </c>
      <c r="R95">
        <v>10.643000000000001</v>
      </c>
      <c r="S95">
        <v>4.7195455613744906E-2</v>
      </c>
      <c r="T95">
        <v>20.688000000000002</v>
      </c>
      <c r="U95">
        <v>68.947000000000003</v>
      </c>
      <c r="V95">
        <v>-2.3560000000000003</v>
      </c>
      <c r="W95">
        <v>-1.0447476597386358E-2</v>
      </c>
    </row>
    <row r="96" spans="1:23" x14ac:dyDescent="0.2">
      <c r="A96" t="s">
        <v>165</v>
      </c>
      <c r="B96">
        <v>3196.73</v>
      </c>
      <c r="C96">
        <v>714.11400000000003</v>
      </c>
      <c r="D96">
        <v>793.64200000000005</v>
      </c>
      <c r="E96">
        <v>853.05899999999997</v>
      </c>
      <c r="F96">
        <f t="shared" si="6"/>
        <v>4.0279244294026775</v>
      </c>
      <c r="G96">
        <f t="shared" si="7"/>
        <v>3.7473726905173033</v>
      </c>
      <c r="H96">
        <f t="shared" si="8"/>
        <v>0.11136597237976012</v>
      </c>
      <c r="I96">
        <v>7.4866249518044548E-2</v>
      </c>
      <c r="J96">
        <v>520.84100958251952</v>
      </c>
      <c r="K96">
        <v>0.65626694351170867</v>
      </c>
      <c r="L96">
        <v>243.273</v>
      </c>
      <c r="M96">
        <v>0.30652737632332966</v>
      </c>
      <c r="N96">
        <v>371.935</v>
      </c>
      <c r="O96">
        <v>0.46864329256768161</v>
      </c>
      <c r="P96">
        <v>125.59699999999999</v>
      </c>
      <c r="Q96">
        <v>0.15825397345402586</v>
      </c>
      <c r="R96">
        <v>-128.273</v>
      </c>
      <c r="S96">
        <v>-0.1616257708135406</v>
      </c>
      <c r="T96">
        <v>11.232999999999997</v>
      </c>
      <c r="U96">
        <v>180.89099999999999</v>
      </c>
      <c r="V96">
        <v>-257.473708220025</v>
      </c>
      <c r="W96">
        <v>-0.32442046693600513</v>
      </c>
    </row>
    <row r="97" spans="1:23" x14ac:dyDescent="0.2">
      <c r="A97" t="s">
        <v>597</v>
      </c>
      <c r="B97">
        <v>498.00700000000001</v>
      </c>
      <c r="C97">
        <v>21.366</v>
      </c>
      <c r="D97">
        <v>45.913776851069429</v>
      </c>
      <c r="E97">
        <v>104.675</v>
      </c>
      <c r="F97">
        <f t="shared" si="6"/>
        <v>10.846570118058157</v>
      </c>
      <c r="G97">
        <f t="shared" si="7"/>
        <v>4.7576498686410318</v>
      </c>
      <c r="H97">
        <f t="shared" si="8"/>
        <v>1.148917759574531</v>
      </c>
      <c r="I97">
        <v>1.2798168039962041</v>
      </c>
      <c r="J97">
        <v>32.362014866124603</v>
      </c>
      <c r="K97">
        <v>0.70484323193662135</v>
      </c>
      <c r="L97">
        <v>11.413988746902495</v>
      </c>
      <c r="M97">
        <v>0.24859616284510996</v>
      </c>
      <c r="N97">
        <v>8.1589877207270067</v>
      </c>
      <c r="O97">
        <v>0.17770238652316328</v>
      </c>
      <c r="P97">
        <v>9.0291365099026333</v>
      </c>
      <c r="Q97">
        <v>0.19665418811417876</v>
      </c>
      <c r="R97">
        <v>12.963605572070199</v>
      </c>
      <c r="S97">
        <v>0.28234674777725782</v>
      </c>
      <c r="T97">
        <v>5.6319999999999997</v>
      </c>
      <c r="U97">
        <v>24.123999999999999</v>
      </c>
      <c r="V97">
        <v>5.1382688847482347</v>
      </c>
      <c r="W97">
        <v>0.111911265793168</v>
      </c>
    </row>
    <row r="98" spans="1:23" x14ac:dyDescent="0.2">
      <c r="A98" t="s">
        <v>221</v>
      </c>
      <c r="B98">
        <v>1943.9061999999999</v>
      </c>
      <c r="C98">
        <v>685.98800000000006</v>
      </c>
      <c r="D98">
        <v>807.30500000000006</v>
      </c>
      <c r="E98">
        <v>961.45699999999999</v>
      </c>
      <c r="F98">
        <f t="shared" ref="F98:F129" si="9">B98/D98</f>
        <v>2.4078956528201854</v>
      </c>
      <c r="G98">
        <f t="shared" ref="G98:G129" si="10">B98/E98</f>
        <v>2.0218337377542626</v>
      </c>
      <c r="H98">
        <f t="shared" ref="H98:H129" si="11">(D98-C98)/C98</f>
        <v>0.17685003236208213</v>
      </c>
      <c r="I98">
        <v>0.19094642049782906</v>
      </c>
      <c r="J98">
        <v>275.29600018310543</v>
      </c>
      <c r="K98">
        <v>0.34100618747945993</v>
      </c>
      <c r="L98">
        <v>0</v>
      </c>
      <c r="M98">
        <v>0</v>
      </c>
      <c r="N98">
        <v>53.383000000000003</v>
      </c>
      <c r="O98">
        <v>6.6124946581527427E-2</v>
      </c>
      <c r="P98">
        <v>102.56699999999999</v>
      </c>
      <c r="Q98">
        <v>0.1270486371321867</v>
      </c>
      <c r="R98">
        <v>101.57077215189899</v>
      </c>
      <c r="S98">
        <v>0.12581462043700831</v>
      </c>
      <c r="T98">
        <v>49.341999999999999</v>
      </c>
      <c r="U98">
        <v>86.795000000000002</v>
      </c>
      <c r="V98">
        <v>66.466239999999999</v>
      </c>
      <c r="W98">
        <v>8.233101492001163E-2</v>
      </c>
    </row>
    <row r="99" spans="1:23" x14ac:dyDescent="0.2">
      <c r="A99" t="s">
        <v>269</v>
      </c>
      <c r="B99">
        <v>1455.3159000000001</v>
      </c>
      <c r="C99">
        <v>76.846000000000004</v>
      </c>
      <c r="D99">
        <v>122.828</v>
      </c>
      <c r="E99">
        <v>163.084</v>
      </c>
      <c r="F99">
        <f t="shared" si="9"/>
        <v>11.848405086788029</v>
      </c>
      <c r="G99">
        <f t="shared" si="10"/>
        <v>8.9237196782026444</v>
      </c>
      <c r="H99">
        <f t="shared" si="11"/>
        <v>0.59836556229341797</v>
      </c>
      <c r="I99">
        <v>0.32774285993421692</v>
      </c>
      <c r="J99">
        <v>85.026000061035163</v>
      </c>
      <c r="K99">
        <v>0.69223629840944378</v>
      </c>
      <c r="L99">
        <v>22.241</v>
      </c>
      <c r="M99">
        <v>0.18107434786856416</v>
      </c>
      <c r="N99">
        <v>46.997999999999998</v>
      </c>
      <c r="O99">
        <v>0.38263262448301688</v>
      </c>
      <c r="P99">
        <v>22.895</v>
      </c>
      <c r="Q99">
        <v>0.18639886670791675</v>
      </c>
      <c r="R99">
        <v>-24.664999999999999</v>
      </c>
      <c r="S99">
        <v>-0.20080926173185265</v>
      </c>
      <c r="T99">
        <v>-5.0739999999999998</v>
      </c>
      <c r="U99">
        <v>102.75399999999999</v>
      </c>
      <c r="V99">
        <v>-39.188639999999999</v>
      </c>
      <c r="W99">
        <v>-0.3190529846614778</v>
      </c>
    </row>
    <row r="100" spans="1:23" x14ac:dyDescent="0.2">
      <c r="A100" t="s">
        <v>181</v>
      </c>
      <c r="B100">
        <v>2781.2797</v>
      </c>
      <c r="C100">
        <v>343.274</v>
      </c>
      <c r="D100">
        <v>394.09599999999995</v>
      </c>
      <c r="E100">
        <v>427.56700000000001</v>
      </c>
      <c r="F100">
        <f t="shared" si="9"/>
        <v>7.0573659717429269</v>
      </c>
      <c r="G100">
        <f t="shared" si="10"/>
        <v>6.5048979458190175</v>
      </c>
      <c r="H100">
        <f t="shared" si="11"/>
        <v>0.14805082820137833</v>
      </c>
      <c r="I100">
        <v>8.4931082781860345E-2</v>
      </c>
      <c r="J100">
        <v>220.96600073242186</v>
      </c>
      <c r="K100">
        <v>0.56069079800967758</v>
      </c>
      <c r="L100">
        <v>57.309999999999995</v>
      </c>
      <c r="M100">
        <v>0.14542142016158499</v>
      </c>
      <c r="N100">
        <v>85.912000000000006</v>
      </c>
      <c r="O100">
        <v>0.2179976452437985</v>
      </c>
      <c r="P100">
        <v>49.837000000000003</v>
      </c>
      <c r="Q100">
        <v>0.12645903536194231</v>
      </c>
      <c r="R100">
        <v>54.477999999999994</v>
      </c>
      <c r="S100">
        <v>0.13823535382241892</v>
      </c>
      <c r="T100">
        <v>56.217000000000006</v>
      </c>
      <c r="U100">
        <v>124.613</v>
      </c>
      <c r="V100">
        <v>4.2689791113369981</v>
      </c>
      <c r="W100">
        <v>1.0832333013623581E-2</v>
      </c>
    </row>
    <row r="101" spans="1:23" x14ac:dyDescent="0.2">
      <c r="A101" t="s">
        <v>199</v>
      </c>
      <c r="B101">
        <v>2777.4384</v>
      </c>
      <c r="C101">
        <v>578.16399999999999</v>
      </c>
      <c r="D101">
        <v>757.60300000000007</v>
      </c>
      <c r="E101">
        <v>863.7</v>
      </c>
      <c r="F101">
        <f t="shared" si="9"/>
        <v>3.6660868555166752</v>
      </c>
      <c r="G101">
        <f t="shared" si="10"/>
        <v>3.215744355679055</v>
      </c>
      <c r="H101">
        <f t="shared" si="11"/>
        <v>0.31036003625268971</v>
      </c>
      <c r="I101">
        <v>0.14004300405357428</v>
      </c>
      <c r="J101">
        <v>512.96599737548831</v>
      </c>
      <c r="K101">
        <v>0.67709076835161464</v>
      </c>
      <c r="L101">
        <v>0</v>
      </c>
      <c r="M101">
        <v>0</v>
      </c>
      <c r="O101"/>
      <c r="P101">
        <v>121.01</v>
      </c>
      <c r="Q101">
        <v>0.15972745620067502</v>
      </c>
      <c r="R101">
        <v>106.039</v>
      </c>
      <c r="S101">
        <v>0.13996644680657283</v>
      </c>
      <c r="T101">
        <v>99.716999999999999</v>
      </c>
      <c r="U101">
        <v>60.114999999999995</v>
      </c>
      <c r="V101">
        <v>32.882268060742</v>
      </c>
      <c r="W101">
        <v>4.3403033067110346E-2</v>
      </c>
    </row>
    <row r="102" spans="1:23" x14ac:dyDescent="0.2">
      <c r="A102" t="s">
        <v>183</v>
      </c>
      <c r="B102">
        <v>2538.9832999999999</v>
      </c>
      <c r="C102">
        <v>360.28500000000003</v>
      </c>
      <c r="D102">
        <v>462.851</v>
      </c>
      <c r="E102">
        <v>534.75</v>
      </c>
      <c r="F102">
        <f t="shared" si="9"/>
        <v>5.4855305487078994</v>
      </c>
      <c r="G102">
        <f t="shared" si="10"/>
        <v>4.7479818606825619</v>
      </c>
      <c r="H102">
        <f t="shared" si="11"/>
        <v>0.28468018374342524</v>
      </c>
      <c r="I102">
        <v>0.15533940728225715</v>
      </c>
      <c r="J102">
        <v>273.98900335693361</v>
      </c>
      <c r="K102">
        <v>0.59195940671389624</v>
      </c>
      <c r="L102">
        <v>69.265999999999991</v>
      </c>
      <c r="M102">
        <v>0.14965075153775187</v>
      </c>
      <c r="N102">
        <v>65.042000000000002</v>
      </c>
      <c r="O102">
        <v>0.14052470449453497</v>
      </c>
      <c r="P102">
        <v>79.686000000000007</v>
      </c>
      <c r="Q102">
        <v>0.17216339599568761</v>
      </c>
      <c r="R102">
        <v>85.867999999999995</v>
      </c>
      <c r="S102">
        <v>0.1855197460953957</v>
      </c>
      <c r="T102">
        <v>30.468</v>
      </c>
      <c r="U102">
        <v>137.69800000000001</v>
      </c>
      <c r="V102">
        <v>19.337490000000003</v>
      </c>
      <c r="W102">
        <v>4.177908225325213E-2</v>
      </c>
    </row>
    <row r="103" spans="1:23" x14ac:dyDescent="0.2">
      <c r="A103" t="s">
        <v>253</v>
      </c>
      <c r="B103">
        <v>1478.7066</v>
      </c>
      <c r="C103">
        <v>209.33600000000001</v>
      </c>
      <c r="D103">
        <v>310.62700000000001</v>
      </c>
      <c r="E103">
        <v>366.35300000000001</v>
      </c>
      <c r="F103">
        <f t="shared" si="9"/>
        <v>4.7603930115540498</v>
      </c>
      <c r="G103">
        <f t="shared" si="10"/>
        <v>4.0362890436273213</v>
      </c>
      <c r="H103">
        <f t="shared" si="11"/>
        <v>0.48386803989758087</v>
      </c>
      <c r="I103">
        <v>0.17939844250499792</v>
      </c>
      <c r="J103">
        <v>234.64100097656251</v>
      </c>
      <c r="K103">
        <v>0.75537864054497039</v>
      </c>
      <c r="L103">
        <v>34.796999999999997</v>
      </c>
      <c r="M103">
        <v>0.11202181394405508</v>
      </c>
      <c r="N103">
        <v>184.04400000000001</v>
      </c>
      <c r="O103">
        <v>0.5924919598103191</v>
      </c>
      <c r="P103">
        <v>38.914999999999999</v>
      </c>
      <c r="Q103">
        <v>0.12527887144388608</v>
      </c>
      <c r="R103">
        <v>-13.42</v>
      </c>
      <c r="S103">
        <v>-4.3202941148065041E-2</v>
      </c>
      <c r="T103">
        <v>-20.387</v>
      </c>
      <c r="U103">
        <v>31.702999999999999</v>
      </c>
      <c r="V103">
        <v>42.356312490929</v>
      </c>
      <c r="W103">
        <v>0.13635747211584634</v>
      </c>
    </row>
    <row r="104" spans="1:23" x14ac:dyDescent="0.2">
      <c r="A104" t="s">
        <v>395</v>
      </c>
      <c r="B104">
        <v>198.11580000000001</v>
      </c>
      <c r="C104">
        <v>69.375</v>
      </c>
      <c r="D104">
        <v>61.307000000000002</v>
      </c>
      <c r="E104">
        <v>66.075000000000003</v>
      </c>
      <c r="F104">
        <f t="shared" si="9"/>
        <v>3.2315363661572087</v>
      </c>
      <c r="G104">
        <f t="shared" si="10"/>
        <v>2.9983473325766177</v>
      </c>
      <c r="H104">
        <f t="shared" si="11"/>
        <v>-0.11629549549549546</v>
      </c>
      <c r="I104">
        <v>7.7772521897988778E-2</v>
      </c>
      <c r="J104">
        <v>38.971000602722171</v>
      </c>
      <c r="K104">
        <v>0.63566967234935934</v>
      </c>
      <c r="L104">
        <v>14.710999999999999</v>
      </c>
      <c r="M104">
        <v>0.23995628557913448</v>
      </c>
      <c r="N104">
        <v>17.681000000000001</v>
      </c>
      <c r="O104">
        <v>0.28840099825468546</v>
      </c>
      <c r="P104">
        <v>7.5670000000000002</v>
      </c>
      <c r="Q104">
        <v>0.12342799354070498</v>
      </c>
      <c r="R104">
        <v>1.6520000000000001</v>
      </c>
      <c r="S104">
        <v>2.6946351966333371E-2</v>
      </c>
      <c r="T104">
        <v>3.7540000000000004</v>
      </c>
      <c r="U104">
        <v>11.497999999999999</v>
      </c>
      <c r="V104">
        <v>-1.9897</v>
      </c>
      <c r="W104">
        <v>-3.2454695222405273E-2</v>
      </c>
    </row>
    <row r="105" spans="1:23" x14ac:dyDescent="0.2">
      <c r="A105" t="s">
        <v>367</v>
      </c>
      <c r="B105">
        <v>268.75810000000001</v>
      </c>
      <c r="C105">
        <v>113.2</v>
      </c>
      <c r="D105">
        <v>128.30699999999999</v>
      </c>
      <c r="E105">
        <v>134.50399999999999</v>
      </c>
      <c r="F105">
        <f t="shared" si="9"/>
        <v>2.094648772085701</v>
      </c>
      <c r="G105">
        <f t="shared" si="10"/>
        <v>1.9981420626895856</v>
      </c>
      <c r="H105">
        <f t="shared" si="11"/>
        <v>0.13345406360424014</v>
      </c>
      <c r="I105">
        <v>4.8298222232614041E-2</v>
      </c>
      <c r="J105">
        <v>101.39099937438965</v>
      </c>
      <c r="K105">
        <v>0.79022188481056888</v>
      </c>
      <c r="L105">
        <v>21.867999999999999</v>
      </c>
      <c r="M105">
        <v>0.17043497237095404</v>
      </c>
      <c r="N105">
        <v>63.494999999999997</v>
      </c>
      <c r="O105">
        <v>0.49486777806355076</v>
      </c>
      <c r="P105">
        <v>27.8</v>
      </c>
      <c r="Q105">
        <v>0.21666783573772283</v>
      </c>
      <c r="R105">
        <v>-4.3410000000000002</v>
      </c>
      <c r="S105">
        <v>-3.383291636465665E-2</v>
      </c>
      <c r="T105">
        <v>-1.6390000000000005</v>
      </c>
      <c r="U105">
        <v>53.421999999999997</v>
      </c>
      <c r="V105">
        <v>-10.436999999999999</v>
      </c>
      <c r="W105">
        <v>-8.1343964086137158E-2</v>
      </c>
    </row>
    <row r="106" spans="1:23" x14ac:dyDescent="0.2">
      <c r="A106" t="s">
        <v>247</v>
      </c>
      <c r="B106">
        <v>2277.1129999999998</v>
      </c>
      <c r="C106">
        <v>298.29399999999998</v>
      </c>
      <c r="D106">
        <v>430.33699999999999</v>
      </c>
      <c r="E106">
        <v>547.33299999999997</v>
      </c>
      <c r="F106">
        <f t="shared" si="9"/>
        <v>5.291464596351231</v>
      </c>
      <c r="G106">
        <f t="shared" si="10"/>
        <v>4.16037951302041</v>
      </c>
      <c r="H106">
        <f t="shared" si="11"/>
        <v>0.44266059659262341</v>
      </c>
      <c r="I106">
        <v>0.27187065021134593</v>
      </c>
      <c r="J106">
        <v>273.81199511718751</v>
      </c>
      <c r="K106">
        <v>0.63627342087059102</v>
      </c>
      <c r="L106">
        <v>33.853999999999999</v>
      </c>
      <c r="M106">
        <v>7.8668578346737558E-2</v>
      </c>
      <c r="N106">
        <v>16.303000000000001</v>
      </c>
      <c r="O106">
        <v>3.7884262798690331E-2</v>
      </c>
      <c r="P106">
        <v>59.975999999999999</v>
      </c>
      <c r="Q106">
        <v>0.13936984270467098</v>
      </c>
      <c r="R106">
        <v>145.13300000000001</v>
      </c>
      <c r="S106">
        <v>0.33725429140417862</v>
      </c>
      <c r="T106">
        <v>94.004999999999995</v>
      </c>
      <c r="U106">
        <v>63.894999999999996</v>
      </c>
      <c r="V106">
        <v>106.145</v>
      </c>
      <c r="W106">
        <v>0.24665552810936545</v>
      </c>
    </row>
    <row r="107" spans="1:23" x14ac:dyDescent="0.2">
      <c r="A107" t="s">
        <v>607</v>
      </c>
      <c r="B107">
        <v>25857.610499999999</v>
      </c>
      <c r="C107">
        <v>4396</v>
      </c>
      <c r="D107">
        <v>4838</v>
      </c>
      <c r="E107">
        <v>5394.9750000000004</v>
      </c>
      <c r="F107">
        <f t="shared" si="9"/>
        <v>5.3446900578751544</v>
      </c>
      <c r="G107">
        <f t="shared" si="10"/>
        <v>4.7929064546174907</v>
      </c>
      <c r="H107">
        <f t="shared" si="11"/>
        <v>0.1005459508644222</v>
      </c>
      <c r="I107">
        <v>0.11512505167424569</v>
      </c>
      <c r="J107">
        <v>3503</v>
      </c>
      <c r="K107">
        <v>0.72405952873088053</v>
      </c>
      <c r="L107">
        <v>1320</v>
      </c>
      <c r="M107">
        <v>0.27284001653575857</v>
      </c>
      <c r="N107">
        <v>641</v>
      </c>
      <c r="O107">
        <v>0.13249276560562215</v>
      </c>
      <c r="P107">
        <v>469</v>
      </c>
      <c r="Q107">
        <v>9.6940884663083912E-2</v>
      </c>
      <c r="R107">
        <v>1151</v>
      </c>
      <c r="S107">
        <v>0.23790822653989252</v>
      </c>
      <c r="T107">
        <v>1351</v>
      </c>
      <c r="U107">
        <v>4258</v>
      </c>
      <c r="V107">
        <v>881.07999999999993</v>
      </c>
      <c r="W107">
        <v>0.18211657709797435</v>
      </c>
    </row>
    <row r="108" spans="1:23" x14ac:dyDescent="0.2">
      <c r="A108" t="s">
        <v>205</v>
      </c>
      <c r="B108">
        <v>2399.3838999999998</v>
      </c>
      <c r="C108">
        <v>184.99299999999999</v>
      </c>
      <c r="D108">
        <v>259.76499999999999</v>
      </c>
      <c r="E108">
        <v>290.03199999999998</v>
      </c>
      <c r="F108">
        <f t="shared" si="9"/>
        <v>9.2367482147325468</v>
      </c>
      <c r="G108">
        <f t="shared" si="10"/>
        <v>8.2728247227892098</v>
      </c>
      <c r="H108">
        <f t="shared" si="11"/>
        <v>0.40418826658305984</v>
      </c>
      <c r="I108">
        <v>0.11651685176986892</v>
      </c>
      <c r="J108">
        <v>189.24499960327148</v>
      </c>
      <c r="K108">
        <v>0.72852385657525642</v>
      </c>
      <c r="L108">
        <v>41.803999999999995</v>
      </c>
      <c r="M108">
        <v>0.16093007141069812</v>
      </c>
      <c r="N108">
        <v>33.128</v>
      </c>
      <c r="O108">
        <v>0.12753065270532982</v>
      </c>
      <c r="P108">
        <v>25.448</v>
      </c>
      <c r="Q108">
        <v>9.7965468789097843E-2</v>
      </c>
      <c r="R108">
        <v>83.233999999999995</v>
      </c>
      <c r="S108">
        <v>0.3204203799588089</v>
      </c>
      <c r="T108">
        <v>71.663000000000011</v>
      </c>
      <c r="U108">
        <v>35.144999999999996</v>
      </c>
      <c r="V108">
        <v>31.351610000000001</v>
      </c>
      <c r="W108">
        <v>0.12069220256770544</v>
      </c>
    </row>
    <row r="109" spans="1:23" x14ac:dyDescent="0.2">
      <c r="A109" t="s">
        <v>345</v>
      </c>
      <c r="B109">
        <v>1157.5277000000001</v>
      </c>
      <c r="C109" t="s">
        <v>480</v>
      </c>
      <c r="D109">
        <v>108.524</v>
      </c>
      <c r="E109">
        <v>148.155</v>
      </c>
      <c r="F109">
        <f t="shared" si="9"/>
        <v>10.66609874313516</v>
      </c>
      <c r="G109">
        <f t="shared" si="10"/>
        <v>7.8129506260335466</v>
      </c>
      <c r="H109" t="e">
        <f t="shared" si="11"/>
        <v>#VALUE!</v>
      </c>
      <c r="I109">
        <v>0.36518189524897715</v>
      </c>
      <c r="J109">
        <v>63.605000000000004</v>
      </c>
      <c r="K109">
        <v>0.58609155578489558</v>
      </c>
      <c r="L109">
        <v>78.260999999999996</v>
      </c>
      <c r="M109">
        <v>0.72114002432641622</v>
      </c>
      <c r="N109">
        <v>131.80199999999999</v>
      </c>
      <c r="O109">
        <v>1.2144963326084552</v>
      </c>
      <c r="P109">
        <v>29.323</v>
      </c>
      <c r="Q109">
        <v>0.27019829715086063</v>
      </c>
      <c r="R109">
        <v>-158.636</v>
      </c>
      <c r="S109">
        <v>-1.4617596107773396</v>
      </c>
      <c r="T109" t="s">
        <v>480</v>
      </c>
      <c r="U109">
        <v>61.971999999999994</v>
      </c>
      <c r="V109">
        <v>-176.56200000000001</v>
      </c>
      <c r="W109">
        <v>-1.6269396631159929</v>
      </c>
    </row>
    <row r="110" spans="1:23" x14ac:dyDescent="0.2">
      <c r="A110" t="s">
        <v>570</v>
      </c>
      <c r="B110">
        <v>6010.1651000000002</v>
      </c>
      <c r="C110">
        <v>250.48099999999999</v>
      </c>
      <c r="D110">
        <v>602.31500000000005</v>
      </c>
      <c r="E110">
        <v>762.5</v>
      </c>
      <c r="F110">
        <f t="shared" si="9"/>
        <v>9.9784416791877995</v>
      </c>
      <c r="G110">
        <f t="shared" si="10"/>
        <v>7.882183737704918</v>
      </c>
      <c r="H110">
        <f t="shared" si="11"/>
        <v>1.4046334851745246</v>
      </c>
      <c r="I110">
        <v>0.26594888056913724</v>
      </c>
      <c r="J110">
        <v>444.96900311279296</v>
      </c>
      <c r="K110">
        <v>0.73876460508669539</v>
      </c>
      <c r="L110">
        <v>92.427999999999997</v>
      </c>
      <c r="M110">
        <v>0.15345458771573012</v>
      </c>
      <c r="N110">
        <v>277.93</v>
      </c>
      <c r="O110">
        <v>0.46143629164141686</v>
      </c>
      <c r="P110">
        <v>81.525999999999996</v>
      </c>
      <c r="Q110">
        <v>0.13535442418003868</v>
      </c>
      <c r="R110" t="s">
        <v>480</v>
      </c>
      <c r="S110" t="e">
        <v>#VALUE!</v>
      </c>
      <c r="T110" t="s">
        <v>480</v>
      </c>
      <c r="U110">
        <v>256.86700000000002</v>
      </c>
      <c r="V110">
        <v>-328.25799999999998</v>
      </c>
      <c r="W110">
        <v>-0.54499389854146074</v>
      </c>
    </row>
    <row r="111" spans="1:23" x14ac:dyDescent="0.2">
      <c r="A111" t="s">
        <v>371</v>
      </c>
      <c r="B111">
        <v>255.0078</v>
      </c>
      <c r="C111">
        <v>21.792999999999999</v>
      </c>
      <c r="D111">
        <v>24.585999999999999</v>
      </c>
      <c r="E111">
        <v>25.216999999999999</v>
      </c>
      <c r="F111">
        <f t="shared" si="9"/>
        <v>10.372073537785733</v>
      </c>
      <c r="G111">
        <f t="shared" si="10"/>
        <v>10.11253519451164</v>
      </c>
      <c r="H111">
        <f t="shared" si="11"/>
        <v>0.12816041848299911</v>
      </c>
      <c r="I111">
        <v>2.5665012608801829E-2</v>
      </c>
      <c r="J111">
        <v>16.067000110626221</v>
      </c>
      <c r="K111">
        <v>0.6535019975037103</v>
      </c>
      <c r="L111">
        <v>15.434999999999999</v>
      </c>
      <c r="M111">
        <v>0.62779630684129173</v>
      </c>
      <c r="N111">
        <v>16.635999999999999</v>
      </c>
      <c r="O111">
        <v>0.67664524526153091</v>
      </c>
      <c r="P111">
        <v>9.68</v>
      </c>
      <c r="Q111">
        <v>0.39372000325388434</v>
      </c>
      <c r="R111">
        <v>-27.398</v>
      </c>
      <c r="S111">
        <v>-1.1143740340030912</v>
      </c>
      <c r="T111">
        <v>-21.484000000000002</v>
      </c>
      <c r="U111">
        <v>40.823</v>
      </c>
      <c r="V111">
        <v>-28.759999999999998</v>
      </c>
      <c r="W111">
        <v>-1.1697714146262099</v>
      </c>
    </row>
    <row r="112" spans="1:23" x14ac:dyDescent="0.2">
      <c r="A112" t="s">
        <v>83</v>
      </c>
      <c r="B112">
        <v>9553.6566000000003</v>
      </c>
      <c r="C112">
        <v>844.8</v>
      </c>
      <c r="D112">
        <v>1106.8</v>
      </c>
      <c r="E112">
        <v>1480.6469999999999</v>
      </c>
      <c r="F112">
        <f t="shared" si="9"/>
        <v>8.6317822551499823</v>
      </c>
      <c r="G112">
        <f t="shared" si="10"/>
        <v>6.4523526539411495</v>
      </c>
      <c r="H112">
        <f t="shared" si="11"/>
        <v>0.3101325757575758</v>
      </c>
      <c r="I112">
        <v>0.33777285869172391</v>
      </c>
      <c r="J112">
        <v>737.9</v>
      </c>
      <c r="K112">
        <v>0.66669678352005779</v>
      </c>
      <c r="L112">
        <v>380.29999999999995</v>
      </c>
      <c r="M112">
        <v>0.3436031803397181</v>
      </c>
      <c r="N112">
        <v>314</v>
      </c>
      <c r="O112">
        <v>0.28370075894470548</v>
      </c>
      <c r="P112">
        <v>157.30000000000001</v>
      </c>
      <c r="Q112">
        <v>0.14212143115287315</v>
      </c>
      <c r="R112">
        <v>68.100000000000009</v>
      </c>
      <c r="S112">
        <v>6.1528731478135174E-2</v>
      </c>
      <c r="T112">
        <v>305</v>
      </c>
      <c r="U112">
        <v>430</v>
      </c>
      <c r="V112">
        <v>-50</v>
      </c>
      <c r="W112">
        <v>-4.517528008673654E-2</v>
      </c>
    </row>
    <row r="113" spans="1:23" x14ac:dyDescent="0.2">
      <c r="A113" t="s">
        <v>89</v>
      </c>
      <c r="B113">
        <v>7440.2691999999997</v>
      </c>
      <c r="C113">
        <v>826.94299999999998</v>
      </c>
      <c r="D113">
        <v>992.76900000000001</v>
      </c>
      <c r="E113">
        <v>1052.4590000000001</v>
      </c>
      <c r="F113">
        <f t="shared" si="9"/>
        <v>7.494461652207109</v>
      </c>
      <c r="G113">
        <f t="shared" si="10"/>
        <v>7.0694147705516315</v>
      </c>
      <c r="H113">
        <f t="shared" si="11"/>
        <v>0.20052893609353972</v>
      </c>
      <c r="I113">
        <v>6.0124762155143952E-2</v>
      </c>
      <c r="J113">
        <v>864.88000952148434</v>
      </c>
      <c r="K113">
        <v>0.87117950854779347</v>
      </c>
      <c r="L113">
        <v>334.14799999999997</v>
      </c>
      <c r="M113">
        <v>0.33658182316329377</v>
      </c>
      <c r="N113">
        <v>517.44600000000003</v>
      </c>
      <c r="O113">
        <v>0.52121490497789513</v>
      </c>
      <c r="P113">
        <v>102.871</v>
      </c>
      <c r="Q113">
        <v>0.10362027823189483</v>
      </c>
      <c r="R113">
        <v>-123.949</v>
      </c>
      <c r="S113">
        <v>-0.12485180339031537</v>
      </c>
      <c r="T113">
        <v>121.97600000000001</v>
      </c>
      <c r="U113">
        <v>627.87799999999993</v>
      </c>
      <c r="V113">
        <v>-146.929</v>
      </c>
      <c r="W113">
        <v>-0.14799918208566143</v>
      </c>
    </row>
    <row r="114" spans="1:23" x14ac:dyDescent="0.2">
      <c r="A114" t="s">
        <v>413</v>
      </c>
      <c r="B114">
        <v>151.4391</v>
      </c>
      <c r="C114">
        <v>30.983000000000001</v>
      </c>
      <c r="D114">
        <v>31.908999999999999</v>
      </c>
      <c r="E114">
        <v>38.61</v>
      </c>
      <c r="F114">
        <f t="shared" si="9"/>
        <v>4.7459682221316868</v>
      </c>
      <c r="G114">
        <f t="shared" si="10"/>
        <v>3.9222766122766122</v>
      </c>
      <c r="H114">
        <f t="shared" si="11"/>
        <v>2.9887357583190728E-2</v>
      </c>
      <c r="I114">
        <v>0.21000344730326859</v>
      </c>
      <c r="J114">
        <v>19.025000007629394</v>
      </c>
      <c r="K114">
        <v>0.59622677011593583</v>
      </c>
      <c r="L114">
        <v>9.8249999999999993</v>
      </c>
      <c r="M114">
        <v>0.30790686013350466</v>
      </c>
      <c r="N114">
        <v>15.551</v>
      </c>
      <c r="O114">
        <v>0.48735466482810497</v>
      </c>
      <c r="P114">
        <v>7.2859999999999996</v>
      </c>
      <c r="Q114">
        <v>0.2283368328684697</v>
      </c>
      <c r="R114">
        <v>-12.440999999999999</v>
      </c>
      <c r="S114">
        <v>-0.38988999968660876</v>
      </c>
      <c r="T114">
        <v>-13.39</v>
      </c>
      <c r="U114">
        <v>23.980999999999998</v>
      </c>
      <c r="V114">
        <v>-20.875574530000002</v>
      </c>
      <c r="W114">
        <v>-0.65422214829671888</v>
      </c>
    </row>
    <row r="115" spans="1:23" x14ac:dyDescent="0.2">
      <c r="A115" t="s">
        <v>195</v>
      </c>
      <c r="B115">
        <v>2121.9027000000001</v>
      </c>
      <c r="C115">
        <v>216.613</v>
      </c>
      <c r="D115">
        <v>294.68199999999996</v>
      </c>
      <c r="E115">
        <v>349.25299999999999</v>
      </c>
      <c r="F115">
        <f t="shared" si="9"/>
        <v>7.2006525678528055</v>
      </c>
      <c r="G115">
        <f t="shared" si="10"/>
        <v>6.0755460940922488</v>
      </c>
      <c r="H115">
        <f t="shared" si="11"/>
        <v>0.36040773176125146</v>
      </c>
      <c r="I115">
        <v>0.1851860649785193</v>
      </c>
      <c r="J115">
        <v>249.10499847412109</v>
      </c>
      <c r="K115">
        <v>0.84533496607909919</v>
      </c>
      <c r="L115">
        <v>42.388999999999996</v>
      </c>
      <c r="M115">
        <v>0.14384658716854101</v>
      </c>
      <c r="N115">
        <v>126.739</v>
      </c>
      <c r="O115">
        <v>0.43008734839589802</v>
      </c>
      <c r="P115">
        <v>30.399000000000001</v>
      </c>
      <c r="Q115">
        <v>0.10315865916479461</v>
      </c>
      <c r="R115">
        <v>33.942999999999998</v>
      </c>
      <c r="S115">
        <v>0.11518518267148996</v>
      </c>
      <c r="T115">
        <v>115.262</v>
      </c>
      <c r="U115">
        <v>161.261</v>
      </c>
      <c r="V115">
        <v>27.055742028858003</v>
      </c>
      <c r="W115">
        <v>9.1813351439375343E-2</v>
      </c>
    </row>
    <row r="116" spans="1:23" x14ac:dyDescent="0.2">
      <c r="A116" t="s">
        <v>191</v>
      </c>
      <c r="B116">
        <v>2249.4695999999999</v>
      </c>
      <c r="C116">
        <v>595.12599999999998</v>
      </c>
      <c r="D116">
        <v>709.59799999999996</v>
      </c>
      <c r="E116">
        <v>761.19500000000005</v>
      </c>
      <c r="F116">
        <f t="shared" si="9"/>
        <v>3.1700619223842232</v>
      </c>
      <c r="G116">
        <f t="shared" si="10"/>
        <v>2.955181786533017</v>
      </c>
      <c r="H116">
        <f t="shared" si="11"/>
        <v>0.19234918319817987</v>
      </c>
      <c r="I116">
        <v>7.2713000882189682E-2</v>
      </c>
      <c r="J116">
        <v>605.50099267578128</v>
      </c>
      <c r="K116">
        <v>0.85330143641298495</v>
      </c>
      <c r="L116">
        <v>94.164000000000001</v>
      </c>
      <c r="M116">
        <v>0.13270048675447227</v>
      </c>
      <c r="N116">
        <v>410.72699999999998</v>
      </c>
      <c r="O116">
        <v>0.57881645664164783</v>
      </c>
      <c r="P116">
        <v>87.575000000000003</v>
      </c>
      <c r="Q116">
        <v>0.12341494761822892</v>
      </c>
      <c r="R116">
        <v>20.122</v>
      </c>
      <c r="S116">
        <v>2.8356900667701995E-2</v>
      </c>
      <c r="T116">
        <v>88.67</v>
      </c>
      <c r="U116">
        <v>330.78399999999999</v>
      </c>
      <c r="V116">
        <v>-7.6881895614599998</v>
      </c>
      <c r="W116">
        <v>-1.0834570505356555E-2</v>
      </c>
    </row>
    <row r="117" spans="1:23" x14ac:dyDescent="0.2">
      <c r="A117" t="s">
        <v>61</v>
      </c>
      <c r="B117">
        <v>14433.059600000001</v>
      </c>
      <c r="C117">
        <v>2736.08</v>
      </c>
      <c r="D117">
        <v>2908.3389999999999</v>
      </c>
      <c r="E117">
        <v>2991.1260000000002</v>
      </c>
      <c r="F117">
        <f t="shared" si="9"/>
        <v>4.9626469266478219</v>
      </c>
      <c r="G117">
        <f t="shared" si="10"/>
        <v>4.8252930836079786</v>
      </c>
      <c r="H117">
        <f t="shared" si="11"/>
        <v>6.2958319932165732E-2</v>
      </c>
      <c r="I117">
        <v>2.8465388663426294E-2</v>
      </c>
      <c r="J117">
        <v>2463.42801171875</v>
      </c>
      <c r="K117">
        <v>0.84702230782544607</v>
      </c>
      <c r="L117">
        <v>415.80099999999999</v>
      </c>
      <c r="M117">
        <v>0.14296854665154235</v>
      </c>
      <c r="N117">
        <v>1006.112</v>
      </c>
      <c r="O117">
        <v>0.34594041478658438</v>
      </c>
      <c r="P117">
        <v>302.565</v>
      </c>
      <c r="Q117">
        <v>0.104033608186666</v>
      </c>
      <c r="R117">
        <v>891.87300000000005</v>
      </c>
      <c r="S117">
        <v>0.30666060593348987</v>
      </c>
      <c r="T117">
        <v>1009.174</v>
      </c>
      <c r="U117">
        <v>1115.1299999999999</v>
      </c>
      <c r="V117">
        <v>590.64465502973098</v>
      </c>
      <c r="W117">
        <v>0.2030865917039695</v>
      </c>
    </row>
    <row r="118" spans="1:23" x14ac:dyDescent="0.2">
      <c r="A118" t="s">
        <v>55</v>
      </c>
      <c r="B118">
        <v>14085.412700000001</v>
      </c>
      <c r="C118">
        <v>2125.0859999999998</v>
      </c>
      <c r="D118">
        <v>2794.5149999999999</v>
      </c>
      <c r="E118">
        <v>3253.5360000000001</v>
      </c>
      <c r="F118">
        <f t="shared" si="9"/>
        <v>5.0403782767313832</v>
      </c>
      <c r="G118">
        <f t="shared" si="10"/>
        <v>4.3292629004258751</v>
      </c>
      <c r="H118">
        <f t="shared" si="11"/>
        <v>0.31501266301693209</v>
      </c>
      <c r="I118">
        <v>0.16425784080600758</v>
      </c>
      <c r="J118">
        <v>2459.358009765625</v>
      </c>
      <c r="K118">
        <v>0.88006613303762016</v>
      </c>
      <c r="L118">
        <v>341.4</v>
      </c>
      <c r="M118">
        <v>0.12216788959801611</v>
      </c>
      <c r="N118">
        <v>180.9</v>
      </c>
      <c r="O118">
        <v>6.4733952045345974E-2</v>
      </c>
      <c r="P118">
        <v>193.1</v>
      </c>
      <c r="Q118">
        <v>6.9099646987044266E-2</v>
      </c>
      <c r="R118">
        <v>707.22400000000005</v>
      </c>
      <c r="S118">
        <v>0.25307575733177318</v>
      </c>
      <c r="T118">
        <v>569.976</v>
      </c>
      <c r="U118">
        <v>488.964</v>
      </c>
      <c r="V118">
        <v>288.48589500000003</v>
      </c>
      <c r="W118">
        <v>0.10323290266826267</v>
      </c>
    </row>
    <row r="119" spans="1:23" x14ac:dyDescent="0.2">
      <c r="A119" t="s">
        <v>179</v>
      </c>
      <c r="B119">
        <v>2710.8598999999999</v>
      </c>
      <c r="C119">
        <v>423.12400000000002</v>
      </c>
      <c r="D119">
        <v>519.38200000000006</v>
      </c>
      <c r="E119">
        <v>532.57500000000005</v>
      </c>
      <c r="F119">
        <f t="shared" si="9"/>
        <v>5.2193951657931921</v>
      </c>
      <c r="G119">
        <f t="shared" si="10"/>
        <v>5.0900997981504945</v>
      </c>
      <c r="H119">
        <f t="shared" si="11"/>
        <v>0.22749359525812771</v>
      </c>
      <c r="I119">
        <v>2.540134236457936E-2</v>
      </c>
      <c r="J119">
        <v>372.4000010986328</v>
      </c>
      <c r="K119">
        <v>0.71700598229941115</v>
      </c>
      <c r="L119">
        <v>61.974999999999994</v>
      </c>
      <c r="M119">
        <v>0.11932450489235281</v>
      </c>
      <c r="N119">
        <v>240.27099999999999</v>
      </c>
      <c r="O119">
        <v>0.46260940887439295</v>
      </c>
      <c r="P119">
        <v>84.588999999999999</v>
      </c>
      <c r="Q119">
        <v>0.16286471229268629</v>
      </c>
      <c r="R119">
        <v>15.740000000000002</v>
      </c>
      <c r="S119">
        <v>3.0305247390167545E-2</v>
      </c>
      <c r="T119">
        <v>86.269000000000005</v>
      </c>
      <c r="U119">
        <v>393.57599999999996</v>
      </c>
      <c r="V119">
        <v>-40.478999999999999</v>
      </c>
      <c r="W119">
        <v>-7.793685572468817E-2</v>
      </c>
    </row>
    <row r="120" spans="1:23" x14ac:dyDescent="0.2">
      <c r="A120" t="s">
        <v>605</v>
      </c>
      <c r="B120">
        <v>877.18060000000003</v>
      </c>
      <c r="C120">
        <v>49.845999999999997</v>
      </c>
      <c r="D120">
        <v>67.067000000000007</v>
      </c>
      <c r="E120">
        <v>79</v>
      </c>
      <c r="F120">
        <f t="shared" si="9"/>
        <v>13.079168592601427</v>
      </c>
      <c r="G120">
        <f t="shared" si="10"/>
        <v>11.103551898734178</v>
      </c>
      <c r="H120">
        <f t="shared" si="11"/>
        <v>0.3454840910002811</v>
      </c>
      <c r="I120">
        <v>0.1779265510608794</v>
      </c>
      <c r="J120">
        <v>63.660000076293947</v>
      </c>
      <c r="K120">
        <v>0.94920005481524361</v>
      </c>
      <c r="L120">
        <v>13.173999999999999</v>
      </c>
      <c r="M120">
        <v>0.19643043523640535</v>
      </c>
      <c r="N120">
        <v>8.2569999999999997</v>
      </c>
      <c r="O120">
        <v>0.12311569027986936</v>
      </c>
      <c r="P120">
        <v>8.7360000000000007</v>
      </c>
      <c r="Q120">
        <v>0.13025780189959293</v>
      </c>
      <c r="R120">
        <v>20.859000000000002</v>
      </c>
      <c r="S120">
        <v>0.31101734086808713</v>
      </c>
      <c r="T120">
        <v>29.554000000000002</v>
      </c>
      <c r="U120">
        <v>52.832999999999998</v>
      </c>
      <c r="V120">
        <v>15.805099999999999</v>
      </c>
      <c r="W120">
        <v>0.23566135357180129</v>
      </c>
    </row>
    <row r="121" spans="1:23" x14ac:dyDescent="0.2">
      <c r="A121" t="s">
        <v>11</v>
      </c>
      <c r="B121">
        <v>103894.19990000001</v>
      </c>
      <c r="C121">
        <v>6667.2160000000003</v>
      </c>
      <c r="D121">
        <v>11817.844000000001</v>
      </c>
      <c r="E121">
        <v>14404.651</v>
      </c>
      <c r="F121">
        <f t="shared" si="9"/>
        <v>8.7912989797462213</v>
      </c>
      <c r="G121">
        <f t="shared" si="10"/>
        <v>7.2125454410523382</v>
      </c>
      <c r="H121">
        <f t="shared" si="11"/>
        <v>0.77253054348321704</v>
      </c>
      <c r="I121">
        <v>0.2188899261151187</v>
      </c>
      <c r="J121">
        <v>8749.5439453125</v>
      </c>
      <c r="K121">
        <v>0.74036718925317502</v>
      </c>
      <c r="L121">
        <v>1553.0729999999999</v>
      </c>
      <c r="M121">
        <v>0.13141762575305613</v>
      </c>
      <c r="N121">
        <v>4829.2910000000002</v>
      </c>
      <c r="O121">
        <v>0.40864399631607928</v>
      </c>
      <c r="P121">
        <v>1088.3579999999999</v>
      </c>
      <c r="Q121">
        <v>9.2094463254041928E-2</v>
      </c>
      <c r="R121">
        <v>1308.0920000000001</v>
      </c>
      <c r="S121">
        <v>0.11068787166254691</v>
      </c>
      <c r="T121">
        <v>2552.5609999999997</v>
      </c>
      <c r="U121">
        <v>2543</v>
      </c>
      <c r="V121">
        <v>482.47887560000004</v>
      </c>
      <c r="W121">
        <v>4.0826302631850615E-2</v>
      </c>
    </row>
    <row r="122" spans="1:23" x14ac:dyDescent="0.2">
      <c r="A122" t="s">
        <v>155</v>
      </c>
      <c r="B122">
        <v>3256.0626999999999</v>
      </c>
      <c r="C122">
        <v>83.677999999999997</v>
      </c>
      <c r="D122">
        <v>219.095</v>
      </c>
      <c r="E122">
        <v>265.79300000000001</v>
      </c>
      <c r="F122">
        <f t="shared" si="9"/>
        <v>14.861419475569958</v>
      </c>
      <c r="G122">
        <f t="shared" si="10"/>
        <v>12.250370401026363</v>
      </c>
      <c r="H122">
        <f t="shared" si="11"/>
        <v>1.6183106670809533</v>
      </c>
      <c r="I122">
        <v>0.21314041853990284</v>
      </c>
      <c r="J122">
        <v>150.86900170898437</v>
      </c>
      <c r="K122">
        <v>0.68860084305431146</v>
      </c>
      <c r="L122">
        <v>44.536000000000001</v>
      </c>
      <c r="M122">
        <v>0.20327255300212238</v>
      </c>
      <c r="N122">
        <v>88.721999999999994</v>
      </c>
      <c r="O122">
        <v>0.40494762545927565</v>
      </c>
      <c r="P122">
        <v>38.578000000000003</v>
      </c>
      <c r="Q122">
        <v>0.17607886989662019</v>
      </c>
      <c r="R122">
        <v>-34.963000000000001</v>
      </c>
      <c r="S122">
        <v>-0.15957917798215387</v>
      </c>
      <c r="T122">
        <v>20.446999999999996</v>
      </c>
      <c r="U122">
        <v>412.90299999999996</v>
      </c>
      <c r="V122">
        <v>-49.332999999999998</v>
      </c>
      <c r="W122">
        <v>-0.22516716492845568</v>
      </c>
    </row>
    <row r="123" spans="1:23" x14ac:dyDescent="0.2">
      <c r="A123" t="s">
        <v>215</v>
      </c>
      <c r="B123">
        <v>1642.0148999999999</v>
      </c>
      <c r="C123">
        <v>166.048</v>
      </c>
      <c r="D123">
        <v>411.06400000000002</v>
      </c>
      <c r="E123">
        <v>487.03300000000002</v>
      </c>
      <c r="F123">
        <f t="shared" si="9"/>
        <v>3.9945480509117797</v>
      </c>
      <c r="G123">
        <f t="shared" si="10"/>
        <v>3.3714653832491841</v>
      </c>
      <c r="H123">
        <f t="shared" si="11"/>
        <v>1.4755733281942571</v>
      </c>
      <c r="I123">
        <v>0.18481063775957018</v>
      </c>
      <c r="J123">
        <v>279.62800469970705</v>
      </c>
      <c r="K123">
        <v>0.68025418110004043</v>
      </c>
      <c r="L123">
        <v>215.69499999999999</v>
      </c>
      <c r="M123">
        <v>0.52472364400677263</v>
      </c>
      <c r="N123">
        <v>298.46699999999998</v>
      </c>
      <c r="O123">
        <v>0.72608401611427897</v>
      </c>
      <c r="P123">
        <v>85.539000000000001</v>
      </c>
      <c r="Q123">
        <v>0.20809168402000661</v>
      </c>
      <c r="R123">
        <v>-176.494</v>
      </c>
      <c r="S123">
        <v>-0.42935893194247121</v>
      </c>
      <c r="T123">
        <v>-42.265000000000001</v>
      </c>
      <c r="U123">
        <v>43.247</v>
      </c>
      <c r="V123">
        <v>-184.54894999999999</v>
      </c>
      <c r="W123">
        <v>-0.44895429908724671</v>
      </c>
    </row>
    <row r="124" spans="1:23" x14ac:dyDescent="0.2">
      <c r="A124" t="s">
        <v>49</v>
      </c>
      <c r="B124">
        <v>12991.4501</v>
      </c>
      <c r="C124">
        <v>1741.3009999999999</v>
      </c>
      <c r="D124">
        <v>1896.9269999999999</v>
      </c>
      <c r="E124">
        <v>1960.394</v>
      </c>
      <c r="F124">
        <f t="shared" si="9"/>
        <v>6.8486821580377111</v>
      </c>
      <c r="G124">
        <f t="shared" si="10"/>
        <v>6.62695871340149</v>
      </c>
      <c r="H124">
        <f t="shared" si="11"/>
        <v>8.9373405287196173E-2</v>
      </c>
      <c r="I124">
        <v>3.3457797796119682E-2</v>
      </c>
      <c r="J124">
        <v>1698.6110100097656</v>
      </c>
      <c r="K124">
        <v>0.89545407388358411</v>
      </c>
      <c r="L124">
        <v>192.386</v>
      </c>
      <c r="M124">
        <v>0.1014198226921753</v>
      </c>
      <c r="N124">
        <v>433.42700000000002</v>
      </c>
      <c r="O124">
        <v>0.22848902461718351</v>
      </c>
      <c r="P124">
        <v>91.965000000000003</v>
      </c>
      <c r="Q124">
        <v>4.8481043287380066E-2</v>
      </c>
      <c r="R124">
        <v>949.65100000000007</v>
      </c>
      <c r="S124">
        <v>0.50062601249283711</v>
      </c>
      <c r="T124">
        <v>1109.6179999999999</v>
      </c>
      <c r="U124">
        <v>245.01399999999998</v>
      </c>
      <c r="V124">
        <v>822.62414000000001</v>
      </c>
      <c r="W124">
        <v>0.43366146404157885</v>
      </c>
    </row>
    <row r="125" spans="1:23" x14ac:dyDescent="0.2">
      <c r="A125" t="s">
        <v>611</v>
      </c>
      <c r="B125">
        <v>3484.2853</v>
      </c>
      <c r="C125">
        <v>583.90300000000002</v>
      </c>
      <c r="D125">
        <v>106.27463551615409</v>
      </c>
      <c r="E125">
        <v>116.741</v>
      </c>
      <c r="F125">
        <f t="shared" si="9"/>
        <v>32.785671605247494</v>
      </c>
      <c r="G125">
        <f t="shared" si="10"/>
        <v>29.846286223349125</v>
      </c>
      <c r="H125">
        <f t="shared" si="11"/>
        <v>-0.81799265371790508</v>
      </c>
      <c r="I125">
        <v>9.8484124956184749E-2</v>
      </c>
      <c r="J125">
        <v>81.477672212029802</v>
      </c>
      <c r="K125">
        <v>0.76667091650147257</v>
      </c>
      <c r="L125" t="s">
        <v>480</v>
      </c>
      <c r="M125" t="e">
        <v>#VALUE!</v>
      </c>
      <c r="N125">
        <v>29.383652730074935</v>
      </c>
      <c r="O125">
        <v>0.27648791818823526</v>
      </c>
      <c r="P125">
        <v>8.5565256221919981</v>
      </c>
      <c r="Q125">
        <v>8.0513337737031135E-2</v>
      </c>
      <c r="R125">
        <v>46.149536384401458</v>
      </c>
      <c r="S125">
        <v>0.4342478914207763</v>
      </c>
      <c r="T125">
        <v>70.03</v>
      </c>
      <c r="U125">
        <v>647.51599999999996</v>
      </c>
      <c r="V125">
        <v>37.745532686694702</v>
      </c>
      <c r="W125">
        <v>0.3551697213862216</v>
      </c>
    </row>
    <row r="126" spans="1:23" x14ac:dyDescent="0.2">
      <c r="A126" t="s">
        <v>67</v>
      </c>
      <c r="B126">
        <v>12773.614</v>
      </c>
      <c r="C126">
        <v>1816.0830000000001</v>
      </c>
      <c r="D126">
        <v>2069.8940000000002</v>
      </c>
      <c r="E126">
        <v>2201.5</v>
      </c>
      <c r="F126">
        <f t="shared" si="9"/>
        <v>6.1711440295976496</v>
      </c>
      <c r="G126">
        <f t="shared" si="10"/>
        <v>5.8022321144674081</v>
      </c>
      <c r="H126">
        <f t="shared" si="11"/>
        <v>0.13975737893036835</v>
      </c>
      <c r="I126">
        <v>6.3581033618146598E-2</v>
      </c>
      <c r="J126">
        <v>1826.9869919433593</v>
      </c>
      <c r="K126">
        <v>0.88264760994686642</v>
      </c>
      <c r="L126">
        <v>804.22299999999996</v>
      </c>
      <c r="M126">
        <v>0.38853342248443634</v>
      </c>
      <c r="N126">
        <v>419.161</v>
      </c>
      <c r="O126">
        <v>0.20250360646487209</v>
      </c>
      <c r="P126">
        <v>134.18100000000001</v>
      </c>
      <c r="Q126">
        <v>6.4825058674502167E-2</v>
      </c>
      <c r="R126">
        <v>518.21699999999998</v>
      </c>
      <c r="S126">
        <v>0.25035919713763116</v>
      </c>
      <c r="T126">
        <v>539.73699999999997</v>
      </c>
      <c r="U126">
        <v>688.08699999999999</v>
      </c>
      <c r="V126">
        <v>347.59648759077601</v>
      </c>
      <c r="W126">
        <v>0.16792960779188498</v>
      </c>
    </row>
    <row r="127" spans="1:23" x14ac:dyDescent="0.2">
      <c r="A127" t="s">
        <v>289</v>
      </c>
      <c r="B127">
        <v>1444.5420999999999</v>
      </c>
      <c r="C127">
        <v>116.239</v>
      </c>
      <c r="D127">
        <v>162.01400000000001</v>
      </c>
      <c r="E127">
        <v>226.63</v>
      </c>
      <c r="F127">
        <f t="shared" si="9"/>
        <v>8.9161560112089067</v>
      </c>
      <c r="G127">
        <f t="shared" si="10"/>
        <v>6.3740109429466525</v>
      </c>
      <c r="H127">
        <f t="shared" si="11"/>
        <v>0.39380070372250281</v>
      </c>
      <c r="I127">
        <v>0.39882973076400785</v>
      </c>
      <c r="J127">
        <v>126.376</v>
      </c>
      <c r="K127">
        <v>0.78003135531497281</v>
      </c>
      <c r="L127">
        <v>52.046999999999997</v>
      </c>
      <c r="M127">
        <v>0.3212500154307652</v>
      </c>
      <c r="N127">
        <v>107.19</v>
      </c>
      <c r="O127">
        <v>0.66160949053785467</v>
      </c>
      <c r="P127">
        <v>22.337</v>
      </c>
      <c r="Q127">
        <v>0.13787080128877749</v>
      </c>
      <c r="R127">
        <v>-48.109000000000002</v>
      </c>
      <c r="S127">
        <v>-0.29694347402076365</v>
      </c>
      <c r="T127">
        <v>-12.823</v>
      </c>
      <c r="U127">
        <v>36.073</v>
      </c>
      <c r="V127">
        <v>-55.826999999999998</v>
      </c>
      <c r="W127">
        <v>-0.34458133247744022</v>
      </c>
    </row>
    <row r="128" spans="1:23" x14ac:dyDescent="0.2">
      <c r="A128" t="s">
        <v>577</v>
      </c>
      <c r="B128">
        <v>1234.2756999999999</v>
      </c>
      <c r="C128">
        <v>206.98599999999999</v>
      </c>
      <c r="D128">
        <v>265.089</v>
      </c>
      <c r="E128">
        <v>329.13800000000003</v>
      </c>
      <c r="F128">
        <f t="shared" si="9"/>
        <v>4.6560804107299809</v>
      </c>
      <c r="G128">
        <f t="shared" si="10"/>
        <v>3.750024913562092</v>
      </c>
      <c r="H128">
        <f t="shared" si="11"/>
        <v>0.28070980646034038</v>
      </c>
      <c r="I128">
        <v>0.24161319405935378</v>
      </c>
      <c r="J128">
        <v>189.59500091552735</v>
      </c>
      <c r="K128">
        <v>0.71521263015639036</v>
      </c>
      <c r="L128">
        <v>46.16</v>
      </c>
      <c r="M128">
        <v>0.17413019778263147</v>
      </c>
      <c r="N128">
        <v>90.921999999999997</v>
      </c>
      <c r="O128">
        <v>0.34298669503449786</v>
      </c>
      <c r="P128">
        <v>43.331000000000003</v>
      </c>
      <c r="Q128">
        <v>0.16345831022788573</v>
      </c>
      <c r="R128">
        <v>35.430999999999997</v>
      </c>
      <c r="S128">
        <v>0.1336569982156936</v>
      </c>
      <c r="T128">
        <v>32.344000000000001</v>
      </c>
      <c r="U128">
        <v>128.23099999999999</v>
      </c>
      <c r="V128">
        <v>-1.8899511748109996</v>
      </c>
      <c r="W128">
        <v>-7.1294967909305918E-3</v>
      </c>
    </row>
    <row r="129" spans="1:23" x14ac:dyDescent="0.2">
      <c r="A129" t="s">
        <v>43</v>
      </c>
      <c r="B129">
        <v>17761.393199999999</v>
      </c>
      <c r="C129">
        <v>4025</v>
      </c>
      <c r="D129">
        <v>4148</v>
      </c>
      <c r="E129">
        <v>4285.5</v>
      </c>
      <c r="F129">
        <f t="shared" si="9"/>
        <v>4.2819173577627767</v>
      </c>
      <c r="G129">
        <f t="shared" si="10"/>
        <v>4.1445323066153303</v>
      </c>
      <c r="H129">
        <f t="shared" si="11"/>
        <v>3.0559006211180125E-2</v>
      </c>
      <c r="I129">
        <v>3.3148505303760789E-2</v>
      </c>
      <c r="J129">
        <v>3546</v>
      </c>
      <c r="K129">
        <v>0.85486981677917073</v>
      </c>
      <c r="L129">
        <v>642</v>
      </c>
      <c r="M129">
        <v>0.15477338476374156</v>
      </c>
      <c r="N129">
        <v>1061</v>
      </c>
      <c r="O129">
        <v>0.25578592092574737</v>
      </c>
      <c r="P129">
        <v>406</v>
      </c>
      <c r="Q129">
        <v>9.7878495660559311E-2</v>
      </c>
      <c r="R129">
        <v>1440</v>
      </c>
      <c r="S129">
        <v>0.34715525554484089</v>
      </c>
      <c r="T129">
        <v>1064</v>
      </c>
      <c r="U129">
        <v>3405</v>
      </c>
      <c r="V129">
        <v>788.04512350394702</v>
      </c>
      <c r="W129">
        <v>0.18998194877144337</v>
      </c>
    </row>
    <row r="130" spans="1:23" x14ac:dyDescent="0.2">
      <c r="A130" t="s">
        <v>185</v>
      </c>
      <c r="B130">
        <v>2584.7898</v>
      </c>
      <c r="C130">
        <v>302.70400000000001</v>
      </c>
      <c r="D130">
        <v>554.70800000000008</v>
      </c>
      <c r="E130">
        <v>668.68299999999999</v>
      </c>
      <c r="F130">
        <f t="shared" ref="F130:F152" si="12">B130/D130</f>
        <v>4.6597305248887695</v>
      </c>
      <c r="G130">
        <f t="shared" ref="G130:G152" si="13">B130/E130</f>
        <v>3.8654935148642928</v>
      </c>
      <c r="H130">
        <f t="shared" ref="H130:H152" si="14">(D130-C130)/C130</f>
        <v>0.83250964638723002</v>
      </c>
      <c r="I130">
        <v>0.20546846268667451</v>
      </c>
      <c r="J130">
        <v>403.28800524902346</v>
      </c>
      <c r="K130">
        <v>0.72702756269789404</v>
      </c>
      <c r="L130">
        <v>136.791</v>
      </c>
      <c r="M130">
        <v>0.24660001297980194</v>
      </c>
      <c r="N130">
        <v>303.31900000000002</v>
      </c>
      <c r="O130">
        <v>0.54680841091168686</v>
      </c>
      <c r="P130">
        <v>84.805000000000007</v>
      </c>
      <c r="Q130">
        <v>0.15288223714098229</v>
      </c>
      <c r="R130">
        <v>-104.10600000000001</v>
      </c>
      <c r="S130">
        <v>-0.18767712021459937</v>
      </c>
      <c r="T130">
        <v>53.064000000000007</v>
      </c>
      <c r="U130">
        <v>208.07599999999999</v>
      </c>
      <c r="V130">
        <v>-150.31100000000001</v>
      </c>
      <c r="W130">
        <v>-0.27097319670889908</v>
      </c>
    </row>
    <row r="131" spans="1:23" x14ac:dyDescent="0.2">
      <c r="A131" t="s">
        <v>307</v>
      </c>
      <c r="B131">
        <v>1106.0070000000001</v>
      </c>
      <c r="C131">
        <v>233.33500000000001</v>
      </c>
      <c r="D131">
        <v>252.16</v>
      </c>
      <c r="E131">
        <v>269.78399999999999</v>
      </c>
      <c r="F131">
        <f t="shared" si="12"/>
        <v>4.3861318210659901</v>
      </c>
      <c r="G131">
        <f t="shared" si="13"/>
        <v>4.0996019037452189</v>
      </c>
      <c r="H131">
        <f t="shared" si="14"/>
        <v>8.0677995157177398E-2</v>
      </c>
      <c r="I131">
        <v>6.989213197969546E-2</v>
      </c>
      <c r="J131">
        <v>126.30899749755859</v>
      </c>
      <c r="K131">
        <v>0.50090814362927738</v>
      </c>
      <c r="L131">
        <v>49.548999999999999</v>
      </c>
      <c r="M131">
        <v>0.19649825507614213</v>
      </c>
      <c r="N131">
        <v>69.28</v>
      </c>
      <c r="O131">
        <v>0.27474619289340102</v>
      </c>
      <c r="P131">
        <v>27.268000000000001</v>
      </c>
      <c r="Q131">
        <v>0.10813769035532995</v>
      </c>
      <c r="R131">
        <v>-11.269886075949</v>
      </c>
      <c r="S131">
        <v>-4.4693393384950028E-2</v>
      </c>
      <c r="T131">
        <v>-2.8339999999999996</v>
      </c>
      <c r="U131">
        <v>55.335000000000001</v>
      </c>
      <c r="V131">
        <v>-40.211799999999997</v>
      </c>
      <c r="W131">
        <v>-0.15946938451776649</v>
      </c>
    </row>
    <row r="132" spans="1:23" x14ac:dyDescent="0.2">
      <c r="A132" t="s">
        <v>163</v>
      </c>
      <c r="B132">
        <v>3579.8489</v>
      </c>
      <c r="C132">
        <v>730.81500000000005</v>
      </c>
      <c r="D132">
        <v>833.04499999999996</v>
      </c>
      <c r="E132">
        <v>871.04500000000007</v>
      </c>
      <c r="F132">
        <f t="shared" si="12"/>
        <v>4.2973055477195112</v>
      </c>
      <c r="G132">
        <f t="shared" si="13"/>
        <v>4.1098323278361049</v>
      </c>
      <c r="H132">
        <f t="shared" si="14"/>
        <v>0.13988492299692795</v>
      </c>
      <c r="I132">
        <v>4.5615783060939163E-2</v>
      </c>
      <c r="J132">
        <v>461.10500335693359</v>
      </c>
      <c r="K132">
        <v>0.55351752109061769</v>
      </c>
      <c r="L132">
        <v>89.911000000000001</v>
      </c>
      <c r="M132">
        <v>0.10793054396821301</v>
      </c>
      <c r="N132">
        <v>173.52500000000001</v>
      </c>
      <c r="O132">
        <v>0.20830207251709093</v>
      </c>
      <c r="P132">
        <v>94.87</v>
      </c>
      <c r="Q132">
        <v>0.11388340365766557</v>
      </c>
      <c r="R132">
        <v>162.346</v>
      </c>
      <c r="S132">
        <v>0.19488262938976889</v>
      </c>
      <c r="T132">
        <v>149.40600000000001</v>
      </c>
      <c r="U132">
        <v>29.83</v>
      </c>
      <c r="V132">
        <v>80.155496400630994</v>
      </c>
      <c r="W132">
        <v>9.621988776192282E-2</v>
      </c>
    </row>
    <row r="133" spans="1:23" x14ac:dyDescent="0.2">
      <c r="A133" t="s">
        <v>207</v>
      </c>
      <c r="B133">
        <v>2165.1192999999998</v>
      </c>
      <c r="C133">
        <v>123.123</v>
      </c>
      <c r="D133">
        <v>202.84200000000001</v>
      </c>
      <c r="E133">
        <v>246.78800000000001</v>
      </c>
      <c r="F133">
        <f t="shared" si="12"/>
        <v>10.673920095443743</v>
      </c>
      <c r="G133">
        <f t="shared" si="13"/>
        <v>8.7731952120848646</v>
      </c>
      <c r="H133">
        <f t="shared" si="14"/>
        <v>0.64747447674276948</v>
      </c>
      <c r="I133">
        <v>0.21665138383569471</v>
      </c>
      <c r="J133">
        <v>157.49099987792968</v>
      </c>
      <c r="K133">
        <v>0.77642204217040689</v>
      </c>
      <c r="L133">
        <v>23.873999999999999</v>
      </c>
      <c r="M133">
        <v>0.11769751826544797</v>
      </c>
      <c r="N133">
        <v>109.77500000000001</v>
      </c>
      <c r="O133">
        <v>0.54118476449650466</v>
      </c>
      <c r="P133">
        <v>36.956000000000003</v>
      </c>
      <c r="Q133">
        <v>0.18219106496682147</v>
      </c>
      <c r="R133">
        <v>-13.472000000000001</v>
      </c>
      <c r="S133">
        <v>-6.6416225436546669E-2</v>
      </c>
      <c r="T133">
        <v>9.2060000000000013</v>
      </c>
      <c r="U133">
        <v>31.103999999999999</v>
      </c>
      <c r="V133">
        <v>-33.920332731689001</v>
      </c>
      <c r="W133">
        <v>-0.16722539085440391</v>
      </c>
    </row>
    <row r="134" spans="1:23" x14ac:dyDescent="0.2">
      <c r="A134" t="s">
        <v>105</v>
      </c>
      <c r="B134">
        <v>6894.6152000000002</v>
      </c>
      <c r="C134">
        <v>472.34399999999999</v>
      </c>
      <c r="D134">
        <v>499.51400000000001</v>
      </c>
      <c r="E134">
        <v>548.56299999999999</v>
      </c>
      <c r="F134">
        <f t="shared" si="12"/>
        <v>13.80264657246844</v>
      </c>
      <c r="G134">
        <f t="shared" si="13"/>
        <v>12.568502068130735</v>
      </c>
      <c r="H134">
        <f t="shared" si="14"/>
        <v>5.7521636773199228E-2</v>
      </c>
      <c r="I134">
        <v>9.8193444027594667E-2</v>
      </c>
      <c r="J134">
        <v>448.87000836181642</v>
      </c>
      <c r="K134">
        <v>0.89861346901551586</v>
      </c>
      <c r="L134">
        <v>82.075999999999993</v>
      </c>
      <c r="M134">
        <v>0.16431171098307554</v>
      </c>
      <c r="N134">
        <v>101.077</v>
      </c>
      <c r="O134">
        <v>0.20235068486568944</v>
      </c>
      <c r="P134">
        <v>56.076000000000001</v>
      </c>
      <c r="Q134">
        <v>0.11226111780650792</v>
      </c>
      <c r="R134">
        <v>218.595</v>
      </c>
      <c r="S134">
        <v>0.43761536213199226</v>
      </c>
      <c r="T134">
        <v>199.48799999999997</v>
      </c>
      <c r="U134">
        <v>96.164999999999992</v>
      </c>
      <c r="V134">
        <v>150.27254635458399</v>
      </c>
      <c r="W134">
        <v>0.30083750676574428</v>
      </c>
    </row>
    <row r="135" spans="1:23" x14ac:dyDescent="0.2">
      <c r="A135" t="s">
        <v>189</v>
      </c>
      <c r="B135">
        <v>2363.1176</v>
      </c>
      <c r="C135">
        <v>85.79</v>
      </c>
      <c r="D135">
        <v>162.35999999999999</v>
      </c>
      <c r="E135">
        <v>224.28800000000001</v>
      </c>
      <c r="F135">
        <f t="shared" si="12"/>
        <v>14.554801675289482</v>
      </c>
      <c r="G135">
        <f t="shared" si="13"/>
        <v>10.536085746896847</v>
      </c>
      <c r="H135">
        <f t="shared" si="14"/>
        <v>0.89252826669774998</v>
      </c>
      <c r="I135">
        <v>0.3814239960581427</v>
      </c>
      <c r="J135">
        <v>140.40400271606444</v>
      </c>
      <c r="K135">
        <v>0.86476966442513215</v>
      </c>
      <c r="L135">
        <v>29.341999999999999</v>
      </c>
      <c r="M135">
        <v>0.1807218526730722</v>
      </c>
      <c r="N135">
        <v>66.42</v>
      </c>
      <c r="O135">
        <v>0.40909090909090912</v>
      </c>
      <c r="P135">
        <v>32.241</v>
      </c>
      <c r="Q135">
        <v>0.19857723577235775</v>
      </c>
      <c r="R135">
        <v>-13.546000000000001</v>
      </c>
      <c r="S135">
        <v>-8.3431879773343209E-2</v>
      </c>
      <c r="T135">
        <v>16.873000000000001</v>
      </c>
      <c r="U135">
        <v>119.71599999999999</v>
      </c>
      <c r="V135">
        <v>-19.666589999999999</v>
      </c>
      <c r="W135">
        <v>-0.12112952697708795</v>
      </c>
    </row>
    <row r="136" spans="1:23" x14ac:dyDescent="0.2">
      <c r="A136" t="s">
        <v>599</v>
      </c>
      <c r="B136">
        <v>5116.1342000000004</v>
      </c>
      <c r="C136">
        <v>201.49100000000001</v>
      </c>
      <c r="D136">
        <v>662.16275290332658</v>
      </c>
      <c r="E136">
        <v>964.04100000000005</v>
      </c>
      <c r="F136">
        <f t="shared" si="12"/>
        <v>7.7263998579922211</v>
      </c>
      <c r="G136">
        <f t="shared" si="13"/>
        <v>5.3069674422560871</v>
      </c>
      <c r="H136">
        <f t="shared" si="14"/>
        <v>2.2863142914736962</v>
      </c>
      <c r="I136">
        <v>0.4558973541973701</v>
      </c>
      <c r="J136">
        <v>462.07363936766961</v>
      </c>
      <c r="K136">
        <v>0.69782487363062351</v>
      </c>
      <c r="L136">
        <v>154.31598291557478</v>
      </c>
      <c r="M136">
        <v>0.23304841934850473</v>
      </c>
      <c r="N136">
        <v>169.76960474098371</v>
      </c>
      <c r="O136">
        <v>0.2563865212843971</v>
      </c>
      <c r="P136">
        <v>72.929738302088708</v>
      </c>
      <c r="Q136">
        <v>0.11013869019711563</v>
      </c>
      <c r="R136">
        <v>163.30981038419148</v>
      </c>
      <c r="S136">
        <v>0.24663092218361932</v>
      </c>
      <c r="T136">
        <v>65.210999999999999</v>
      </c>
      <c r="U136">
        <v>105.649</v>
      </c>
      <c r="V136">
        <v>77.683937329779184</v>
      </c>
      <c r="W136">
        <v>0.11731849456823912</v>
      </c>
    </row>
    <row r="137" spans="1:23" x14ac:dyDescent="0.2">
      <c r="A137" t="s">
        <v>211</v>
      </c>
      <c r="B137">
        <v>2527.3155999999999</v>
      </c>
      <c r="C137">
        <v>167.42599999999999</v>
      </c>
      <c r="D137">
        <v>213.15899999999999</v>
      </c>
      <c r="E137">
        <v>282.81</v>
      </c>
      <c r="F137">
        <f t="shared" si="12"/>
        <v>11.85648084293884</v>
      </c>
      <c r="G137">
        <f t="shared" si="13"/>
        <v>8.9364435486722531</v>
      </c>
      <c r="H137">
        <f t="shared" si="14"/>
        <v>0.27315351259660992</v>
      </c>
      <c r="I137">
        <v>0.32675608348697449</v>
      </c>
      <c r="J137">
        <v>155.18199999999999</v>
      </c>
      <c r="K137">
        <v>0.72801054611815585</v>
      </c>
      <c r="L137">
        <v>41.263999999999996</v>
      </c>
      <c r="M137">
        <v>0.19358319376615576</v>
      </c>
      <c r="N137">
        <v>133.79400000000001</v>
      </c>
      <c r="O137">
        <v>0.62767230095843951</v>
      </c>
      <c r="P137">
        <v>34.286000000000001</v>
      </c>
      <c r="Q137">
        <v>0.16084706721273792</v>
      </c>
      <c r="R137">
        <v>-43.302999999999997</v>
      </c>
      <c r="S137">
        <v>-0.20314882317894153</v>
      </c>
      <c r="T137">
        <v>-17.495999999999999</v>
      </c>
      <c r="U137">
        <v>14.074999999999999</v>
      </c>
      <c r="V137">
        <v>-55.233550000000001</v>
      </c>
      <c r="W137">
        <v>-0.25911901444461649</v>
      </c>
    </row>
    <row r="138" spans="1:23" x14ac:dyDescent="0.2">
      <c r="A138" t="s">
        <v>365</v>
      </c>
      <c r="B138">
        <v>304.52499999999998</v>
      </c>
      <c r="C138">
        <v>54.494</v>
      </c>
      <c r="D138">
        <v>72.800999999999988</v>
      </c>
      <c r="E138">
        <v>86.84</v>
      </c>
      <c r="F138">
        <f t="shared" si="12"/>
        <v>4.1829782557931896</v>
      </c>
      <c r="G138">
        <f t="shared" si="13"/>
        <v>3.5067365269461073</v>
      </c>
      <c r="H138">
        <f t="shared" si="14"/>
        <v>0.33594524167798268</v>
      </c>
      <c r="I138">
        <v>0.19284075768190023</v>
      </c>
      <c r="J138">
        <v>62.064999832153319</v>
      </c>
      <c r="K138">
        <v>0.85252949591562377</v>
      </c>
      <c r="L138">
        <v>14.01</v>
      </c>
      <c r="M138">
        <v>0.1924424115053365</v>
      </c>
      <c r="N138">
        <v>35.893000000000001</v>
      </c>
      <c r="O138">
        <v>0.49302894191013868</v>
      </c>
      <c r="P138">
        <v>5.1959999999999997</v>
      </c>
      <c r="Q138">
        <v>7.137264598013765E-2</v>
      </c>
      <c r="R138">
        <v>3.6139999999999999</v>
      </c>
      <c r="S138">
        <v>4.9642175244845543E-2</v>
      </c>
      <c r="T138">
        <v>6.4489999999999998</v>
      </c>
      <c r="U138">
        <v>29.087</v>
      </c>
      <c r="V138">
        <v>-1.5870000000000002</v>
      </c>
      <c r="W138">
        <v>-2.1799151110561674E-2</v>
      </c>
    </row>
    <row r="139" spans="1:23" x14ac:dyDescent="0.2">
      <c r="A139" t="s">
        <v>610</v>
      </c>
      <c r="B139">
        <v>4868.8302000000003</v>
      </c>
      <c r="C139">
        <v>1082.9000000000001</v>
      </c>
      <c r="D139">
        <v>1286.5</v>
      </c>
      <c r="E139">
        <v>1414.836</v>
      </c>
      <c r="F139">
        <f t="shared" si="12"/>
        <v>3.7845551496307817</v>
      </c>
      <c r="G139">
        <f t="shared" si="13"/>
        <v>3.4412682459309774</v>
      </c>
      <c r="H139">
        <f t="shared" si="14"/>
        <v>0.18801366700526354</v>
      </c>
      <c r="I139">
        <v>9.9755926933540628E-2</v>
      </c>
      <c r="J139">
        <v>696.89999084472652</v>
      </c>
      <c r="K139">
        <v>0.54170228592672098</v>
      </c>
      <c r="L139">
        <v>173.6</v>
      </c>
      <c r="M139">
        <v>0.13493975903614458</v>
      </c>
      <c r="N139">
        <v>252.2</v>
      </c>
      <c r="O139">
        <v>0.19603575592693354</v>
      </c>
      <c r="P139">
        <v>145.4</v>
      </c>
      <c r="Q139">
        <v>0.11301982122036534</v>
      </c>
      <c r="R139">
        <v>325.79999999999995</v>
      </c>
      <c r="S139">
        <v>0.25324523902059848</v>
      </c>
      <c r="T139">
        <v>297.59999999999997</v>
      </c>
      <c r="U139">
        <v>165.1</v>
      </c>
      <c r="V139">
        <v>132.49198895886499</v>
      </c>
      <c r="W139">
        <v>0.10298638861940536</v>
      </c>
    </row>
    <row r="140" spans="1:23" x14ac:dyDescent="0.2">
      <c r="A140" t="s">
        <v>351</v>
      </c>
      <c r="B140">
        <v>290.68</v>
      </c>
      <c r="C140">
        <v>227.297</v>
      </c>
      <c r="D140">
        <v>231.34999999999997</v>
      </c>
      <c r="E140">
        <v>233.3</v>
      </c>
      <c r="F140">
        <f t="shared" si="12"/>
        <v>1.2564512643181329</v>
      </c>
      <c r="G140">
        <f t="shared" si="13"/>
        <v>1.2459494213459066</v>
      </c>
      <c r="H140">
        <f t="shared" si="14"/>
        <v>1.7831295617627901E-2</v>
      </c>
      <c r="I140">
        <v>8.4287875513293642E-3</v>
      </c>
      <c r="J140">
        <v>179.79799935913087</v>
      </c>
      <c r="K140">
        <v>0.77716878910365639</v>
      </c>
      <c r="L140">
        <v>62.991</v>
      </c>
      <c r="M140">
        <v>0.27227577263885894</v>
      </c>
      <c r="N140">
        <v>101.36</v>
      </c>
      <c r="O140">
        <v>0.43812405446293501</v>
      </c>
      <c r="P140">
        <v>28.132000000000001</v>
      </c>
      <c r="Q140">
        <v>0.1215993084071753</v>
      </c>
      <c r="R140">
        <v>-9.2555696202529987</v>
      </c>
      <c r="S140">
        <v>-4.0006784613153233E-2</v>
      </c>
      <c r="T140" t="s">
        <v>480</v>
      </c>
      <c r="U140">
        <v>46.567</v>
      </c>
      <c r="V140">
        <v>-19.502000000000002</v>
      </c>
      <c r="W140">
        <v>-8.4296520423600627E-2</v>
      </c>
    </row>
    <row r="141" spans="1:23" x14ac:dyDescent="0.2">
      <c r="A141" t="s">
        <v>291</v>
      </c>
      <c r="B141">
        <v>1016.1319</v>
      </c>
      <c r="C141">
        <v>160.56899999999999</v>
      </c>
      <c r="D141">
        <v>212.47800000000001</v>
      </c>
      <c r="E141">
        <v>249.06300000000002</v>
      </c>
      <c r="F141">
        <f t="shared" si="12"/>
        <v>4.7822922843776761</v>
      </c>
      <c r="G141">
        <f t="shared" si="13"/>
        <v>4.0798187607151597</v>
      </c>
      <c r="H141">
        <f t="shared" si="14"/>
        <v>0.32328157988154638</v>
      </c>
      <c r="I141">
        <v>0.17218253183859034</v>
      </c>
      <c r="J141">
        <v>147.23399932861327</v>
      </c>
      <c r="K141">
        <v>0.69293761861751924</v>
      </c>
      <c r="L141">
        <v>40.549999999999997</v>
      </c>
      <c r="M141">
        <v>0.19084328730503861</v>
      </c>
      <c r="N141">
        <v>87.948999999999998</v>
      </c>
      <c r="O141">
        <v>0.41392050000470637</v>
      </c>
      <c r="P141">
        <v>27.706</v>
      </c>
      <c r="Q141">
        <v>0.13039467615470776</v>
      </c>
      <c r="R141">
        <v>-14.339075949367</v>
      </c>
      <c r="S141">
        <v>-6.748499114904602E-2</v>
      </c>
      <c r="T141">
        <v>3.3149999999999999</v>
      </c>
      <c r="U141">
        <v>55.068999999999996</v>
      </c>
      <c r="V141">
        <v>-23.346969999999999</v>
      </c>
      <c r="W141">
        <v>-0.10987946987452818</v>
      </c>
    </row>
    <row r="142" spans="1:23" x14ac:dyDescent="0.2">
      <c r="A142" t="s">
        <v>265</v>
      </c>
      <c r="B142">
        <v>1409.3098</v>
      </c>
      <c r="C142">
        <v>132.923</v>
      </c>
      <c r="D142">
        <v>206.78900000000002</v>
      </c>
      <c r="E142">
        <v>220.108</v>
      </c>
      <c r="F142">
        <f t="shared" si="12"/>
        <v>6.8152068050041343</v>
      </c>
      <c r="G142">
        <f t="shared" si="13"/>
        <v>6.4028104385120033</v>
      </c>
      <c r="H142">
        <f t="shared" si="14"/>
        <v>0.55570518269975855</v>
      </c>
      <c r="I142">
        <v>6.44086484290749E-2</v>
      </c>
      <c r="J142">
        <v>128.89599989318847</v>
      </c>
      <c r="K142">
        <v>0.62332135603532324</v>
      </c>
      <c r="L142">
        <v>34.835000000000001</v>
      </c>
      <c r="M142">
        <v>0.16845673609331249</v>
      </c>
      <c r="N142">
        <v>81.965999999999994</v>
      </c>
      <c r="O142">
        <v>0.3963750489629525</v>
      </c>
      <c r="P142">
        <v>27.15</v>
      </c>
      <c r="Q142">
        <v>0.13129325060810776</v>
      </c>
      <c r="R142">
        <v>-30.616</v>
      </c>
      <c r="S142">
        <v>-0.148054296892001</v>
      </c>
      <c r="T142">
        <v>-25.271000000000001</v>
      </c>
      <c r="U142">
        <v>73.757999999999996</v>
      </c>
      <c r="V142">
        <v>-33.673000000000002</v>
      </c>
      <c r="W142">
        <v>-0.16283748168422885</v>
      </c>
    </row>
    <row r="143" spans="1:23" x14ac:dyDescent="0.2">
      <c r="A143" t="s">
        <v>225</v>
      </c>
      <c r="B143">
        <v>2014.3187</v>
      </c>
      <c r="C143">
        <v>105.586</v>
      </c>
      <c r="D143">
        <v>165.38</v>
      </c>
      <c r="E143">
        <v>205.85</v>
      </c>
      <c r="F143">
        <f t="shared" si="12"/>
        <v>12.179941347200387</v>
      </c>
      <c r="G143">
        <f t="shared" si="13"/>
        <v>9.7853713869322334</v>
      </c>
      <c r="H143">
        <f t="shared" si="14"/>
        <v>0.56630613907146776</v>
      </c>
      <c r="I143">
        <v>0.24470915467408383</v>
      </c>
      <c r="J143">
        <v>102.44899972534179</v>
      </c>
      <c r="K143">
        <v>0.6194763558189732</v>
      </c>
      <c r="L143">
        <v>16.577999999999999</v>
      </c>
      <c r="M143">
        <v>0.10024186721489901</v>
      </c>
      <c r="N143">
        <v>28.709</v>
      </c>
      <c r="O143">
        <v>0.17359414681339944</v>
      </c>
      <c r="P143">
        <v>21.199000000000002</v>
      </c>
      <c r="Q143">
        <v>0.12818357721610837</v>
      </c>
      <c r="R143">
        <v>31.149000000000001</v>
      </c>
      <c r="S143">
        <v>0.18834804692223969</v>
      </c>
      <c r="T143">
        <v>30.143000000000001</v>
      </c>
      <c r="U143">
        <v>16.109000000000002</v>
      </c>
      <c r="V143">
        <v>18.071339999999999</v>
      </c>
      <c r="W143">
        <v>0.1092716168823316</v>
      </c>
    </row>
    <row r="144" spans="1:23" x14ac:dyDescent="0.2">
      <c r="A144" t="s">
        <v>363</v>
      </c>
      <c r="B144">
        <v>265.0127</v>
      </c>
      <c r="C144">
        <v>113.889</v>
      </c>
      <c r="D144">
        <v>113.21600000000001</v>
      </c>
      <c r="E144">
        <v>120.10000000000001</v>
      </c>
      <c r="F144">
        <f t="shared" si="12"/>
        <v>2.3407707391181458</v>
      </c>
      <c r="G144">
        <f t="shared" si="13"/>
        <v>2.2066003330557868</v>
      </c>
      <c r="H144">
        <f t="shared" si="14"/>
        <v>-5.9092625275486447E-3</v>
      </c>
      <c r="I144">
        <v>6.0804126625211952E-2</v>
      </c>
      <c r="J144">
        <v>61.229999687194827</v>
      </c>
      <c r="K144">
        <v>0.5408246156655846</v>
      </c>
      <c r="L144">
        <v>11.876999999999999</v>
      </c>
      <c r="M144">
        <v>0.1049056670435274</v>
      </c>
      <c r="N144">
        <v>20.658000000000001</v>
      </c>
      <c r="O144">
        <v>0.18246537591859807</v>
      </c>
      <c r="P144">
        <v>16.056999999999999</v>
      </c>
      <c r="Q144">
        <v>0.14182624364047483</v>
      </c>
      <c r="R144">
        <v>16.959000000000003</v>
      </c>
      <c r="S144">
        <v>0.14979331543244773</v>
      </c>
      <c r="T144">
        <v>8.9260000000000019</v>
      </c>
      <c r="U144">
        <v>52.793999999999997</v>
      </c>
      <c r="V144">
        <v>9.6010000000000009</v>
      </c>
      <c r="W144">
        <v>8.4802501413227815E-2</v>
      </c>
    </row>
    <row r="145" spans="1:23" x14ac:dyDescent="0.2">
      <c r="A145" t="s">
        <v>383</v>
      </c>
      <c r="B145">
        <v>259.96980000000002</v>
      </c>
      <c r="C145">
        <v>73.161190000000005</v>
      </c>
      <c r="D145">
        <v>81.967006999999995</v>
      </c>
      <c r="E145">
        <v>89.275000000000006</v>
      </c>
      <c r="F145">
        <f t="shared" si="12"/>
        <v>3.1716395354047759</v>
      </c>
      <c r="G145">
        <f t="shared" si="13"/>
        <v>2.9120112013441615</v>
      </c>
      <c r="H145">
        <f t="shared" si="14"/>
        <v>0.12036186125458033</v>
      </c>
      <c r="I145">
        <v>8.9157738796050046E-2</v>
      </c>
      <c r="J145">
        <v>44.329346749023436</v>
      </c>
      <c r="K145">
        <v>0.54081939028252479</v>
      </c>
      <c r="L145">
        <v>14.941393999999999</v>
      </c>
      <c r="M145">
        <v>0.18228546517503072</v>
      </c>
      <c r="N145">
        <v>22.526534999999999</v>
      </c>
      <c r="O145">
        <v>0.27482441807348168</v>
      </c>
      <c r="P145">
        <v>15.263297</v>
      </c>
      <c r="Q145">
        <v>0.18621269165043444</v>
      </c>
      <c r="R145">
        <v>-4.3256870000000003</v>
      </c>
      <c r="S145">
        <v>-5.2773514104278572E-2</v>
      </c>
      <c r="T145">
        <v>3.9441799999999998</v>
      </c>
      <c r="U145">
        <v>9.3606009999999991</v>
      </c>
      <c r="V145">
        <v>-10.418129</v>
      </c>
      <c r="W145">
        <v>-0.12710149340941534</v>
      </c>
    </row>
    <row r="146" spans="1:23" x14ac:dyDescent="0.2">
      <c r="A146" t="s">
        <v>197</v>
      </c>
      <c r="B146">
        <v>2344.0949000000001</v>
      </c>
      <c r="C146">
        <v>313.24</v>
      </c>
      <c r="D146">
        <v>362.10199999999998</v>
      </c>
      <c r="E146">
        <v>403.58300000000003</v>
      </c>
      <c r="F146">
        <f t="shared" si="12"/>
        <v>6.473576229902072</v>
      </c>
      <c r="G146">
        <f t="shared" si="13"/>
        <v>5.8082102070701689</v>
      </c>
      <c r="H146">
        <f t="shared" si="14"/>
        <v>0.15598901800536319</v>
      </c>
      <c r="I146">
        <v>0.11455611954642619</v>
      </c>
      <c r="J146">
        <v>250.68500076293947</v>
      </c>
      <c r="K146">
        <v>0.69230493276187233</v>
      </c>
      <c r="L146">
        <v>93.233999999999995</v>
      </c>
      <c r="M146">
        <v>0.25747993659245183</v>
      </c>
      <c r="N146">
        <v>79.957999999999998</v>
      </c>
      <c r="O146">
        <v>0.22081623409978404</v>
      </c>
      <c r="P146">
        <v>87.978999999999999</v>
      </c>
      <c r="Q146">
        <v>0.24296745116017035</v>
      </c>
      <c r="R146">
        <v>-3.4740000000000002</v>
      </c>
      <c r="S146">
        <v>-9.5939818062313938E-3</v>
      </c>
      <c r="T146">
        <v>32.57</v>
      </c>
      <c r="U146">
        <v>39.213000000000001</v>
      </c>
      <c r="V146">
        <v>-84.54</v>
      </c>
      <c r="W146">
        <v>-0.23347012720172772</v>
      </c>
    </row>
    <row r="147" spans="1:23" x14ac:dyDescent="0.2">
      <c r="A147" t="s">
        <v>213</v>
      </c>
      <c r="B147">
        <v>2086.6887999999999</v>
      </c>
      <c r="C147">
        <v>261.10599999999999</v>
      </c>
      <c r="D147">
        <v>375.99900000000002</v>
      </c>
      <c r="E147">
        <v>410.81200000000001</v>
      </c>
      <c r="F147">
        <f t="shared" si="12"/>
        <v>5.5497190152101465</v>
      </c>
      <c r="G147">
        <f t="shared" si="13"/>
        <v>5.0794251385061777</v>
      </c>
      <c r="H147">
        <f t="shared" si="14"/>
        <v>0.44002435792360201</v>
      </c>
      <c r="I147">
        <v>9.2588012202160064E-2</v>
      </c>
      <c r="J147">
        <v>251.41600036621094</v>
      </c>
      <c r="K147">
        <v>0.66866135379671465</v>
      </c>
      <c r="L147">
        <v>72.754999999999995</v>
      </c>
      <c r="M147">
        <v>0.19349785504748682</v>
      </c>
      <c r="N147">
        <v>43.49</v>
      </c>
      <c r="O147">
        <v>0.11566520123723734</v>
      </c>
      <c r="P147">
        <v>55.396000000000001</v>
      </c>
      <c r="Q147">
        <v>0.14733017906962517</v>
      </c>
      <c r="R147">
        <v>78.801000000000002</v>
      </c>
      <c r="S147">
        <v>0.2095776850470347</v>
      </c>
      <c r="T147">
        <v>41.491</v>
      </c>
      <c r="U147">
        <v>96.328999999999994</v>
      </c>
      <c r="V147">
        <v>54.195191958732003</v>
      </c>
      <c r="W147">
        <v>0.14413653216825575</v>
      </c>
    </row>
    <row r="148" spans="1:23" x14ac:dyDescent="0.2">
      <c r="A148" t="s">
        <v>391</v>
      </c>
      <c r="B148">
        <v>117.0865</v>
      </c>
      <c r="C148">
        <v>90.369</v>
      </c>
      <c r="D148">
        <v>88.789999999999992</v>
      </c>
      <c r="E148">
        <v>99.167000000000002</v>
      </c>
      <c r="F148">
        <f t="shared" si="12"/>
        <v>1.3186901678116907</v>
      </c>
      <c r="G148">
        <f t="shared" si="13"/>
        <v>1.1807002329403935</v>
      </c>
      <c r="H148">
        <f t="shared" si="14"/>
        <v>-1.7472805940090159E-2</v>
      </c>
      <c r="I148">
        <v>0.11687126928708191</v>
      </c>
      <c r="J148">
        <v>60.490999809265134</v>
      </c>
      <c r="K148">
        <v>0.68128167371624215</v>
      </c>
      <c r="L148">
        <v>21.852</v>
      </c>
      <c r="M148">
        <v>0.24610879603558961</v>
      </c>
      <c r="N148">
        <v>38.316000000000003</v>
      </c>
      <c r="O148">
        <v>0.43153508277959235</v>
      </c>
      <c r="P148">
        <v>10.696</v>
      </c>
      <c r="Q148">
        <v>0.12046401621804258</v>
      </c>
      <c r="R148">
        <v>-8.6230000000000011</v>
      </c>
      <c r="S148">
        <v>-9.7116792431580154E-2</v>
      </c>
      <c r="T148">
        <v>-1.4709999999999999</v>
      </c>
      <c r="U148">
        <v>15.341999999999999</v>
      </c>
      <c r="V148">
        <v>-12.355</v>
      </c>
      <c r="W148">
        <v>-0.13914855276495103</v>
      </c>
    </row>
    <row r="149" spans="1:23" x14ac:dyDescent="0.2">
      <c r="A149" t="s">
        <v>361</v>
      </c>
      <c r="B149">
        <v>328.06920000000002</v>
      </c>
      <c r="C149">
        <v>120.366</v>
      </c>
      <c r="D149">
        <v>127.502</v>
      </c>
      <c r="E149">
        <v>144.80000000000001</v>
      </c>
      <c r="F149">
        <f t="shared" si="12"/>
        <v>2.5730514031152456</v>
      </c>
      <c r="G149">
        <f t="shared" si="13"/>
        <v>2.265671270718232</v>
      </c>
      <c r="H149">
        <f t="shared" si="14"/>
        <v>5.9285844839904921E-2</v>
      </c>
      <c r="I149">
        <v>0.13566846010258682</v>
      </c>
      <c r="J149">
        <v>65.636000694274898</v>
      </c>
      <c r="K149">
        <v>0.51478408726353231</v>
      </c>
      <c r="L149">
        <v>27.936</v>
      </c>
      <c r="M149">
        <v>0.21910244545183605</v>
      </c>
      <c r="N149">
        <v>18.074999999999999</v>
      </c>
      <c r="O149">
        <v>0.14176248215714263</v>
      </c>
      <c r="P149">
        <v>24.027999999999999</v>
      </c>
      <c r="Q149">
        <v>0.18845194585182978</v>
      </c>
      <c r="R149">
        <v>6.6750000000000007</v>
      </c>
      <c r="S149">
        <v>5.2352119966745631E-2</v>
      </c>
      <c r="T149">
        <v>-4.2229999999999999</v>
      </c>
      <c r="U149">
        <v>39.942999999999998</v>
      </c>
      <c r="V149">
        <v>-5.3883799999999997</v>
      </c>
      <c r="W149">
        <v>-4.2261141001709773E-2</v>
      </c>
    </row>
    <row r="150" spans="1:23" x14ac:dyDescent="0.2">
      <c r="A150" t="s">
        <v>31</v>
      </c>
      <c r="B150">
        <v>28484.287400000001</v>
      </c>
      <c r="C150">
        <v>2504.1</v>
      </c>
      <c r="D150">
        <v>2240.6999999999998</v>
      </c>
      <c r="E150">
        <v>2807.2000000000003</v>
      </c>
      <c r="F150">
        <f t="shared" si="12"/>
        <v>12.712227161154997</v>
      </c>
      <c r="G150">
        <f t="shared" si="13"/>
        <v>10.146867839840409</v>
      </c>
      <c r="H150">
        <f t="shared" si="14"/>
        <v>-0.10518749251227991</v>
      </c>
      <c r="I150">
        <v>0.25282277859597468</v>
      </c>
      <c r="J150">
        <v>1953.5000061035157</v>
      </c>
      <c r="K150">
        <v>0.87182577145691786</v>
      </c>
      <c r="L150">
        <v>755.5</v>
      </c>
      <c r="M150">
        <v>0.33717141964564645</v>
      </c>
      <c r="N150">
        <v>1087.3</v>
      </c>
      <c r="O150">
        <v>0.48525014504395947</v>
      </c>
      <c r="P150">
        <v>305.2</v>
      </c>
      <c r="Q150">
        <v>0.13620743517650735</v>
      </c>
      <c r="R150">
        <v>-131.1</v>
      </c>
      <c r="S150">
        <v>-5.8508501807470879E-2</v>
      </c>
      <c r="T150">
        <v>84.1</v>
      </c>
      <c r="U150">
        <v>1078</v>
      </c>
      <c r="V150">
        <v>-301.367196788814</v>
      </c>
      <c r="W150">
        <v>-0.13449689685759542</v>
      </c>
    </row>
    <row r="151" spans="1:23" x14ac:dyDescent="0.2">
      <c r="A151" t="s">
        <v>175</v>
      </c>
      <c r="B151">
        <v>3540.5491000000002</v>
      </c>
      <c r="C151">
        <v>1005.701</v>
      </c>
      <c r="D151">
        <v>996.43500000000006</v>
      </c>
      <c r="E151">
        <v>1060</v>
      </c>
      <c r="F151">
        <f t="shared" si="12"/>
        <v>3.553216316167136</v>
      </c>
      <c r="G151">
        <f t="shared" si="13"/>
        <v>3.3401406603773585</v>
      </c>
      <c r="H151">
        <f t="shared" si="14"/>
        <v>-9.2134739848125456E-3</v>
      </c>
      <c r="I151">
        <v>6.3792419977218628E-2</v>
      </c>
      <c r="J151">
        <v>549.45199468994144</v>
      </c>
      <c r="K151">
        <v>0.55141779914388933</v>
      </c>
      <c r="L151">
        <v>136.92099999999999</v>
      </c>
      <c r="M151">
        <v>0.13741086975066108</v>
      </c>
      <c r="N151">
        <v>107.88500000000001</v>
      </c>
      <c r="O151">
        <v>0.10827098606532287</v>
      </c>
      <c r="P151">
        <v>153.03200000000001</v>
      </c>
      <c r="Q151">
        <v>0.15357951095656014</v>
      </c>
      <c r="R151">
        <v>214.69400000000002</v>
      </c>
      <c r="S151">
        <v>0.21546212246659341</v>
      </c>
      <c r="T151">
        <v>138.00200000000001</v>
      </c>
      <c r="U151">
        <v>69.709999999999994</v>
      </c>
      <c r="V151">
        <v>48.026550000000007</v>
      </c>
      <c r="W151">
        <v>4.819837721477066E-2</v>
      </c>
    </row>
    <row r="152" spans="1:23" x14ac:dyDescent="0.2">
      <c r="A152" t="s">
        <v>385</v>
      </c>
      <c r="B152">
        <v>205.81890000000001</v>
      </c>
      <c r="C152">
        <v>88.798507999999998</v>
      </c>
      <c r="D152">
        <v>93.621832000000012</v>
      </c>
      <c r="E152">
        <v>97.92</v>
      </c>
      <c r="F152">
        <f t="shared" si="12"/>
        <v>2.1984070980367059</v>
      </c>
      <c r="G152">
        <f t="shared" si="13"/>
        <v>2.1019087009803923</v>
      </c>
      <c r="H152">
        <f t="shared" si="14"/>
        <v>5.4317624345670466E-2</v>
      </c>
      <c r="I152">
        <v>4.5909889906875501E-2</v>
      </c>
      <c r="J152">
        <v>79.795185569702141</v>
      </c>
      <c r="K152">
        <v>0.85231386595492098</v>
      </c>
      <c r="L152">
        <v>20.054991999999999</v>
      </c>
      <c r="M152">
        <v>0.21421277037176539</v>
      </c>
      <c r="N152">
        <v>40.912472999999999</v>
      </c>
      <c r="O152">
        <v>0.43699714186323541</v>
      </c>
      <c r="P152">
        <v>12.358472000000001</v>
      </c>
      <c r="Q152">
        <v>0.13200416757493058</v>
      </c>
      <c r="R152">
        <v>18.034611999999999</v>
      </c>
      <c r="S152">
        <v>0.19263254750238168</v>
      </c>
      <c r="T152">
        <v>11.063756</v>
      </c>
      <c r="U152">
        <v>33.956987999999996</v>
      </c>
      <c r="V152">
        <v>5.1388267800000005</v>
      </c>
      <c r="W152">
        <v>5.4889192725901793E-2</v>
      </c>
    </row>
  </sheetData>
  <autoFilter ref="A1:W152" xr:uid="{D7732E78-9483-4441-974D-E94DC32681D4}">
    <sortState xmlns:xlrd2="http://schemas.microsoft.com/office/spreadsheetml/2017/richdata2" ref="A2:W152">
      <sortCondition descending="1" ref="A1:A152"/>
    </sortState>
  </autoFilter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DB47A-FDC7-4F08-B4F8-D83F107AB97C}">
  <dimension ref="A1:W198"/>
  <sheetViews>
    <sheetView zoomScale="85" zoomScaleNormal="85" workbookViewId="0">
      <selection activeCell="H41" sqref="H41"/>
    </sheetView>
  </sheetViews>
  <sheetFormatPr defaultRowHeight="12.75" x14ac:dyDescent="0.2"/>
  <cols>
    <col min="1" max="1" width="18.28515625" customWidth="1"/>
    <col min="2" max="2" width="10.5703125" bestFit="1" customWidth="1"/>
    <col min="3" max="3" width="10.5703125" customWidth="1"/>
    <col min="4" max="4" width="14" customWidth="1"/>
    <col min="5" max="5" width="11.28515625" bestFit="1" customWidth="1"/>
    <col min="6" max="7" width="9.7109375" style="174" customWidth="1"/>
    <col min="8" max="8" width="9.7109375" customWidth="1"/>
    <col min="9" max="9" width="14.85546875" style="181" bestFit="1" customWidth="1"/>
    <col min="10" max="10" width="9.42578125" customWidth="1"/>
    <col min="11" max="11" width="13.5703125" style="177" bestFit="1" customWidth="1"/>
    <col min="12" max="12" width="9.42578125" customWidth="1"/>
    <col min="13" max="13" width="12.28515625" style="184" customWidth="1"/>
    <col min="14" max="14" width="12.28515625" customWidth="1"/>
    <col min="15" max="15" width="12.28515625" style="184" customWidth="1"/>
    <col min="16" max="16" width="12.28515625" customWidth="1"/>
    <col min="17" max="17" width="12.28515625" style="184" customWidth="1"/>
    <col min="18" max="18" width="14" customWidth="1"/>
    <col min="19" max="19" width="12.28515625" style="184" customWidth="1"/>
    <col min="20" max="22" width="12.28515625" customWidth="1"/>
    <col min="23" max="23" width="14.85546875" bestFit="1" customWidth="1"/>
    <col min="25" max="25" width="26.28515625" customWidth="1"/>
    <col min="26" max="32" width="16.28515625" customWidth="1"/>
  </cols>
  <sheetData>
    <row r="1" spans="1:23" ht="55.5" customHeight="1" x14ac:dyDescent="0.2">
      <c r="A1" t="s">
        <v>424</v>
      </c>
      <c r="B1" t="s">
        <v>718</v>
      </c>
      <c r="C1" t="s">
        <v>962</v>
      </c>
      <c r="D1" t="s">
        <v>963</v>
      </c>
      <c r="E1" t="s">
        <v>964</v>
      </c>
      <c r="F1" t="s">
        <v>902</v>
      </c>
      <c r="G1" t="s">
        <v>957</v>
      </c>
      <c r="H1" t="s">
        <v>965</v>
      </c>
      <c r="I1" t="s">
        <v>966</v>
      </c>
      <c r="J1" t="s">
        <v>959</v>
      </c>
      <c r="K1" t="s">
        <v>967</v>
      </c>
      <c r="L1" t="s">
        <v>968</v>
      </c>
      <c r="M1" t="s">
        <v>969</v>
      </c>
      <c r="N1" t="s">
        <v>970</v>
      </c>
      <c r="O1" t="s">
        <v>971</v>
      </c>
      <c r="P1" t="s">
        <v>972</v>
      </c>
      <c r="Q1" t="s">
        <v>973</v>
      </c>
      <c r="R1" t="s">
        <v>438</v>
      </c>
      <c r="S1" t="s">
        <v>974</v>
      </c>
      <c r="T1" t="s">
        <v>975</v>
      </c>
      <c r="U1" t="s">
        <v>956</v>
      </c>
      <c r="V1" t="s">
        <v>976</v>
      </c>
      <c r="W1" t="s">
        <v>977</v>
      </c>
    </row>
    <row r="2" spans="1:23" x14ac:dyDescent="0.2">
      <c r="A2" t="s">
        <v>1</v>
      </c>
      <c r="B2">
        <v>759109.37990000006</v>
      </c>
      <c r="C2">
        <v>91154</v>
      </c>
      <c r="D2">
        <v>110360</v>
      </c>
      <c r="E2">
        <v>122897.462</v>
      </c>
      <c r="F2">
        <v>6.8784829639362091</v>
      </c>
      <c r="G2">
        <v>6.1767701915601814</v>
      </c>
      <c r="H2">
        <v>0.21069837856813745</v>
      </c>
      <c r="I2">
        <v>0.1136051286698079</v>
      </c>
      <c r="J2">
        <v>72007</v>
      </c>
      <c r="K2">
        <v>0.65247372236317502</v>
      </c>
      <c r="L2">
        <v>14726</v>
      </c>
      <c r="M2">
        <v>0.13343602754621239</v>
      </c>
      <c r="N2">
        <v>17469</v>
      </c>
      <c r="O2">
        <v>0.15829104748097136</v>
      </c>
      <c r="P2">
        <v>4754</v>
      </c>
      <c r="Q2">
        <v>4.3077201884740846E-2</v>
      </c>
      <c r="R2">
        <v>45319</v>
      </c>
      <c r="S2">
        <v>0.41064697354113811</v>
      </c>
      <c r="T2">
        <v>31999</v>
      </c>
      <c r="U2">
        <v>11946</v>
      </c>
      <c r="V2">
        <v>27500.14</v>
      </c>
      <c r="W2">
        <v>0.24918575570859006</v>
      </c>
    </row>
    <row r="3" spans="1:23" x14ac:dyDescent="0.2">
      <c r="A3" t="s">
        <v>7</v>
      </c>
      <c r="B3">
        <v>178833.2904</v>
      </c>
      <c r="C3">
        <v>37047</v>
      </c>
      <c r="D3">
        <v>39836</v>
      </c>
      <c r="E3">
        <v>40369.717000000004</v>
      </c>
      <c r="F3">
        <v>4.4892381363590719</v>
      </c>
      <c r="G3">
        <v>4.429887145357001</v>
      </c>
      <c r="H3">
        <v>7.5282748940534994E-2</v>
      </c>
      <c r="I3">
        <v>1.3397856210463003E-2</v>
      </c>
      <c r="J3">
        <v>31737</v>
      </c>
      <c r="K3">
        <v>0.79669143488302041</v>
      </c>
      <c r="L3">
        <v>6091</v>
      </c>
      <c r="M3">
        <v>0.15290189778090169</v>
      </c>
      <c r="N3">
        <v>8431</v>
      </c>
      <c r="O3">
        <v>0.21164273521437896</v>
      </c>
      <c r="P3">
        <v>1289</v>
      </c>
      <c r="Q3">
        <v>3.2357666432372728E-2</v>
      </c>
      <c r="R3">
        <v>17054</v>
      </c>
      <c r="S3">
        <v>0.42810523144894064</v>
      </c>
      <c r="T3">
        <v>13896</v>
      </c>
      <c r="U3">
        <v>21620</v>
      </c>
      <c r="V3">
        <v>11273.48040882633</v>
      </c>
      <c r="W3">
        <v>0.2829972991471616</v>
      </c>
    </row>
    <row r="4" spans="1:23" x14ac:dyDescent="0.2">
      <c r="A4" t="s">
        <v>9</v>
      </c>
      <c r="B4">
        <v>117401.54</v>
      </c>
      <c r="C4">
        <v>5854.43</v>
      </c>
      <c r="D4">
        <v>8571.9779999999992</v>
      </c>
      <c r="E4">
        <v>10315.565000000001</v>
      </c>
      <c r="F4">
        <v>13.695968421757499</v>
      </c>
      <c r="G4">
        <v>11.381009183694736</v>
      </c>
      <c r="H4">
        <v>0.46418660740669865</v>
      </c>
      <c r="I4">
        <v>0.20340544504430613</v>
      </c>
      <c r="J4">
        <v>7465.3680576171873</v>
      </c>
      <c r="K4">
        <v>0.8709037817895926</v>
      </c>
      <c r="L4">
        <v>1224.059</v>
      </c>
      <c r="M4">
        <v>0.14279772999884041</v>
      </c>
      <c r="N4">
        <v>2197.5920000000001</v>
      </c>
      <c r="O4">
        <v>0.25636930006119946</v>
      </c>
      <c r="P4">
        <v>624.70600000000002</v>
      </c>
      <c r="Q4">
        <v>7.2877695206403942E-2</v>
      </c>
      <c r="R4">
        <v>3089.8100000000004</v>
      </c>
      <c r="S4">
        <v>0.36045472818525676</v>
      </c>
      <c r="T4">
        <v>3512.8310000000001</v>
      </c>
      <c r="U4">
        <v>2306.0720000000001</v>
      </c>
      <c r="V4">
        <v>2415.5068601730072</v>
      </c>
      <c r="W4">
        <v>0.28179107087920752</v>
      </c>
    </row>
    <row r="5" spans="1:23" x14ac:dyDescent="0.2">
      <c r="A5" t="s">
        <v>11</v>
      </c>
      <c r="B5">
        <v>103894.19990000001</v>
      </c>
      <c r="C5">
        <v>6667.2160000000003</v>
      </c>
      <c r="D5">
        <v>11817.844000000001</v>
      </c>
      <c r="E5">
        <v>14404.651</v>
      </c>
      <c r="F5">
        <v>8.7912989797462213</v>
      </c>
      <c r="G5">
        <v>7.2125454410523382</v>
      </c>
      <c r="H5">
        <v>0.77253054348321704</v>
      </c>
      <c r="I5">
        <v>0.2188899261151187</v>
      </c>
      <c r="J5">
        <v>8749.5439453125</v>
      </c>
      <c r="K5">
        <v>0.74036718925317502</v>
      </c>
      <c r="L5">
        <v>1553.0729999999999</v>
      </c>
      <c r="M5">
        <v>0.13141762575305613</v>
      </c>
      <c r="N5">
        <v>4829.2910000000002</v>
      </c>
      <c r="O5">
        <v>0.40864399631607928</v>
      </c>
      <c r="P5">
        <v>1088.3579999999999</v>
      </c>
      <c r="Q5">
        <v>9.2094463254041928E-2</v>
      </c>
      <c r="R5">
        <v>1308.0920000000001</v>
      </c>
      <c r="S5">
        <v>0.11068787166254691</v>
      </c>
      <c r="T5">
        <v>2552.5609999999997</v>
      </c>
      <c r="U5">
        <v>2543</v>
      </c>
      <c r="V5">
        <v>482.47887560000004</v>
      </c>
      <c r="W5">
        <v>4.0826302631850615E-2</v>
      </c>
    </row>
    <row r="6" spans="1:23" x14ac:dyDescent="0.2">
      <c r="A6" t="s">
        <v>15</v>
      </c>
      <c r="B6">
        <v>61613.105499999998</v>
      </c>
      <c r="C6">
        <v>11667.8</v>
      </c>
      <c r="D6">
        <v>13325.8</v>
      </c>
      <c r="E6">
        <v>14165.857</v>
      </c>
      <c r="F6">
        <v>4.6235952438127539</v>
      </c>
      <c r="G6">
        <v>4.3494089697502947</v>
      </c>
      <c r="H6">
        <v>0.14210048166749517</v>
      </c>
      <c r="I6">
        <v>6.303989253928477E-2</v>
      </c>
      <c r="J6">
        <v>5483.0999511718746</v>
      </c>
      <c r="K6">
        <v>0.41146497404822785</v>
      </c>
      <c r="M6"/>
      <c r="O6"/>
      <c r="Q6"/>
      <c r="R6">
        <v>3327.1</v>
      </c>
      <c r="S6">
        <v>0.24967356556454398</v>
      </c>
      <c r="T6">
        <v>2243.7000000000003</v>
      </c>
      <c r="U6">
        <v>2170</v>
      </c>
      <c r="V6">
        <v>1929.6169999999997</v>
      </c>
      <c r="W6">
        <v>0.144803088745141</v>
      </c>
    </row>
    <row r="7" spans="1:23" x14ac:dyDescent="0.2">
      <c r="A7" t="s">
        <v>17</v>
      </c>
      <c r="B7">
        <v>49272.508399999999</v>
      </c>
      <c r="C7">
        <v>7093</v>
      </c>
      <c r="D7">
        <v>8467</v>
      </c>
      <c r="E7">
        <v>9081.755000000001</v>
      </c>
      <c r="F7">
        <v>5.8193584976969408</v>
      </c>
      <c r="G7">
        <v>5.4254390698714063</v>
      </c>
      <c r="H7">
        <v>0.19371211053150994</v>
      </c>
      <c r="I7">
        <v>7.2605999763788898E-2</v>
      </c>
      <c r="J7">
        <v>7285</v>
      </c>
      <c r="K7">
        <v>0.8603991968820125</v>
      </c>
      <c r="L7">
        <v>1755</v>
      </c>
      <c r="M7">
        <v>0.20727530412188497</v>
      </c>
      <c r="N7">
        <v>2593</v>
      </c>
      <c r="O7">
        <v>0.30624778552025511</v>
      </c>
      <c r="P7">
        <v>654</v>
      </c>
      <c r="Q7">
        <v>7.7241053501830637E-2</v>
      </c>
      <c r="R7">
        <v>2515</v>
      </c>
      <c r="S7">
        <v>0.29703554978150465</v>
      </c>
      <c r="T7">
        <v>3221</v>
      </c>
      <c r="U7">
        <v>5971</v>
      </c>
      <c r="V7">
        <v>3395.5353242424239</v>
      </c>
      <c r="W7">
        <v>0.40103169059199528</v>
      </c>
    </row>
    <row r="8" spans="1:23" x14ac:dyDescent="0.2">
      <c r="A8" t="s">
        <v>19</v>
      </c>
      <c r="B8">
        <v>52287.719499999999</v>
      </c>
      <c r="C8">
        <v>4694</v>
      </c>
      <c r="D8">
        <v>5964</v>
      </c>
      <c r="E8">
        <v>6610.5380000000005</v>
      </c>
      <c r="F8">
        <v>8.7672232562038896</v>
      </c>
      <c r="G8">
        <v>7.9097525042591084</v>
      </c>
      <c r="H8">
        <v>0.27055815935236471</v>
      </c>
      <c r="I8">
        <v>0.10840677397719656</v>
      </c>
      <c r="J8">
        <v>4992</v>
      </c>
      <c r="K8">
        <v>0.83702213279678073</v>
      </c>
      <c r="L8">
        <v>1186</v>
      </c>
      <c r="M8">
        <v>0.19885982562038901</v>
      </c>
      <c r="N8">
        <v>1634</v>
      </c>
      <c r="O8">
        <v>0.27397719651240776</v>
      </c>
      <c r="P8">
        <v>664</v>
      </c>
      <c r="Q8">
        <v>0.11133467471495641</v>
      </c>
      <c r="R8">
        <v>1823</v>
      </c>
      <c r="S8">
        <v>0.3056673373574782</v>
      </c>
      <c r="T8">
        <v>1938</v>
      </c>
      <c r="U8">
        <v>1464</v>
      </c>
      <c r="V8">
        <v>1268.9562790151069</v>
      </c>
      <c r="W8">
        <v>0.21276932914404878</v>
      </c>
    </row>
    <row r="9" spans="1:23" x14ac:dyDescent="0.2">
      <c r="A9" t="s">
        <v>23</v>
      </c>
      <c r="B9">
        <v>30069.100900000001</v>
      </c>
      <c r="C9">
        <v>1390.5129999999999</v>
      </c>
      <c r="D9">
        <v>2264.8180000000002</v>
      </c>
      <c r="E9">
        <v>2957.73</v>
      </c>
      <c r="F9">
        <v>13.27660805415711</v>
      </c>
      <c r="G9">
        <v>10.166276468778422</v>
      </c>
      <c r="H9">
        <v>0.62876434812188042</v>
      </c>
      <c r="I9">
        <v>0.30594599654365151</v>
      </c>
      <c r="J9">
        <v>1706.5400173339845</v>
      </c>
      <c r="K9">
        <v>0.75349984737580866</v>
      </c>
      <c r="L9">
        <v>377.51799999999997</v>
      </c>
      <c r="M9">
        <v>0.16668800760149377</v>
      </c>
      <c r="N9">
        <v>946.61699999999996</v>
      </c>
      <c r="O9">
        <v>0.41796603523991765</v>
      </c>
      <c r="P9">
        <v>210.53299999999999</v>
      </c>
      <c r="Q9">
        <v>9.2958021350942971E-2</v>
      </c>
      <c r="R9">
        <v>59.362000000000002</v>
      </c>
      <c r="S9">
        <v>2.6210494618110591E-2</v>
      </c>
      <c r="T9">
        <v>535.26</v>
      </c>
      <c r="U9">
        <v>726.495</v>
      </c>
      <c r="V9">
        <v>-89.498374022804001</v>
      </c>
      <c r="W9">
        <v>-3.9516806217013457E-2</v>
      </c>
    </row>
    <row r="10" spans="1:23" x14ac:dyDescent="0.2">
      <c r="A10" t="s">
        <v>29</v>
      </c>
      <c r="B10">
        <v>37238.548000000003</v>
      </c>
      <c r="C10">
        <v>3578.991</v>
      </c>
      <c r="D10">
        <v>3957.0110000000004</v>
      </c>
      <c r="E10">
        <v>4123.2660000000005</v>
      </c>
      <c r="F10">
        <v>9.4107769728211519</v>
      </c>
      <c r="G10">
        <v>9.0313232277519813</v>
      </c>
      <c r="H10">
        <v>0.10562194763831495</v>
      </c>
      <c r="I10">
        <v>4.2015298921332267E-2</v>
      </c>
      <c r="J10">
        <v>2980.6710327148439</v>
      </c>
      <c r="K10">
        <v>0.75326326682307521</v>
      </c>
      <c r="M10"/>
      <c r="N10">
        <v>669.50599999999997</v>
      </c>
      <c r="O10">
        <v>0.16919487967053917</v>
      </c>
      <c r="P10">
        <v>295.101</v>
      </c>
      <c r="Q10">
        <v>7.4576744921861463E-2</v>
      </c>
      <c r="R10">
        <v>1336.268</v>
      </c>
      <c r="S10">
        <v>0.33769630663144479</v>
      </c>
      <c r="T10">
        <v>255.92199999999997</v>
      </c>
      <c r="U10">
        <v>126.503</v>
      </c>
      <c r="V10">
        <v>93.840450000000004</v>
      </c>
      <c r="W10">
        <v>2.3714983354860525E-2</v>
      </c>
    </row>
    <row r="11" spans="1:23" x14ac:dyDescent="0.2">
      <c r="A11" t="s">
        <v>31</v>
      </c>
      <c r="B11">
        <v>28484.287400000001</v>
      </c>
      <c r="C11">
        <v>2504.1</v>
      </c>
      <c r="D11">
        <v>2240.6999999999998</v>
      </c>
      <c r="E11">
        <v>2807.2000000000003</v>
      </c>
      <c r="F11">
        <v>12.712227161154997</v>
      </c>
      <c r="G11">
        <v>10.146867839840409</v>
      </c>
      <c r="H11">
        <v>-0.10518749251227991</v>
      </c>
      <c r="I11">
        <v>0.25282277859597468</v>
      </c>
      <c r="J11">
        <v>1953.5000061035157</v>
      </c>
      <c r="K11">
        <v>0.87182577145691786</v>
      </c>
      <c r="L11">
        <v>755.5</v>
      </c>
      <c r="M11">
        <v>0.33717141964564645</v>
      </c>
      <c r="N11">
        <v>1087.3</v>
      </c>
      <c r="O11">
        <v>0.48525014504395947</v>
      </c>
      <c r="P11">
        <v>305.2</v>
      </c>
      <c r="Q11">
        <v>0.13620743517650735</v>
      </c>
      <c r="R11">
        <v>-131.1</v>
      </c>
      <c r="S11">
        <v>-5.8508501807470879E-2</v>
      </c>
      <c r="T11">
        <v>84.1</v>
      </c>
      <c r="U11">
        <v>1078</v>
      </c>
      <c r="V11">
        <v>-301.367196788814</v>
      </c>
      <c r="W11">
        <v>-0.13449689685759542</v>
      </c>
    </row>
    <row r="12" spans="1:23" x14ac:dyDescent="0.2">
      <c r="A12" t="s">
        <v>33</v>
      </c>
      <c r="B12">
        <v>25456.8783</v>
      </c>
      <c r="C12">
        <v>1156.69</v>
      </c>
      <c r="D12">
        <v>2428.232</v>
      </c>
      <c r="E12">
        <v>3119.846</v>
      </c>
      <c r="F12">
        <v>10.483709258423414</v>
      </c>
      <c r="G12">
        <v>8.1596586177651069</v>
      </c>
      <c r="H12">
        <v>1.0992936741910104</v>
      </c>
      <c r="I12">
        <v>0.28482204336323713</v>
      </c>
      <c r="J12">
        <v>1715.5240270996094</v>
      </c>
      <c r="K12">
        <v>0.70649098895806062</v>
      </c>
      <c r="L12">
        <v>910.58399999999995</v>
      </c>
      <c r="M12">
        <v>0.37499876453320768</v>
      </c>
      <c r="N12">
        <v>683.36699999999996</v>
      </c>
      <c r="O12">
        <v>0.28142574515120466</v>
      </c>
      <c r="P12">
        <v>222.90899999999999</v>
      </c>
      <c r="Q12">
        <v>9.1798889068260364E-2</v>
      </c>
      <c r="R12">
        <v>-107.83699999999999</v>
      </c>
      <c r="S12">
        <v>-4.4409677493748537E-2</v>
      </c>
      <c r="T12">
        <v>288.99900000000002</v>
      </c>
      <c r="U12">
        <v>1134.355</v>
      </c>
      <c r="V12">
        <v>-334.86065359999998</v>
      </c>
      <c r="W12">
        <v>-0.137903072523548</v>
      </c>
    </row>
    <row r="13" spans="1:23" x14ac:dyDescent="0.2">
      <c r="A13" t="s">
        <v>35</v>
      </c>
      <c r="B13">
        <v>23118.2019</v>
      </c>
      <c r="C13">
        <v>2951.9</v>
      </c>
      <c r="D13">
        <v>3426.9</v>
      </c>
      <c r="E13">
        <v>3662.9560000000001</v>
      </c>
      <c r="F13">
        <v>6.7460976100849166</v>
      </c>
      <c r="G13">
        <v>6.3113512420023605</v>
      </c>
      <c r="H13">
        <v>0.16091331007147938</v>
      </c>
      <c r="I13">
        <v>6.8883247249700963E-2</v>
      </c>
      <c r="J13">
        <v>2375.6999633789064</v>
      </c>
      <c r="K13">
        <v>0.69325044891269261</v>
      </c>
      <c r="M13"/>
      <c r="O13"/>
      <c r="Q13"/>
      <c r="R13">
        <v>1437.8257196663981</v>
      </c>
      <c r="S13">
        <v>0.41957037546073656</v>
      </c>
      <c r="T13">
        <v>1005.9</v>
      </c>
      <c r="U13">
        <v>358.2</v>
      </c>
      <c r="V13">
        <v>914.04665999999997</v>
      </c>
      <c r="W13">
        <v>0.26672697189880062</v>
      </c>
    </row>
    <row r="14" spans="1:23" x14ac:dyDescent="0.2">
      <c r="A14" t="s">
        <v>37</v>
      </c>
      <c r="B14">
        <v>19172.8344</v>
      </c>
      <c r="C14">
        <v>2052.23</v>
      </c>
      <c r="D14">
        <v>3156.587</v>
      </c>
      <c r="E14">
        <v>3599.1820000000002</v>
      </c>
      <c r="F14">
        <v>6.0739128685507477</v>
      </c>
      <c r="G14">
        <v>5.3269977455988604</v>
      </c>
      <c r="H14">
        <v>0.5381253563197107</v>
      </c>
      <c r="I14">
        <v>0.14021314793477901</v>
      </c>
      <c r="J14">
        <v>2690.5739580078125</v>
      </c>
      <c r="K14">
        <v>0.85236806652495634</v>
      </c>
      <c r="L14">
        <v>578.32999999999993</v>
      </c>
      <c r="M14">
        <v>0.18321370518221103</v>
      </c>
      <c r="N14">
        <v>1198.576</v>
      </c>
      <c r="O14">
        <v>0.37970630937781852</v>
      </c>
      <c r="P14">
        <v>239.316</v>
      </c>
      <c r="Q14">
        <v>7.5814796170674215E-2</v>
      </c>
      <c r="R14">
        <v>602.68600000000004</v>
      </c>
      <c r="S14">
        <v>0.19092963381018804</v>
      </c>
      <c r="T14">
        <v>941.41899999999998</v>
      </c>
      <c r="U14">
        <v>1724.1319999999998</v>
      </c>
      <c r="V14">
        <v>417.021865536652</v>
      </c>
      <c r="W14">
        <v>0.13211163371598883</v>
      </c>
    </row>
    <row r="15" spans="1:23" x14ac:dyDescent="0.2">
      <c r="A15" t="s">
        <v>39</v>
      </c>
      <c r="B15">
        <v>38637.037900000003</v>
      </c>
      <c r="C15">
        <v>11584</v>
      </c>
      <c r="D15">
        <v>10956</v>
      </c>
      <c r="E15">
        <v>8994.0679999999993</v>
      </c>
      <c r="F15">
        <v>3.5265642479006938</v>
      </c>
      <c r="G15">
        <v>4.2958356441156553</v>
      </c>
      <c r="H15">
        <v>-5.4212707182320442E-2</v>
      </c>
      <c r="I15">
        <v>-0.17907374954362909</v>
      </c>
      <c r="J15">
        <v>5450</v>
      </c>
      <c r="K15">
        <v>0.49744432274552758</v>
      </c>
      <c r="M15"/>
      <c r="O15"/>
      <c r="Q15"/>
      <c r="R15">
        <v>3054</v>
      </c>
      <c r="S15">
        <v>0.2787513691128149</v>
      </c>
      <c r="T15">
        <v>1975</v>
      </c>
      <c r="U15">
        <v>498</v>
      </c>
      <c r="V15">
        <v>958.78000000000009</v>
      </c>
      <c r="W15">
        <v>8.7511865644395767E-2</v>
      </c>
    </row>
    <row r="16" spans="1:23" x14ac:dyDescent="0.2">
      <c r="A16" t="s">
        <v>43</v>
      </c>
      <c r="B16">
        <v>17761.393199999999</v>
      </c>
      <c r="C16">
        <v>4025</v>
      </c>
      <c r="D16">
        <v>4148</v>
      </c>
      <c r="E16">
        <v>4285.5</v>
      </c>
      <c r="F16">
        <v>4.2819173577627767</v>
      </c>
      <c r="G16">
        <v>4.1445323066153303</v>
      </c>
      <c r="H16">
        <v>3.0559006211180125E-2</v>
      </c>
      <c r="I16">
        <v>3.3148505303760789E-2</v>
      </c>
      <c r="J16">
        <v>3546</v>
      </c>
      <c r="K16">
        <v>0.85486981677917073</v>
      </c>
      <c r="L16">
        <v>642</v>
      </c>
      <c r="M16">
        <v>0.15477338476374156</v>
      </c>
      <c r="N16">
        <v>1061</v>
      </c>
      <c r="O16">
        <v>0.25578592092574737</v>
      </c>
      <c r="P16">
        <v>406</v>
      </c>
      <c r="Q16">
        <v>9.7878495660559311E-2</v>
      </c>
      <c r="R16">
        <v>1440</v>
      </c>
      <c r="S16">
        <v>0.34715525554484089</v>
      </c>
      <c r="T16">
        <v>1064</v>
      </c>
      <c r="U16">
        <v>3405</v>
      </c>
      <c r="V16">
        <v>788.04512350394702</v>
      </c>
      <c r="W16">
        <v>0.18998194877144337</v>
      </c>
    </row>
    <row r="17" spans="1:23" x14ac:dyDescent="0.2">
      <c r="A17" t="s">
        <v>45</v>
      </c>
      <c r="B17">
        <v>21757.589</v>
      </c>
      <c r="C17">
        <v>2898.15</v>
      </c>
      <c r="D17">
        <v>3721.3010000000004</v>
      </c>
      <c r="E17">
        <v>4117.8980000000001</v>
      </c>
      <c r="F17">
        <v>5.8467694497166445</v>
      </c>
      <c r="G17">
        <v>5.2836638984258473</v>
      </c>
      <c r="H17">
        <v>0.28402636164449746</v>
      </c>
      <c r="I17">
        <v>0.10657482423485765</v>
      </c>
      <c r="J17">
        <v>2202.0189868164061</v>
      </c>
      <c r="K17">
        <v>0.59173364014800356</v>
      </c>
      <c r="M17"/>
      <c r="O17"/>
      <c r="Q17"/>
      <c r="R17">
        <v>1229.5550000000001</v>
      </c>
      <c r="S17">
        <v>0.33040998296026036</v>
      </c>
      <c r="T17">
        <v>611.91800000000001</v>
      </c>
      <c r="U17">
        <v>1335.855</v>
      </c>
      <c r="V17">
        <v>446.25907235741499</v>
      </c>
      <c r="W17">
        <v>0.11992017639997811</v>
      </c>
    </row>
    <row r="18" spans="1:23" x14ac:dyDescent="0.2">
      <c r="A18" t="s">
        <v>49</v>
      </c>
      <c r="B18">
        <v>12991.4501</v>
      </c>
      <c r="C18">
        <v>1741.3009999999999</v>
      </c>
      <c r="D18">
        <v>1896.9269999999999</v>
      </c>
      <c r="E18">
        <v>1960.394</v>
      </c>
      <c r="F18">
        <v>6.8486821580377111</v>
      </c>
      <c r="G18">
        <v>6.62695871340149</v>
      </c>
      <c r="H18">
        <v>8.9373405287196173E-2</v>
      </c>
      <c r="I18">
        <v>3.3457797796119682E-2</v>
      </c>
      <c r="J18">
        <v>1698.6110100097656</v>
      </c>
      <c r="K18">
        <v>0.89545407388358411</v>
      </c>
      <c r="L18">
        <v>192.386</v>
      </c>
      <c r="M18">
        <v>0.1014198226921753</v>
      </c>
      <c r="N18">
        <v>433.42700000000002</v>
      </c>
      <c r="O18">
        <v>0.22848902461718351</v>
      </c>
      <c r="P18">
        <v>91.965000000000003</v>
      </c>
      <c r="Q18">
        <v>4.8481043287380066E-2</v>
      </c>
      <c r="R18">
        <v>949.65100000000007</v>
      </c>
      <c r="S18">
        <v>0.50062601249283711</v>
      </c>
      <c r="T18">
        <v>1109.6179999999999</v>
      </c>
      <c r="U18">
        <v>245.01399999999998</v>
      </c>
      <c r="V18">
        <v>822.62414000000001</v>
      </c>
      <c r="W18">
        <v>0.43366146404157885</v>
      </c>
    </row>
    <row r="19" spans="1:23" x14ac:dyDescent="0.2">
      <c r="A19" t="s">
        <v>51</v>
      </c>
      <c r="B19">
        <v>15390.5118</v>
      </c>
      <c r="C19">
        <v>457.05799999999999</v>
      </c>
      <c r="D19">
        <v>947.42399999999998</v>
      </c>
      <c r="E19">
        <v>1254.6490000000001</v>
      </c>
      <c r="F19">
        <v>16.244587217549903</v>
      </c>
      <c r="G19">
        <v>12.266786806509231</v>
      </c>
      <c r="H19">
        <v>1.0728747773805511</v>
      </c>
      <c r="I19">
        <v>0.32427403147904221</v>
      </c>
      <c r="J19">
        <v>769.6390129394531</v>
      </c>
      <c r="K19">
        <v>0.81234907806795387</v>
      </c>
      <c r="L19">
        <v>415.77599999999995</v>
      </c>
      <c r="M19">
        <v>0.43884892086330929</v>
      </c>
      <c r="N19">
        <v>187.99</v>
      </c>
      <c r="O19">
        <v>0.19842224811699938</v>
      </c>
      <c r="P19">
        <v>151.24199999999999</v>
      </c>
      <c r="Q19">
        <v>0.15963496808187252</v>
      </c>
      <c r="R19">
        <v>43.517999999999994</v>
      </c>
      <c r="S19">
        <v>4.5932971932313299E-2</v>
      </c>
      <c r="T19">
        <v>292.77500000000003</v>
      </c>
      <c r="U19">
        <v>1410.3389999999999</v>
      </c>
      <c r="V19">
        <v>-301.38798999999995</v>
      </c>
      <c r="W19">
        <v>-0.31811310458675307</v>
      </c>
    </row>
    <row r="20" spans="1:23" x14ac:dyDescent="0.2">
      <c r="A20" t="s">
        <v>53</v>
      </c>
      <c r="B20">
        <v>20360.7772</v>
      </c>
      <c r="C20">
        <v>4170.0770000000002</v>
      </c>
      <c r="D20">
        <v>4283.41</v>
      </c>
      <c r="E20">
        <v>4236.25</v>
      </c>
      <c r="F20">
        <v>4.7534037600883412</v>
      </c>
      <c r="G20">
        <v>4.8063209678371202</v>
      </c>
      <c r="H20">
        <v>2.7177675616061676E-2</v>
      </c>
      <c r="I20">
        <v>-1.1009919666807533E-2</v>
      </c>
      <c r="J20">
        <v>1488.7579999999998</v>
      </c>
      <c r="K20">
        <v>0.34756374010426272</v>
      </c>
      <c r="M20"/>
      <c r="O20"/>
      <c r="Q20"/>
      <c r="R20">
        <v>1222.1279999999999</v>
      </c>
      <c r="S20">
        <v>0.28531660522807761</v>
      </c>
      <c r="T20">
        <v>851.66700000000003</v>
      </c>
      <c r="U20">
        <v>450.35699999999997</v>
      </c>
      <c r="V20">
        <v>562.78363790922901</v>
      </c>
      <c r="W20">
        <v>0.13138682449479014</v>
      </c>
    </row>
    <row r="21" spans="1:23" x14ac:dyDescent="0.2">
      <c r="A21" t="s">
        <v>55</v>
      </c>
      <c r="B21">
        <v>14085.412700000001</v>
      </c>
      <c r="C21">
        <v>2125.0859999999998</v>
      </c>
      <c r="D21">
        <v>2794.5149999999999</v>
      </c>
      <c r="E21">
        <v>3253.5360000000001</v>
      </c>
      <c r="F21">
        <v>5.0403782767313832</v>
      </c>
      <c r="G21">
        <v>4.3292629004258751</v>
      </c>
      <c r="H21">
        <v>0.31501266301693209</v>
      </c>
      <c r="I21">
        <v>0.16425784080600758</v>
      </c>
      <c r="J21">
        <v>2459.358009765625</v>
      </c>
      <c r="K21">
        <v>0.88006613303762016</v>
      </c>
      <c r="L21">
        <v>341.4</v>
      </c>
      <c r="M21">
        <v>0.12216788959801611</v>
      </c>
      <c r="N21">
        <v>180.9</v>
      </c>
      <c r="O21">
        <v>6.4733952045345974E-2</v>
      </c>
      <c r="P21">
        <v>193.1</v>
      </c>
      <c r="Q21">
        <v>6.9099646987044266E-2</v>
      </c>
      <c r="R21">
        <v>707.22400000000005</v>
      </c>
      <c r="S21">
        <v>0.25307575733177318</v>
      </c>
      <c r="T21">
        <v>569.976</v>
      </c>
      <c r="U21">
        <v>488.964</v>
      </c>
      <c r="V21">
        <v>288.48589500000003</v>
      </c>
      <c r="W21">
        <v>0.10323290266826267</v>
      </c>
    </row>
    <row r="22" spans="1:23" x14ac:dyDescent="0.2">
      <c r="A22" t="s">
        <v>57</v>
      </c>
      <c r="B22">
        <v>12778.339900000001</v>
      </c>
      <c r="C22">
        <v>668.43499999999995</v>
      </c>
      <c r="D22">
        <v>1448.318</v>
      </c>
      <c r="E22">
        <v>1866.8810000000001</v>
      </c>
      <c r="F22">
        <v>8.8228827508875813</v>
      </c>
      <c r="G22">
        <v>6.8447533077898379</v>
      </c>
      <c r="H22">
        <v>1.1667297493398761</v>
      </c>
      <c r="I22">
        <v>0.28899937720859659</v>
      </c>
      <c r="J22">
        <v>1148.2299877929688</v>
      </c>
      <c r="K22">
        <v>0.79280240098719257</v>
      </c>
      <c r="L22">
        <v>301.11399999999998</v>
      </c>
      <c r="M22">
        <v>0.20790599854451852</v>
      </c>
      <c r="N22">
        <v>808.41700000000003</v>
      </c>
      <c r="O22">
        <v>0.55817645019947282</v>
      </c>
      <c r="P22">
        <v>159.143</v>
      </c>
      <c r="Q22">
        <v>0.10988125535966549</v>
      </c>
      <c r="R22">
        <v>-257.30799999999999</v>
      </c>
      <c r="S22">
        <v>-0.17765987856258086</v>
      </c>
      <c r="T22">
        <v>293.40800000000002</v>
      </c>
      <c r="U22">
        <v>545.947</v>
      </c>
      <c r="V22">
        <v>-319.97310999999996</v>
      </c>
      <c r="W22">
        <v>-0.22092738611271831</v>
      </c>
    </row>
    <row r="23" spans="1:23" x14ac:dyDescent="0.2">
      <c r="A23" t="s">
        <v>59</v>
      </c>
      <c r="B23">
        <v>12362.801600000001</v>
      </c>
      <c r="C23">
        <v>1275.443</v>
      </c>
      <c r="D23">
        <v>1631.1849999999999</v>
      </c>
      <c r="E23">
        <v>1909.7080000000001</v>
      </c>
      <c r="F23">
        <v>7.5790309498922568</v>
      </c>
      <c r="G23">
        <v>6.4736606852984853</v>
      </c>
      <c r="H23">
        <v>0.27891642354852392</v>
      </c>
      <c r="I23">
        <v>0.17074887275201789</v>
      </c>
      <c r="J23">
        <v>1221.8169738769532</v>
      </c>
      <c r="K23">
        <v>0.74903642068615961</v>
      </c>
      <c r="L23">
        <v>210.614</v>
      </c>
      <c r="M23">
        <v>0.12911717555029012</v>
      </c>
      <c r="N23">
        <v>701.02599999999995</v>
      </c>
      <c r="O23">
        <v>0.42976486419382226</v>
      </c>
      <c r="P23">
        <v>87.861999999999995</v>
      </c>
      <c r="Q23">
        <v>5.386390875345224E-2</v>
      </c>
      <c r="R23">
        <v>213.77799999999999</v>
      </c>
      <c r="S23">
        <v>0.1310568696990225</v>
      </c>
      <c r="T23">
        <v>561.17100000000005</v>
      </c>
      <c r="U23">
        <v>811.00400000000002</v>
      </c>
      <c r="V23">
        <v>136.69200000000001</v>
      </c>
      <c r="W23">
        <v>8.3799201194223835E-2</v>
      </c>
    </row>
    <row r="24" spans="1:23" x14ac:dyDescent="0.2">
      <c r="A24" t="s">
        <v>61</v>
      </c>
      <c r="B24">
        <v>14433.059600000001</v>
      </c>
      <c r="C24">
        <v>2736.08</v>
      </c>
      <c r="D24">
        <v>2908.3389999999999</v>
      </c>
      <c r="E24">
        <v>2991.1260000000002</v>
      </c>
      <c r="F24">
        <v>4.9626469266478219</v>
      </c>
      <c r="G24">
        <v>4.8252930836079786</v>
      </c>
      <c r="H24">
        <v>6.2958319932165732E-2</v>
      </c>
      <c r="I24">
        <v>2.8465388663426294E-2</v>
      </c>
      <c r="J24">
        <v>2463.42801171875</v>
      </c>
      <c r="K24">
        <v>0.84702230782544607</v>
      </c>
      <c r="L24">
        <v>415.80099999999999</v>
      </c>
      <c r="M24">
        <v>0.14296854665154235</v>
      </c>
      <c r="N24">
        <v>1006.112</v>
      </c>
      <c r="O24">
        <v>0.34594041478658438</v>
      </c>
      <c r="P24">
        <v>302.565</v>
      </c>
      <c r="Q24">
        <v>0.104033608186666</v>
      </c>
      <c r="R24">
        <v>891.87300000000005</v>
      </c>
      <c r="S24">
        <v>0.30666060593348987</v>
      </c>
      <c r="T24">
        <v>1009.174</v>
      </c>
      <c r="U24">
        <v>1115.1299999999999</v>
      </c>
      <c r="V24">
        <v>590.64465502973098</v>
      </c>
      <c r="W24">
        <v>0.2030865917039695</v>
      </c>
    </row>
    <row r="25" spans="1:23" x14ac:dyDescent="0.2">
      <c r="A25" t="s">
        <v>63</v>
      </c>
      <c r="B25">
        <v>13254.6572</v>
      </c>
      <c r="C25">
        <v>2422.5320000000002</v>
      </c>
      <c r="D25">
        <v>3022.62</v>
      </c>
      <c r="E25">
        <v>3239.1</v>
      </c>
      <c r="F25">
        <v>4.3851549979818829</v>
      </c>
      <c r="G25">
        <v>4.0920802692105829</v>
      </c>
      <c r="H25">
        <v>0.24771107254723557</v>
      </c>
      <c r="I25">
        <v>7.1619985310756862E-2</v>
      </c>
      <c r="J25">
        <v>2310.4400556640626</v>
      </c>
      <c r="K25">
        <v>0.76438323562474364</v>
      </c>
      <c r="L25">
        <v>908.84100000000001</v>
      </c>
      <c r="M25">
        <v>0.30067987375191063</v>
      </c>
      <c r="N25">
        <v>549.24800000000005</v>
      </c>
      <c r="O25">
        <v>0.18171255400943553</v>
      </c>
      <c r="P25">
        <v>196.84399999999999</v>
      </c>
      <c r="Q25">
        <v>6.5123634462817021E-2</v>
      </c>
      <c r="R25">
        <v>650.30199999999991</v>
      </c>
      <c r="S25">
        <v>0.21514513898538351</v>
      </c>
      <c r="T25">
        <v>387.55500000000006</v>
      </c>
      <c r="U25">
        <v>1048.356</v>
      </c>
      <c r="V25">
        <v>367.32709702556298</v>
      </c>
      <c r="W25">
        <v>0.12152605918890333</v>
      </c>
    </row>
    <row r="26" spans="1:23" x14ac:dyDescent="0.2">
      <c r="A26" t="s">
        <v>65</v>
      </c>
      <c r="B26">
        <v>14343.2274</v>
      </c>
      <c r="C26">
        <v>2897</v>
      </c>
      <c r="D26">
        <v>4329.9000000000005</v>
      </c>
      <c r="E26">
        <v>4491.5709999999999</v>
      </c>
      <c r="F26">
        <v>3.3126001524284621</v>
      </c>
      <c r="G26">
        <v>3.1933653948696348</v>
      </c>
      <c r="H26">
        <v>0.49461511908871264</v>
      </c>
      <c r="I26">
        <v>3.7338275710755209E-2</v>
      </c>
      <c r="J26">
        <v>1160.2999847412111</v>
      </c>
      <c r="K26">
        <v>0.26797385268509921</v>
      </c>
      <c r="M26"/>
      <c r="O26"/>
      <c r="Q26"/>
      <c r="R26">
        <v>810.10000000000014</v>
      </c>
      <c r="S26">
        <v>0.1870943901706737</v>
      </c>
      <c r="T26">
        <v>595.70000000000005</v>
      </c>
      <c r="U26">
        <v>263.89999999999998</v>
      </c>
      <c r="V26">
        <v>445.40826848170406</v>
      </c>
      <c r="W26">
        <v>0.102868026624565</v>
      </c>
    </row>
    <row r="27" spans="1:23" x14ac:dyDescent="0.2">
      <c r="A27" t="s">
        <v>67</v>
      </c>
      <c r="B27">
        <v>12773.614</v>
      </c>
      <c r="C27">
        <v>1816.0830000000001</v>
      </c>
      <c r="D27">
        <v>2069.8940000000002</v>
      </c>
      <c r="E27">
        <v>2201.5</v>
      </c>
      <c r="F27">
        <v>6.1711440295976496</v>
      </c>
      <c r="G27">
        <v>5.8022321144674081</v>
      </c>
      <c r="H27">
        <v>0.13975737893036835</v>
      </c>
      <c r="I27">
        <v>6.3581033618146598E-2</v>
      </c>
      <c r="J27">
        <v>1826.9869919433593</v>
      </c>
      <c r="K27">
        <v>0.88264760994686642</v>
      </c>
      <c r="L27">
        <v>804.22299999999996</v>
      </c>
      <c r="M27">
        <v>0.38853342248443634</v>
      </c>
      <c r="N27">
        <v>419.161</v>
      </c>
      <c r="O27">
        <v>0.20250360646487209</v>
      </c>
      <c r="P27">
        <v>134.18100000000001</v>
      </c>
      <c r="Q27">
        <v>6.4825058674502167E-2</v>
      </c>
      <c r="R27">
        <v>518.21699999999998</v>
      </c>
      <c r="S27">
        <v>0.25035919713763116</v>
      </c>
      <c r="T27">
        <v>539.73699999999997</v>
      </c>
      <c r="U27">
        <v>688.08699999999999</v>
      </c>
      <c r="V27">
        <v>347.59648759077601</v>
      </c>
      <c r="W27">
        <v>0.16792960779188498</v>
      </c>
    </row>
    <row r="28" spans="1:23" x14ac:dyDescent="0.2">
      <c r="A28" t="s">
        <v>69</v>
      </c>
      <c r="B28">
        <v>11715.847599999999</v>
      </c>
      <c r="C28">
        <v>988.46500000000003</v>
      </c>
      <c r="D28">
        <v>1172.3630000000001</v>
      </c>
      <c r="E28">
        <v>1282.5710000000001</v>
      </c>
      <c r="F28">
        <v>9.9933617829972441</v>
      </c>
      <c r="G28">
        <v>9.1346581202911938</v>
      </c>
      <c r="H28">
        <v>0.18604401774468496</v>
      </c>
      <c r="I28">
        <v>9.4005013805451121E-2</v>
      </c>
      <c r="J28">
        <v>1016.0799910888672</v>
      </c>
      <c r="K28">
        <v>0.86669401123104972</v>
      </c>
      <c r="L28">
        <v>202.74599999999998</v>
      </c>
      <c r="M28">
        <v>0.17293790404507817</v>
      </c>
      <c r="O28"/>
      <c r="Q28"/>
      <c r="R28">
        <v>497.34900000000005</v>
      </c>
      <c r="S28">
        <v>0.42422782022291733</v>
      </c>
      <c r="T28">
        <v>417.50700000000001</v>
      </c>
      <c r="U28">
        <v>881.50099999999998</v>
      </c>
      <c r="V28">
        <v>334.11229267563596</v>
      </c>
      <c r="W28">
        <v>0.28499047878143197</v>
      </c>
    </row>
    <row r="29" spans="1:23" x14ac:dyDescent="0.2">
      <c r="A29" t="s">
        <v>71</v>
      </c>
      <c r="B29">
        <v>18277.499500000002</v>
      </c>
      <c r="C29">
        <v>1481.4359999999999</v>
      </c>
      <c r="D29">
        <v>2174.3449999999998</v>
      </c>
      <c r="E29">
        <v>4355.393</v>
      </c>
      <c r="F29">
        <v>8.405979501872979</v>
      </c>
      <c r="G29">
        <v>4.1965213012924441</v>
      </c>
      <c r="H29">
        <v>0.46772793424758136</v>
      </c>
      <c r="I29">
        <v>1.003082767454107</v>
      </c>
      <c r="J29">
        <v>895.99100952148433</v>
      </c>
      <c r="K29">
        <v>0.4120739852790079</v>
      </c>
      <c r="L29">
        <v>153.334</v>
      </c>
      <c r="M29">
        <v>7.0519627749966091E-2</v>
      </c>
      <c r="N29">
        <v>118.449</v>
      </c>
      <c r="O29">
        <v>5.4475715675295321E-2</v>
      </c>
      <c r="P29">
        <v>120.17400000000001</v>
      </c>
      <c r="Q29">
        <v>5.5269058038167826E-2</v>
      </c>
      <c r="R29">
        <v>748.41300000000001</v>
      </c>
      <c r="S29">
        <v>0.34420158714463439</v>
      </c>
      <c r="T29">
        <v>419.84499999999997</v>
      </c>
      <c r="U29">
        <v>64.057000000000002</v>
      </c>
      <c r="V29">
        <v>260.79930813918901</v>
      </c>
      <c r="W29">
        <v>0.11994384890125027</v>
      </c>
    </row>
    <row r="30" spans="1:23" x14ac:dyDescent="0.2">
      <c r="A30" t="s">
        <v>73</v>
      </c>
      <c r="B30">
        <v>14628.111500000001</v>
      </c>
      <c r="C30">
        <v>3600</v>
      </c>
      <c r="D30">
        <v>4827</v>
      </c>
      <c r="E30">
        <v>4770.0380000000005</v>
      </c>
      <c r="F30">
        <v>3.0304767971825153</v>
      </c>
      <c r="G30">
        <v>3.066665611468923</v>
      </c>
      <c r="H30">
        <v>0.34083333333333332</v>
      </c>
      <c r="I30">
        <v>-1.180070437124503E-2</v>
      </c>
      <c r="J30">
        <v>3803</v>
      </c>
      <c r="K30">
        <v>0.78785995442303713</v>
      </c>
      <c r="L30">
        <v>957</v>
      </c>
      <c r="M30">
        <v>0.19825978868862648</v>
      </c>
      <c r="N30">
        <v>1593</v>
      </c>
      <c r="O30">
        <v>0.33001864512119328</v>
      </c>
      <c r="P30">
        <v>578</v>
      </c>
      <c r="Q30">
        <v>0.11974311166355915</v>
      </c>
      <c r="R30">
        <v>1276</v>
      </c>
      <c r="S30">
        <v>0.26434638491816864</v>
      </c>
      <c r="T30">
        <v>966</v>
      </c>
      <c r="U30">
        <v>1774</v>
      </c>
      <c r="V30">
        <v>412.36329172576399</v>
      </c>
      <c r="W30">
        <v>8.5428483887666037E-2</v>
      </c>
    </row>
    <row r="31" spans="1:23" x14ac:dyDescent="0.2">
      <c r="A31" t="s">
        <v>75</v>
      </c>
      <c r="B31">
        <v>11659.7503</v>
      </c>
      <c r="C31">
        <v>1354.646</v>
      </c>
      <c r="D31">
        <v>1536.6029999999998</v>
      </c>
      <c r="E31">
        <v>1642.25</v>
      </c>
      <c r="F31">
        <v>7.5880043836957238</v>
      </c>
      <c r="G31">
        <v>7.0998631755213886</v>
      </c>
      <c r="H31">
        <v>0.13432070075872213</v>
      </c>
      <c r="I31">
        <v>6.8753607795897898E-2</v>
      </c>
      <c r="J31">
        <v>662.96098620605471</v>
      </c>
      <c r="K31">
        <v>0.43144584919205209</v>
      </c>
      <c r="L31">
        <v>90.339999999999989</v>
      </c>
      <c r="M31">
        <v>5.8792023704235905E-2</v>
      </c>
      <c r="O31"/>
      <c r="Q31"/>
      <c r="R31">
        <v>542.40800000000002</v>
      </c>
      <c r="S31">
        <v>0.35299163154048252</v>
      </c>
      <c r="T31">
        <v>359.726</v>
      </c>
      <c r="U31">
        <v>31.439999999999998</v>
      </c>
      <c r="V31">
        <v>282.15797000000003</v>
      </c>
      <c r="W31">
        <v>0.18362450808699454</v>
      </c>
    </row>
    <row r="32" spans="1:23" x14ac:dyDescent="0.2">
      <c r="A32" t="s">
        <v>77</v>
      </c>
      <c r="B32">
        <v>13353.356</v>
      </c>
      <c r="C32">
        <v>7138.1</v>
      </c>
      <c r="D32">
        <v>7841.5</v>
      </c>
      <c r="E32">
        <v>8247.7070000000003</v>
      </c>
      <c r="F32">
        <v>1.7029083721226805</v>
      </c>
      <c r="G32">
        <v>1.6190386006680402</v>
      </c>
      <c r="H32">
        <v>9.8541628724730615E-2</v>
      </c>
      <c r="I32">
        <v>5.1802206210546542E-2</v>
      </c>
      <c r="J32">
        <v>3531.9999511718752</v>
      </c>
      <c r="K32">
        <v>0.45042401978854496</v>
      </c>
      <c r="M32"/>
      <c r="O32"/>
      <c r="P32">
        <v>166.3</v>
      </c>
      <c r="Q32">
        <v>2.120767710259517E-2</v>
      </c>
      <c r="R32">
        <v>2272.1</v>
      </c>
      <c r="S32">
        <v>0.2897532359880125</v>
      </c>
      <c r="T32">
        <v>2657.3</v>
      </c>
      <c r="U32">
        <v>4190</v>
      </c>
      <c r="V32">
        <v>884.5</v>
      </c>
      <c r="W32">
        <v>0.11279729643563094</v>
      </c>
    </row>
    <row r="33" spans="1:23" x14ac:dyDescent="0.2">
      <c r="A33" t="s">
        <v>79</v>
      </c>
      <c r="B33">
        <v>10635.886500000001</v>
      </c>
      <c r="C33">
        <v>1140.5329999999999</v>
      </c>
      <c r="D33">
        <v>1235.683</v>
      </c>
      <c r="E33">
        <v>1329.231</v>
      </c>
      <c r="F33">
        <v>8.6072936991121516</v>
      </c>
      <c r="G33">
        <v>8.0015335934837513</v>
      </c>
      <c r="H33">
        <v>8.3425907010143588E-2</v>
      </c>
      <c r="I33">
        <v>7.5705500520764524E-2</v>
      </c>
      <c r="J33">
        <v>904.73300866699219</v>
      </c>
      <c r="K33">
        <v>0.73217241692812174</v>
      </c>
      <c r="L33">
        <v>236.059</v>
      </c>
      <c r="M33">
        <v>0.19103524123905566</v>
      </c>
      <c r="N33">
        <v>372.94600000000003</v>
      </c>
      <c r="O33">
        <v>0.30181365285433243</v>
      </c>
      <c r="P33">
        <v>145.06700000000001</v>
      </c>
      <c r="Q33">
        <v>0.11739823239455427</v>
      </c>
      <c r="R33">
        <v>170.774</v>
      </c>
      <c r="S33">
        <v>0.1382021117066432</v>
      </c>
      <c r="T33">
        <v>211.76999999999998</v>
      </c>
      <c r="U33">
        <v>259.94600000000003</v>
      </c>
      <c r="V33">
        <v>48.873303467433999</v>
      </c>
      <c r="W33">
        <v>3.955165157037363E-2</v>
      </c>
    </row>
    <row r="34" spans="1:23" x14ac:dyDescent="0.2">
      <c r="A34" t="s">
        <v>81</v>
      </c>
      <c r="B34">
        <v>10049.311299999999</v>
      </c>
      <c r="C34">
        <v>1138.385</v>
      </c>
      <c r="D34">
        <v>790.56539690225225</v>
      </c>
      <c r="E34">
        <v>1373.425</v>
      </c>
      <c r="F34">
        <v>12.711549657216436</v>
      </c>
      <c r="G34">
        <v>7.3169712943917578</v>
      </c>
      <c r="H34">
        <v>-0.30553776015824852</v>
      </c>
      <c r="I34">
        <v>0.73726930799352219</v>
      </c>
      <c r="J34">
        <v>375.64298104046151</v>
      </c>
      <c r="K34">
        <v>0.47515737788724272</v>
      </c>
      <c r="L34">
        <v>0</v>
      </c>
      <c r="M34">
        <v>0</v>
      </c>
      <c r="N34">
        <v>76.995211344008382</v>
      </c>
      <c r="O34">
        <v>9.7392589715798408E-2</v>
      </c>
      <c r="P34">
        <v>47.989678864420718</v>
      </c>
      <c r="Q34">
        <v>6.0702984284998117E-2</v>
      </c>
      <c r="R34">
        <v>266.81505779650513</v>
      </c>
      <c r="S34">
        <v>0.3374990340356307</v>
      </c>
      <c r="T34">
        <v>346.06900000000002</v>
      </c>
      <c r="U34">
        <v>66.766999999999996</v>
      </c>
      <c r="V34">
        <v>149.9999767353207</v>
      </c>
      <c r="W34">
        <v>0.1897375945406666</v>
      </c>
    </row>
    <row r="35" spans="1:23" x14ac:dyDescent="0.2">
      <c r="A35" t="s">
        <v>83</v>
      </c>
      <c r="B35">
        <v>9553.6566000000003</v>
      </c>
      <c r="C35">
        <v>844.8</v>
      </c>
      <c r="D35">
        <v>1106.8</v>
      </c>
      <c r="E35">
        <v>1480.6469999999999</v>
      </c>
      <c r="F35">
        <v>8.6317822551499823</v>
      </c>
      <c r="G35">
        <v>6.4523526539411495</v>
      </c>
      <c r="H35">
        <v>0.3101325757575758</v>
      </c>
      <c r="I35">
        <v>0.33777285869172391</v>
      </c>
      <c r="J35">
        <v>737.9</v>
      </c>
      <c r="K35">
        <v>0.66669678352005779</v>
      </c>
      <c r="L35">
        <v>380.29999999999995</v>
      </c>
      <c r="M35">
        <v>0.3436031803397181</v>
      </c>
      <c r="N35">
        <v>314</v>
      </c>
      <c r="O35">
        <v>0.28370075894470548</v>
      </c>
      <c r="P35">
        <v>157.30000000000001</v>
      </c>
      <c r="Q35">
        <v>0.14212143115287315</v>
      </c>
      <c r="R35">
        <v>68.100000000000009</v>
      </c>
      <c r="S35">
        <v>6.1528731478135174E-2</v>
      </c>
      <c r="T35">
        <v>305</v>
      </c>
      <c r="U35">
        <v>430</v>
      </c>
      <c r="V35">
        <v>-50</v>
      </c>
      <c r="W35">
        <v>-4.517528008673654E-2</v>
      </c>
    </row>
    <row r="36" spans="1:23" x14ac:dyDescent="0.2">
      <c r="A36" t="s">
        <v>85</v>
      </c>
      <c r="B36">
        <v>11155.011</v>
      </c>
      <c r="C36">
        <v>1824.2280000000001</v>
      </c>
      <c r="D36">
        <v>2815.241</v>
      </c>
      <c r="E36">
        <v>2896.0419999999999</v>
      </c>
      <c r="F36">
        <v>3.9623645009432589</v>
      </c>
      <c r="G36">
        <v>3.8518125773037823</v>
      </c>
      <c r="H36">
        <v>0.54325062437370764</v>
      </c>
      <c r="I36">
        <v>2.8701272821758383E-2</v>
      </c>
      <c r="J36">
        <v>1863.8300090332032</v>
      </c>
      <c r="K36">
        <v>0.66204989520726754</v>
      </c>
      <c r="L36">
        <v>323.46100000000001</v>
      </c>
      <c r="M36">
        <v>0.11489638009676614</v>
      </c>
      <c r="N36">
        <v>529.38099999999997</v>
      </c>
      <c r="O36">
        <v>0.18804109488317342</v>
      </c>
      <c r="P36">
        <v>205.31299999999999</v>
      </c>
      <c r="Q36">
        <v>7.2929102694938019E-2</v>
      </c>
      <c r="R36">
        <v>991.54299999999989</v>
      </c>
      <c r="S36">
        <v>0.35220537069472913</v>
      </c>
      <c r="T36">
        <v>714.82</v>
      </c>
      <c r="U36">
        <v>682.94200000000001</v>
      </c>
      <c r="V36">
        <v>279.654731196885</v>
      </c>
      <c r="W36">
        <v>9.9335982673200984E-2</v>
      </c>
    </row>
    <row r="37" spans="1:23" x14ac:dyDescent="0.2">
      <c r="A37" t="s">
        <v>87</v>
      </c>
      <c r="B37">
        <v>8730.4277999999995</v>
      </c>
      <c r="C37">
        <v>781.29100000000005</v>
      </c>
      <c r="D37">
        <v>1035.461</v>
      </c>
      <c r="E37">
        <v>1245.01</v>
      </c>
      <c r="F37">
        <v>8.4314404888257499</v>
      </c>
      <c r="G37">
        <v>7.0123354832491298</v>
      </c>
      <c r="H37">
        <v>0.32532052717873361</v>
      </c>
      <c r="I37">
        <v>0.20237266299744738</v>
      </c>
      <c r="J37">
        <v>648.36900695800773</v>
      </c>
      <c r="K37">
        <v>0.62616458462270208</v>
      </c>
      <c r="L37">
        <v>150.583</v>
      </c>
      <c r="M37">
        <v>0.14542604694913666</v>
      </c>
      <c r="N37">
        <v>269.78100000000001</v>
      </c>
      <c r="O37">
        <v>0.26054192287300054</v>
      </c>
      <c r="P37">
        <v>122.119</v>
      </c>
      <c r="Q37">
        <v>0.11793684165796683</v>
      </c>
      <c r="R37">
        <v>114.41199999999999</v>
      </c>
      <c r="S37">
        <v>0.11049378006511108</v>
      </c>
      <c r="T37">
        <v>172.06</v>
      </c>
      <c r="U37">
        <v>155.685</v>
      </c>
      <c r="V37">
        <v>46.960708818636007</v>
      </c>
      <c r="W37">
        <v>4.5352465055309668E-2</v>
      </c>
    </row>
    <row r="38" spans="1:23" x14ac:dyDescent="0.2">
      <c r="A38" t="s">
        <v>89</v>
      </c>
      <c r="B38">
        <v>7440.2691999999997</v>
      </c>
      <c r="C38">
        <v>826.94299999999998</v>
      </c>
      <c r="D38">
        <v>992.76900000000001</v>
      </c>
      <c r="E38">
        <v>1052.4590000000001</v>
      </c>
      <c r="F38">
        <v>7.494461652207109</v>
      </c>
      <c r="G38">
        <v>7.0694147705516315</v>
      </c>
      <c r="H38">
        <v>0.20052893609353972</v>
      </c>
      <c r="I38">
        <v>6.0124762155143952E-2</v>
      </c>
      <c r="J38">
        <v>864.88000952148434</v>
      </c>
      <c r="K38">
        <v>0.87117950854779347</v>
      </c>
      <c r="L38">
        <v>334.14799999999997</v>
      </c>
      <c r="M38">
        <v>0.33658182316329377</v>
      </c>
      <c r="N38">
        <v>517.44600000000003</v>
      </c>
      <c r="O38">
        <v>0.52121490497789513</v>
      </c>
      <c r="P38">
        <v>102.871</v>
      </c>
      <c r="Q38">
        <v>0.10362027823189483</v>
      </c>
      <c r="R38">
        <v>-123.949</v>
      </c>
      <c r="S38">
        <v>-0.12485180339031537</v>
      </c>
      <c r="T38">
        <v>121.97600000000001</v>
      </c>
      <c r="U38">
        <v>627.87799999999993</v>
      </c>
      <c r="V38">
        <v>-146.929</v>
      </c>
      <c r="W38">
        <v>-0.14799918208566143</v>
      </c>
    </row>
    <row r="39" spans="1:23" x14ac:dyDescent="0.2">
      <c r="A39" t="s">
        <v>91</v>
      </c>
      <c r="B39">
        <v>7952.1031999999996</v>
      </c>
      <c r="C39">
        <v>756.04300000000001</v>
      </c>
      <c r="D39">
        <v>891.15700000000004</v>
      </c>
      <c r="E39">
        <v>1005.667</v>
      </c>
      <c r="F39">
        <v>8.9233470645464266</v>
      </c>
      <c r="G39">
        <v>7.9072925729888714</v>
      </c>
      <c r="H39">
        <v>0.17871205738297957</v>
      </c>
      <c r="I39">
        <v>0.12849587670859353</v>
      </c>
      <c r="J39">
        <v>422.93600115966797</v>
      </c>
      <c r="K39">
        <v>0.47459202044047005</v>
      </c>
      <c r="L39">
        <v>47.323999999999998</v>
      </c>
      <c r="M39">
        <v>5.3103998509802422E-2</v>
      </c>
      <c r="O39"/>
      <c r="Q39"/>
      <c r="R39">
        <v>222.82000000000002</v>
      </c>
      <c r="S39">
        <v>0.25003450570438207</v>
      </c>
      <c r="T39">
        <v>203.94400000000002</v>
      </c>
      <c r="U39">
        <v>185.92599999999999</v>
      </c>
      <c r="V39">
        <v>145.27799871199099</v>
      </c>
      <c r="W39">
        <v>0.16302177810642904</v>
      </c>
    </row>
    <row r="40" spans="1:23" x14ac:dyDescent="0.2">
      <c r="A40" t="s">
        <v>93</v>
      </c>
      <c r="B40">
        <v>10399.2865</v>
      </c>
      <c r="C40">
        <v>5422.9</v>
      </c>
      <c r="D40">
        <v>5643.5</v>
      </c>
      <c r="E40">
        <v>5758.5690000000004</v>
      </c>
      <c r="F40">
        <v>1.8427016036147781</v>
      </c>
      <c r="G40">
        <v>1.8058803324228641</v>
      </c>
      <c r="H40">
        <v>4.0679341311844287E-2</v>
      </c>
      <c r="I40">
        <v>2.0389651811818954E-2</v>
      </c>
      <c r="J40">
        <v>2280.8999999999996</v>
      </c>
      <c r="K40">
        <v>0.4041640825728714</v>
      </c>
      <c r="M40"/>
      <c r="O40"/>
      <c r="Q40"/>
      <c r="R40">
        <v>1359.4</v>
      </c>
      <c r="S40">
        <v>0.24087888721538053</v>
      </c>
      <c r="T40">
        <v>709.8</v>
      </c>
      <c r="U40">
        <v>838.19999999999993</v>
      </c>
      <c r="V40">
        <v>852.35</v>
      </c>
      <c r="W40">
        <v>0.15103216089306282</v>
      </c>
    </row>
    <row r="41" spans="1:23" x14ac:dyDescent="0.2">
      <c r="A41" t="s">
        <v>95</v>
      </c>
      <c r="B41">
        <v>9911.8019000000004</v>
      </c>
      <c r="C41">
        <v>1018.46</v>
      </c>
      <c r="D41">
        <v>1381.0119999999999</v>
      </c>
      <c r="E41">
        <v>1551.74</v>
      </c>
      <c r="F41">
        <v>7.1772018635609252</v>
      </c>
      <c r="G41">
        <v>6.3875403740317322</v>
      </c>
      <c r="H41">
        <v>0.35598059815800315</v>
      </c>
      <c r="I41">
        <v>0.12362528348776114</v>
      </c>
      <c r="J41">
        <v>1037.137987915039</v>
      </c>
      <c r="K41">
        <v>0.75099853434657993</v>
      </c>
      <c r="M41"/>
      <c r="O41"/>
      <c r="Q41"/>
      <c r="R41">
        <v>541.74800000000005</v>
      </c>
      <c r="S41">
        <v>0.3922833400433885</v>
      </c>
      <c r="T41">
        <v>285.154</v>
      </c>
      <c r="U41">
        <v>508.072</v>
      </c>
      <c r="V41">
        <v>160.82074499958901</v>
      </c>
      <c r="W41">
        <v>0.11645137406451864</v>
      </c>
    </row>
    <row r="42" spans="1:23" x14ac:dyDescent="0.2">
      <c r="A42" t="s">
        <v>97</v>
      </c>
      <c r="B42">
        <v>7407.2659999999996</v>
      </c>
      <c r="C42">
        <v>329.14100000000002</v>
      </c>
      <c r="D42">
        <v>498.02800000000002</v>
      </c>
      <c r="E42">
        <v>621.76</v>
      </c>
      <c r="F42">
        <v>14.87319186873027</v>
      </c>
      <c r="G42">
        <v>11.913384585692228</v>
      </c>
      <c r="H42">
        <v>0.5131144403158524</v>
      </c>
      <c r="I42">
        <v>0.24844386259407103</v>
      </c>
      <c r="J42">
        <v>416.48600439453128</v>
      </c>
      <c r="K42">
        <v>0.83627025868933325</v>
      </c>
      <c r="L42">
        <v>30.43</v>
      </c>
      <c r="M42">
        <v>6.1100982274089007E-2</v>
      </c>
      <c r="N42">
        <v>150.512</v>
      </c>
      <c r="O42">
        <v>0.30221593966604288</v>
      </c>
      <c r="P42">
        <v>91.647000000000006</v>
      </c>
      <c r="Q42">
        <v>0.18401977398861108</v>
      </c>
      <c r="R42">
        <v>148.13299999999998</v>
      </c>
      <c r="S42">
        <v>0.29743909980964922</v>
      </c>
      <c r="T42">
        <v>123.30200000000001</v>
      </c>
      <c r="U42">
        <v>46.076999999999998</v>
      </c>
      <c r="V42">
        <v>104.562799698118</v>
      </c>
      <c r="W42">
        <v>0.20995365661793713</v>
      </c>
    </row>
    <row r="43" spans="1:23" x14ac:dyDescent="0.2">
      <c r="A43" t="s">
        <v>99</v>
      </c>
      <c r="B43">
        <v>9247.8755000000001</v>
      </c>
      <c r="C43">
        <v>2114.6</v>
      </c>
      <c r="D43">
        <v>2273.2000000000003</v>
      </c>
      <c r="E43">
        <v>2275</v>
      </c>
      <c r="F43">
        <v>4.0682190304416679</v>
      </c>
      <c r="G43">
        <v>4.0650002197802202</v>
      </c>
      <c r="H43">
        <v>7.5002364513383324E-2</v>
      </c>
      <c r="I43">
        <v>7.9183529825788135E-4</v>
      </c>
      <c r="J43">
        <v>1091.2</v>
      </c>
      <c r="K43">
        <v>0.48002815414393801</v>
      </c>
      <c r="M43"/>
      <c r="O43"/>
      <c r="Q43"/>
      <c r="R43">
        <v>767.59999999999991</v>
      </c>
      <c r="S43">
        <v>0.33767376385711761</v>
      </c>
      <c r="T43">
        <v>429.3</v>
      </c>
      <c r="U43">
        <v>804.4</v>
      </c>
      <c r="V43">
        <v>426.99656571026196</v>
      </c>
      <c r="W43">
        <v>0.18783941831350603</v>
      </c>
    </row>
    <row r="44" spans="1:23" x14ac:dyDescent="0.2">
      <c r="A44" t="s">
        <v>101</v>
      </c>
      <c r="B44">
        <v>6390.3563999999997</v>
      </c>
      <c r="C44">
        <v>424.44600000000003</v>
      </c>
      <c r="D44">
        <v>661.06700000000001</v>
      </c>
      <c r="E44">
        <v>749.7</v>
      </c>
      <c r="F44">
        <v>9.6667303011646322</v>
      </c>
      <c r="G44">
        <v>8.5238847539015605</v>
      </c>
      <c r="H44">
        <v>0.55748198828590667</v>
      </c>
      <c r="I44">
        <v>0.13407566857822273</v>
      </c>
      <c r="J44">
        <v>364.36000024414062</v>
      </c>
      <c r="K44">
        <v>0.55116954899297743</v>
      </c>
      <c r="L44">
        <v>171.65699999999998</v>
      </c>
      <c r="M44">
        <v>0.25966656934924898</v>
      </c>
      <c r="N44">
        <v>124.117</v>
      </c>
      <c r="O44">
        <v>0.18775252735350578</v>
      </c>
      <c r="P44">
        <v>75.915999999999997</v>
      </c>
      <c r="Q44">
        <v>0.11483858670906277</v>
      </c>
      <c r="R44">
        <v>28.280999999999985</v>
      </c>
      <c r="S44">
        <v>4.2780837645805925E-2</v>
      </c>
      <c r="T44">
        <v>131.27800000000002</v>
      </c>
      <c r="U44">
        <v>437.14</v>
      </c>
      <c r="V44">
        <v>35.34196</v>
      </c>
      <c r="W44">
        <v>5.3461994018760582E-2</v>
      </c>
    </row>
    <row r="45" spans="1:23" x14ac:dyDescent="0.2">
      <c r="A45" t="s">
        <v>105</v>
      </c>
      <c r="B45">
        <v>6894.6152000000002</v>
      </c>
      <c r="C45">
        <v>472.34399999999999</v>
      </c>
      <c r="D45">
        <v>499.51400000000001</v>
      </c>
      <c r="E45">
        <v>548.56299999999999</v>
      </c>
      <c r="F45">
        <v>13.80264657246844</v>
      </c>
      <c r="G45">
        <v>12.568502068130735</v>
      </c>
      <c r="H45">
        <v>5.7521636773199228E-2</v>
      </c>
      <c r="I45">
        <v>9.8193444027594667E-2</v>
      </c>
      <c r="J45">
        <v>448.87000836181642</v>
      </c>
      <c r="K45">
        <v>0.89861346901551586</v>
      </c>
      <c r="L45">
        <v>82.075999999999993</v>
      </c>
      <c r="M45">
        <v>0.16431171098307554</v>
      </c>
      <c r="N45">
        <v>101.077</v>
      </c>
      <c r="O45">
        <v>0.20235068486568944</v>
      </c>
      <c r="P45">
        <v>56.076000000000001</v>
      </c>
      <c r="Q45">
        <v>0.11226111780650792</v>
      </c>
      <c r="R45">
        <v>218.595</v>
      </c>
      <c r="S45">
        <v>0.43761536213199226</v>
      </c>
      <c r="T45">
        <v>199.48799999999997</v>
      </c>
      <c r="U45">
        <v>96.164999999999992</v>
      </c>
      <c r="V45">
        <v>150.27254635458399</v>
      </c>
      <c r="W45">
        <v>0.30083750676574428</v>
      </c>
    </row>
    <row r="46" spans="1:23" x14ac:dyDescent="0.2">
      <c r="A46" t="s">
        <v>107</v>
      </c>
      <c r="B46">
        <v>6236.2366000000002</v>
      </c>
      <c r="C46">
        <v>503.41</v>
      </c>
      <c r="D46">
        <v>1155.4570000000001</v>
      </c>
      <c r="E46">
        <v>1366.1669999999999</v>
      </c>
      <c r="F46">
        <v>5.397203530724207</v>
      </c>
      <c r="G46">
        <v>4.5647688752546358</v>
      </c>
      <c r="H46">
        <v>1.2952603245863212</v>
      </c>
      <c r="I46">
        <v>0.18236074557512727</v>
      </c>
      <c r="J46">
        <v>769.42700024414057</v>
      </c>
      <c r="K46">
        <v>0.66590708286343891</v>
      </c>
      <c r="L46">
        <v>313.77699999999999</v>
      </c>
      <c r="M46">
        <v>0.27156094947713327</v>
      </c>
      <c r="N46">
        <v>649.65700000000004</v>
      </c>
      <c r="O46">
        <v>0.56225112661050991</v>
      </c>
      <c r="P46">
        <v>86.400999999999996</v>
      </c>
      <c r="Q46">
        <v>7.4776473724249351E-2</v>
      </c>
      <c r="R46">
        <v>-222.005860759494</v>
      </c>
      <c r="S46">
        <v>-0.19213684348227064</v>
      </c>
      <c r="T46">
        <v>58.033000000000001</v>
      </c>
      <c r="U46">
        <v>305.97499999999997</v>
      </c>
      <c r="V46">
        <v>-290.7982245</v>
      </c>
      <c r="W46">
        <v>-0.25167377453250095</v>
      </c>
    </row>
    <row r="47" spans="1:23" x14ac:dyDescent="0.2">
      <c r="A47" t="s">
        <v>109</v>
      </c>
      <c r="B47">
        <v>9733.1316000000006</v>
      </c>
      <c r="C47">
        <v>3373.3870000000002</v>
      </c>
      <c r="D47">
        <v>3755.2129999999997</v>
      </c>
      <c r="E47">
        <v>3945.0750000000003</v>
      </c>
      <c r="F47">
        <v>2.5918986752549058</v>
      </c>
      <c r="G47">
        <v>2.4671600920134598</v>
      </c>
      <c r="H47">
        <v>0.11318772497789301</v>
      </c>
      <c r="I47">
        <v>5.0559582106261436E-2</v>
      </c>
      <c r="J47">
        <v>1077.0209764404296</v>
      </c>
      <c r="K47">
        <v>0.28680689389401604</v>
      </c>
      <c r="M47"/>
      <c r="O47"/>
      <c r="Q47"/>
      <c r="R47">
        <v>972.27599999999995</v>
      </c>
      <c r="S47">
        <v>0.2589136754692743</v>
      </c>
      <c r="T47">
        <v>478.452</v>
      </c>
      <c r="U47">
        <v>361.38099999999997</v>
      </c>
      <c r="V47">
        <v>307.796316586464</v>
      </c>
      <c r="W47">
        <v>8.1965075372945298E-2</v>
      </c>
    </row>
    <row r="48" spans="1:23" x14ac:dyDescent="0.2">
      <c r="A48" t="s">
        <v>113</v>
      </c>
      <c r="B48">
        <v>5616.1094999999996</v>
      </c>
      <c r="C48">
        <v>311.99900000000002</v>
      </c>
      <c r="D48">
        <v>507.88499999999999</v>
      </c>
      <c r="E48">
        <v>667.96900000000005</v>
      </c>
      <c r="F48">
        <v>11.057836911899347</v>
      </c>
      <c r="G48">
        <v>8.4077397304365906</v>
      </c>
      <c r="H48">
        <v>0.62784175590306368</v>
      </c>
      <c r="I48">
        <v>0.31519733798005456</v>
      </c>
      <c r="J48">
        <v>356.01800524902342</v>
      </c>
      <c r="K48">
        <v>0.70098153174246813</v>
      </c>
      <c r="L48">
        <v>115.291</v>
      </c>
      <c r="M48">
        <v>0.2270021756893785</v>
      </c>
      <c r="N48">
        <v>220.74199999999999</v>
      </c>
      <c r="O48">
        <v>0.43462988668694685</v>
      </c>
      <c r="P48">
        <v>81.680000000000007</v>
      </c>
      <c r="Q48">
        <v>0.1608238085393347</v>
      </c>
      <c r="R48">
        <v>-86.045139240506003</v>
      </c>
      <c r="S48">
        <v>-0.16941854797937722</v>
      </c>
      <c r="T48">
        <v>35.010000000000005</v>
      </c>
      <c r="U48">
        <v>109.36999999999999</v>
      </c>
      <c r="V48">
        <v>-115.405</v>
      </c>
      <c r="W48">
        <v>-0.22722663595105191</v>
      </c>
    </row>
    <row r="49" spans="1:23" x14ac:dyDescent="0.2">
      <c r="A49" t="s">
        <v>115</v>
      </c>
      <c r="B49">
        <v>5688.8769000000002</v>
      </c>
      <c r="C49">
        <v>379.72399999999999</v>
      </c>
      <c r="D49">
        <v>581.47399999999993</v>
      </c>
      <c r="E49">
        <v>724.625</v>
      </c>
      <c r="F49">
        <v>9.7835447500662127</v>
      </c>
      <c r="G49">
        <v>7.8507875107814389</v>
      </c>
      <c r="H49">
        <v>0.53130694925788191</v>
      </c>
      <c r="I49">
        <v>0.24618641590165691</v>
      </c>
      <c r="J49">
        <v>443.33000299072262</v>
      </c>
      <c r="K49">
        <v>0.762424464362504</v>
      </c>
      <c r="L49">
        <v>75.147999999999996</v>
      </c>
      <c r="M49">
        <v>0.12923707680824939</v>
      </c>
      <c r="N49">
        <v>260.06900000000002</v>
      </c>
      <c r="O49">
        <v>0.44725817491409769</v>
      </c>
      <c r="P49">
        <v>72.313000000000002</v>
      </c>
      <c r="Q49">
        <v>0.1243615363713597</v>
      </c>
      <c r="R49">
        <v>1.981681596884</v>
      </c>
      <c r="S49">
        <v>3.4080313081651117E-3</v>
      </c>
      <c r="T49">
        <v>27.823</v>
      </c>
      <c r="U49">
        <v>181.19199999999998</v>
      </c>
      <c r="V49">
        <v>-22.126999999999999</v>
      </c>
      <c r="W49">
        <v>-3.8053292150637866E-2</v>
      </c>
    </row>
    <row r="50" spans="1:23" x14ac:dyDescent="0.2">
      <c r="A50" t="s">
        <v>117</v>
      </c>
      <c r="B50">
        <v>6521.5419000000002</v>
      </c>
      <c r="C50">
        <v>881.35599999999999</v>
      </c>
      <c r="D50">
        <v>1005.8890000000001</v>
      </c>
      <c r="E50">
        <v>1083.6669999999999</v>
      </c>
      <c r="F50">
        <v>6.4833613848048834</v>
      </c>
      <c r="G50">
        <v>6.0180312771358739</v>
      </c>
      <c r="H50">
        <v>0.14129704682330424</v>
      </c>
      <c r="I50">
        <v>7.732264693221591E-2</v>
      </c>
      <c r="J50">
        <v>699.41901611328126</v>
      </c>
      <c r="K50">
        <v>0.69532425159563449</v>
      </c>
      <c r="L50">
        <v>110.86999999999999</v>
      </c>
      <c r="M50">
        <v>0.11022090906650732</v>
      </c>
      <c r="O50"/>
      <c r="Q50"/>
      <c r="R50">
        <v>228.197</v>
      </c>
      <c r="S50">
        <v>0.2268610154798392</v>
      </c>
      <c r="T50">
        <v>191.75299999999999</v>
      </c>
      <c r="U50">
        <v>90.022999999999996</v>
      </c>
      <c r="V50">
        <v>130.87135000000001</v>
      </c>
      <c r="W50">
        <v>0.13010516070858713</v>
      </c>
    </row>
    <row r="51" spans="1:23" x14ac:dyDescent="0.2">
      <c r="A51" t="s">
        <v>119</v>
      </c>
      <c r="B51">
        <v>5499.3319000000001</v>
      </c>
      <c r="C51">
        <v>1958.615</v>
      </c>
      <c r="D51">
        <v>2491.8389999999999</v>
      </c>
      <c r="E51">
        <v>2815.54</v>
      </c>
      <c r="F51">
        <v>2.2069370854216506</v>
      </c>
      <c r="G51">
        <v>1.9532068093509594</v>
      </c>
      <c r="H51">
        <v>0.27224543874115126</v>
      </c>
      <c r="I51">
        <v>0.12990446011961443</v>
      </c>
      <c r="J51">
        <v>1021.3030059814453</v>
      </c>
      <c r="K51">
        <v>0.40985914659070882</v>
      </c>
      <c r="M51"/>
      <c r="O51"/>
      <c r="Q51"/>
      <c r="R51">
        <v>464.61600000000004</v>
      </c>
      <c r="S51">
        <v>0.18645506391062988</v>
      </c>
      <c r="T51">
        <v>165.20499999999998</v>
      </c>
      <c r="U51">
        <v>819.14400000000001</v>
      </c>
      <c r="V51">
        <v>221.308428571429</v>
      </c>
      <c r="W51">
        <v>8.8813293544016694E-2</v>
      </c>
    </row>
    <row r="52" spans="1:23" x14ac:dyDescent="0.2">
      <c r="A52" t="s">
        <v>121</v>
      </c>
      <c r="B52">
        <v>6190.1469999999999</v>
      </c>
      <c r="C52">
        <v>2570.7559999999999</v>
      </c>
      <c r="D52">
        <v>2860.71</v>
      </c>
      <c r="E52">
        <v>3102.7919999999999</v>
      </c>
      <c r="F52">
        <v>2.1638498834205495</v>
      </c>
      <c r="G52">
        <v>1.9950248034673288</v>
      </c>
      <c r="H52">
        <v>0.11278938958034142</v>
      </c>
      <c r="I52">
        <v>8.4623048124416567E-2</v>
      </c>
      <c r="J52">
        <v>1068.4139918212891</v>
      </c>
      <c r="K52">
        <v>0.37347860909399733</v>
      </c>
      <c r="M52"/>
      <c r="O52"/>
      <c r="Q52"/>
      <c r="R52">
        <v>407.05099999999999</v>
      </c>
      <c r="S52">
        <v>0.14229020068444545</v>
      </c>
      <c r="T52">
        <v>229.39300000000003</v>
      </c>
      <c r="U52">
        <v>504.46799999999996</v>
      </c>
      <c r="V52">
        <v>271.84730999999999</v>
      </c>
      <c r="W52">
        <v>9.5027916146690858E-2</v>
      </c>
    </row>
    <row r="53" spans="1:23" x14ac:dyDescent="0.2">
      <c r="A53" t="s">
        <v>123</v>
      </c>
      <c r="B53">
        <v>5264.8521000000001</v>
      </c>
      <c r="C53">
        <v>568.12800000000004</v>
      </c>
      <c r="D53">
        <v>774.29099999999994</v>
      </c>
      <c r="E53">
        <v>940.42899999999997</v>
      </c>
      <c r="F53">
        <v>6.7995780656109917</v>
      </c>
      <c r="G53">
        <v>5.5983514970295474</v>
      </c>
      <c r="H53">
        <v>0.36288125211219985</v>
      </c>
      <c r="I53">
        <v>0.21456790793125591</v>
      </c>
      <c r="J53">
        <v>470.14299932861331</v>
      </c>
      <c r="K53">
        <v>0.60719161055548021</v>
      </c>
      <c r="L53">
        <v>89.451999999999998</v>
      </c>
      <c r="M53">
        <v>0.11552762462691676</v>
      </c>
      <c r="N53">
        <v>165.07900000000001</v>
      </c>
      <c r="O53">
        <v>0.21320020509085089</v>
      </c>
      <c r="P53">
        <v>112.97499999999999</v>
      </c>
      <c r="Q53">
        <v>0.14590767553800832</v>
      </c>
      <c r="R53">
        <v>151.96100000000001</v>
      </c>
      <c r="S53">
        <v>0.19625825432557015</v>
      </c>
      <c r="T53">
        <v>117.538</v>
      </c>
      <c r="U53">
        <v>69.343000000000004</v>
      </c>
      <c r="V53">
        <v>39.375608755979997</v>
      </c>
      <c r="W53">
        <v>5.0853760092755822E-2</v>
      </c>
    </row>
    <row r="54" spans="1:23" x14ac:dyDescent="0.2">
      <c r="A54" t="s">
        <v>127</v>
      </c>
      <c r="B54">
        <v>5177.2318999999998</v>
      </c>
      <c r="C54">
        <v>375.49599999999998</v>
      </c>
      <c r="D54">
        <v>614.04600000000005</v>
      </c>
      <c r="E54">
        <v>792.19399999999996</v>
      </c>
      <c r="F54">
        <v>8.4313421144344218</v>
      </c>
      <c r="G54">
        <v>6.5353081442171996</v>
      </c>
      <c r="H54">
        <v>0.63529305238937317</v>
      </c>
      <c r="I54">
        <v>0.29012158698208257</v>
      </c>
      <c r="J54">
        <v>439.7080033569336</v>
      </c>
      <c r="K54">
        <v>0.71608316536046746</v>
      </c>
      <c r="L54">
        <v>129.803</v>
      </c>
      <c r="M54">
        <v>0.21138970044589492</v>
      </c>
      <c r="N54">
        <v>258.83699999999999</v>
      </c>
      <c r="O54">
        <v>0.42152705171925225</v>
      </c>
      <c r="P54">
        <v>52.734999999999999</v>
      </c>
      <c r="Q54">
        <v>8.5881188054315147E-2</v>
      </c>
      <c r="R54">
        <v>-23.048000000000005</v>
      </c>
      <c r="S54">
        <v>-3.7534647241411888E-2</v>
      </c>
      <c r="T54">
        <v>136.89599999999999</v>
      </c>
      <c r="U54">
        <v>286.072</v>
      </c>
      <c r="V54">
        <v>-78.538188416806008</v>
      </c>
      <c r="W54">
        <v>-0.12790277669230971</v>
      </c>
    </row>
    <row r="55" spans="1:23" x14ac:dyDescent="0.2">
      <c r="A55" t="s">
        <v>129</v>
      </c>
      <c r="B55">
        <v>4738.1673000000001</v>
      </c>
      <c r="C55">
        <v>270.96699999999998</v>
      </c>
      <c r="D55">
        <v>441.399</v>
      </c>
      <c r="E55">
        <v>558.06700000000001</v>
      </c>
      <c r="F55">
        <v>10.734431432785303</v>
      </c>
      <c r="G55">
        <v>8.490319800310715</v>
      </c>
      <c r="H55">
        <v>0.62897696029405803</v>
      </c>
      <c r="I55">
        <v>0.26431414661111607</v>
      </c>
      <c r="J55">
        <v>354.10500488281252</v>
      </c>
      <c r="K55">
        <v>0.80223336455862504</v>
      </c>
      <c r="L55">
        <v>70.37299999999999</v>
      </c>
      <c r="M55">
        <v>0.15943171597579511</v>
      </c>
      <c r="N55">
        <v>212.85900000000001</v>
      </c>
      <c r="O55">
        <v>0.48223715957670954</v>
      </c>
      <c r="P55">
        <v>56.786999999999999</v>
      </c>
      <c r="Q55">
        <v>0.12865230777595779</v>
      </c>
      <c r="R55">
        <v>-24.503810126582</v>
      </c>
      <c r="S55">
        <v>-5.5513968374604379E-2</v>
      </c>
      <c r="T55">
        <v>43.858999999999995</v>
      </c>
      <c r="U55">
        <v>87.679999999999993</v>
      </c>
      <c r="V55">
        <v>-55.844099999999997</v>
      </c>
      <c r="W55">
        <v>-0.1265161452563327</v>
      </c>
    </row>
    <row r="56" spans="1:23" x14ac:dyDescent="0.2">
      <c r="A56" t="s">
        <v>131</v>
      </c>
      <c r="B56">
        <v>3355.8386999999998</v>
      </c>
      <c r="C56">
        <v>2160</v>
      </c>
      <c r="D56">
        <v>882</v>
      </c>
      <c r="E56">
        <v>905.96699999999998</v>
      </c>
      <c r="F56">
        <v>3.8048057823129251</v>
      </c>
      <c r="G56">
        <v>3.7041511445781135</v>
      </c>
      <c r="H56">
        <v>-0.59166666666666667</v>
      </c>
      <c r="I56">
        <v>2.7173469387755E-2</v>
      </c>
      <c r="J56">
        <v>675</v>
      </c>
      <c r="K56">
        <v>0.76530612244897955</v>
      </c>
      <c r="L56">
        <v>239</v>
      </c>
      <c r="M56">
        <v>0.27097505668934241</v>
      </c>
      <c r="O56"/>
      <c r="Q56"/>
      <c r="R56">
        <v>74</v>
      </c>
      <c r="S56">
        <v>8.390022675736962E-2</v>
      </c>
      <c r="T56">
        <v>-159</v>
      </c>
      <c r="U56">
        <v>816</v>
      </c>
      <c r="V56">
        <v>-68.715000000000003</v>
      </c>
      <c r="W56">
        <v>-7.7908163265306127E-2</v>
      </c>
    </row>
    <row r="57" spans="1:23" x14ac:dyDescent="0.2">
      <c r="A57" t="s">
        <v>133</v>
      </c>
      <c r="B57">
        <v>6274.3391000000001</v>
      </c>
      <c r="C57">
        <v>704.2</v>
      </c>
      <c r="D57">
        <v>750.7</v>
      </c>
      <c r="E57">
        <v>763.30000000000007</v>
      </c>
      <c r="F57">
        <v>8.3579846809644334</v>
      </c>
      <c r="G57">
        <v>8.2200171623214988</v>
      </c>
      <c r="H57">
        <v>6.6032377165577957E-2</v>
      </c>
      <c r="I57">
        <v>1.6784334621020358E-2</v>
      </c>
      <c r="J57">
        <v>293.00000000000006</v>
      </c>
      <c r="K57">
        <v>0.39030238444118825</v>
      </c>
      <c r="M57"/>
      <c r="O57"/>
      <c r="Q57"/>
      <c r="R57">
        <v>90.5</v>
      </c>
      <c r="S57">
        <v>0.12055414946050352</v>
      </c>
      <c r="T57">
        <v>-90.6</v>
      </c>
      <c r="U57">
        <v>99.6</v>
      </c>
      <c r="V57">
        <v>-9.1999999999999993</v>
      </c>
      <c r="W57">
        <v>-1.2255228453443451E-2</v>
      </c>
    </row>
    <row r="58" spans="1:23" x14ac:dyDescent="0.2">
      <c r="A58" t="s">
        <v>135</v>
      </c>
      <c r="B58">
        <v>6727.3046000000004</v>
      </c>
      <c r="C58">
        <v>1948.903</v>
      </c>
      <c r="D58">
        <v>2007.8210000000001</v>
      </c>
      <c r="E58">
        <v>2103.1669999999999</v>
      </c>
      <c r="F58">
        <v>3.3505499743254004</v>
      </c>
      <c r="G58">
        <v>3.1986545053245892</v>
      </c>
      <c r="H58">
        <v>3.0231366055673434E-2</v>
      </c>
      <c r="I58">
        <v>4.7487300909792252E-2</v>
      </c>
      <c r="J58">
        <v>1132.4420061035157</v>
      </c>
      <c r="K58">
        <v>0.56401542074891919</v>
      </c>
      <c r="L58">
        <v>266.09699999999998</v>
      </c>
      <c r="M58">
        <v>0.13253024049454606</v>
      </c>
      <c r="N58">
        <v>398.13</v>
      </c>
      <c r="O58">
        <v>0.19828958856392076</v>
      </c>
      <c r="P58">
        <v>166.67699999999999</v>
      </c>
      <c r="Q58">
        <v>8.3013874244765834E-2</v>
      </c>
      <c r="R58">
        <v>344.83600000000001</v>
      </c>
      <c r="S58">
        <v>0.17174638575849141</v>
      </c>
      <c r="T58">
        <v>395.58100000000002</v>
      </c>
      <c r="U58">
        <v>315.96299999999997</v>
      </c>
      <c r="V58">
        <v>21.322419709094</v>
      </c>
      <c r="W58">
        <v>1.0619681589690514E-2</v>
      </c>
    </row>
    <row r="59" spans="1:23" x14ac:dyDescent="0.2">
      <c r="A59" t="s">
        <v>137</v>
      </c>
      <c r="B59">
        <v>4436.8191999999999</v>
      </c>
      <c r="C59">
        <v>181.309</v>
      </c>
      <c r="D59">
        <v>383.18099999999998</v>
      </c>
      <c r="E59">
        <v>489.97500000000002</v>
      </c>
      <c r="F59">
        <v>11.578912315589761</v>
      </c>
      <c r="G59">
        <v>9.0551950609724976</v>
      </c>
      <c r="H59">
        <v>1.1134141162325091</v>
      </c>
      <c r="I59">
        <v>0.27870379794405276</v>
      </c>
      <c r="J59">
        <v>318.38299798583984</v>
      </c>
      <c r="K59">
        <v>0.83089453283393444</v>
      </c>
      <c r="L59">
        <v>74.331999999999994</v>
      </c>
      <c r="M59">
        <v>0.1939866538267816</v>
      </c>
      <c r="N59">
        <v>207.02099999999999</v>
      </c>
      <c r="O59">
        <v>0.54026948100245054</v>
      </c>
      <c r="P59">
        <v>57.787999999999997</v>
      </c>
      <c r="Q59">
        <v>0.1508112354213805</v>
      </c>
      <c r="R59">
        <v>-2.2589999999999986</v>
      </c>
      <c r="S59">
        <v>-5.8953862534937762E-3</v>
      </c>
      <c r="T59">
        <v>49.615000000000009</v>
      </c>
      <c r="U59">
        <v>132.47900000000001</v>
      </c>
      <c r="V59">
        <v>-33.405200000000001</v>
      </c>
      <c r="W59">
        <v>-8.7178644035064382E-2</v>
      </c>
    </row>
    <row r="60" spans="1:23" x14ac:dyDescent="0.2">
      <c r="A60" t="s">
        <v>139</v>
      </c>
      <c r="B60">
        <v>4485.9957999999997</v>
      </c>
      <c r="C60">
        <v>280.87400000000002</v>
      </c>
      <c r="D60">
        <v>509.43599999999998</v>
      </c>
      <c r="E60">
        <v>735.4</v>
      </c>
      <c r="F60">
        <v>8.8058083841738704</v>
      </c>
      <c r="G60">
        <v>6.1000758770737011</v>
      </c>
      <c r="H60">
        <v>0.81375278594672318</v>
      </c>
      <c r="I60">
        <v>0.44355718873420802</v>
      </c>
      <c r="J60">
        <v>281.04199999999997</v>
      </c>
      <c r="K60">
        <v>0.55167283034571557</v>
      </c>
      <c r="L60">
        <v>160.947</v>
      </c>
      <c r="M60">
        <v>0.31593173627305493</v>
      </c>
      <c r="N60">
        <v>221.18700000000001</v>
      </c>
      <c r="O60">
        <v>0.43418015216828026</v>
      </c>
      <c r="P60">
        <v>67.203999999999994</v>
      </c>
      <c r="Q60">
        <v>0.13191843528922179</v>
      </c>
      <c r="R60">
        <v>-146.059</v>
      </c>
      <c r="S60">
        <v>-0.2867072605783651</v>
      </c>
      <c r="T60">
        <v>-129.36799999999999</v>
      </c>
      <c r="U60">
        <v>73.012</v>
      </c>
      <c r="V60">
        <v>-163.51499999999999</v>
      </c>
      <c r="W60">
        <v>-0.32097260499846886</v>
      </c>
    </row>
    <row r="61" spans="1:23" x14ac:dyDescent="0.2">
      <c r="A61" t="s">
        <v>147</v>
      </c>
      <c r="B61">
        <v>3887.6603</v>
      </c>
      <c r="C61">
        <v>750.26599999999996</v>
      </c>
      <c r="D61">
        <v>851.31600000000003</v>
      </c>
      <c r="E61">
        <v>927.80000000000007</v>
      </c>
      <c r="F61">
        <v>4.5666477547702611</v>
      </c>
      <c r="G61">
        <v>4.1901921750377236</v>
      </c>
      <c r="H61">
        <v>0.1346855648529989</v>
      </c>
      <c r="I61">
        <v>8.9842079791757845E-2</v>
      </c>
      <c r="J61">
        <v>558.17699633789061</v>
      </c>
      <c r="K61">
        <v>0.65566369754343934</v>
      </c>
      <c r="L61">
        <v>162.886</v>
      </c>
      <c r="M61">
        <v>0.19133435762983428</v>
      </c>
      <c r="N61">
        <v>307.20999999999998</v>
      </c>
      <c r="O61">
        <v>0.36086482575212958</v>
      </c>
      <c r="P61">
        <v>52.152999999999999</v>
      </c>
      <c r="Q61">
        <v>6.1261623181051453E-2</v>
      </c>
      <c r="R61">
        <v>16.656999999999996</v>
      </c>
      <c r="S61">
        <v>1.9566177541594419E-2</v>
      </c>
      <c r="T61">
        <v>106.762</v>
      </c>
      <c r="U61">
        <v>162.279</v>
      </c>
      <c r="V61">
        <v>16.697999999999997</v>
      </c>
      <c r="W61">
        <v>1.9614338271570129E-2</v>
      </c>
    </row>
    <row r="62" spans="1:23" x14ac:dyDescent="0.2">
      <c r="A62" t="s">
        <v>149</v>
      </c>
      <c r="B62">
        <v>5314.2241999999997</v>
      </c>
      <c r="C62">
        <v>6408</v>
      </c>
      <c r="D62">
        <v>5780</v>
      </c>
      <c r="E62">
        <v>5298.5830000000005</v>
      </c>
      <c r="F62">
        <v>0.91941595155709332</v>
      </c>
      <c r="G62">
        <v>1.0029519590426343</v>
      </c>
      <c r="H62">
        <v>-9.8002496878901377E-2</v>
      </c>
      <c r="I62">
        <v>-8.3290138408304459E-2</v>
      </c>
      <c r="J62">
        <v>1057</v>
      </c>
      <c r="K62">
        <v>0.1828719723183391</v>
      </c>
      <c r="L62">
        <v>13</v>
      </c>
      <c r="M62">
        <v>2.249134948096886E-3</v>
      </c>
      <c r="O62"/>
      <c r="Q62"/>
      <c r="R62">
        <v>689</v>
      </c>
      <c r="S62">
        <v>0.11920415224913494</v>
      </c>
      <c r="T62">
        <v>76</v>
      </c>
      <c r="U62">
        <v>658</v>
      </c>
      <c r="V62">
        <v>34.552340425531995</v>
      </c>
      <c r="W62">
        <v>5.9779135684311412E-3</v>
      </c>
    </row>
    <row r="63" spans="1:23" x14ac:dyDescent="0.2">
      <c r="A63" t="s">
        <v>151</v>
      </c>
      <c r="B63">
        <v>3967.4378999999999</v>
      </c>
      <c r="C63">
        <v>2403.36</v>
      </c>
      <c r="D63">
        <v>2454.6930000000002</v>
      </c>
      <c r="E63">
        <v>2523.6790000000001</v>
      </c>
      <c r="F63">
        <v>1.6162664333177303</v>
      </c>
      <c r="G63">
        <v>1.5720849997166835</v>
      </c>
      <c r="H63">
        <v>2.1358847613341357E-2</v>
      </c>
      <c r="I63">
        <v>2.8103718061688321E-2</v>
      </c>
      <c r="J63">
        <v>618.02799414062497</v>
      </c>
      <c r="K63">
        <v>0.25177404838023532</v>
      </c>
      <c r="M63"/>
      <c r="O63"/>
      <c r="Q63"/>
      <c r="R63">
        <v>376.36900000000003</v>
      </c>
      <c r="S63">
        <v>0.1533263019041485</v>
      </c>
      <c r="T63">
        <v>297.005</v>
      </c>
      <c r="U63">
        <v>349.245</v>
      </c>
      <c r="V63">
        <v>229.65975</v>
      </c>
      <c r="W63">
        <v>9.3559459370275627E-2</v>
      </c>
    </row>
    <row r="64" spans="1:23" x14ac:dyDescent="0.2">
      <c r="A64" t="s">
        <v>153</v>
      </c>
      <c r="B64">
        <v>4064.2968000000001</v>
      </c>
      <c r="C64">
        <v>336.06799999999998</v>
      </c>
      <c r="D64">
        <v>1130.17</v>
      </c>
      <c r="E64">
        <v>1221.8890000000001</v>
      </c>
      <c r="F64">
        <v>3.5961818133555128</v>
      </c>
      <c r="G64">
        <v>3.3262405995961988</v>
      </c>
      <c r="H64">
        <v>2.3629205994025022</v>
      </c>
      <c r="I64">
        <v>8.1155047470734543E-2</v>
      </c>
      <c r="J64">
        <v>883.36700305175782</v>
      </c>
      <c r="K64">
        <v>0.78162312134613177</v>
      </c>
      <c r="L64">
        <v>156.73099999999999</v>
      </c>
      <c r="M64">
        <v>0.13867913676703503</v>
      </c>
      <c r="N64">
        <v>346.96100000000001</v>
      </c>
      <c r="O64">
        <v>0.30699894706106162</v>
      </c>
      <c r="P64">
        <v>160.36600000000001</v>
      </c>
      <c r="Q64">
        <v>0.1418954670536291</v>
      </c>
      <c r="R64">
        <v>389.65500000000003</v>
      </c>
      <c r="S64">
        <v>0.34477556473804827</v>
      </c>
      <c r="T64">
        <v>328.89800000000002</v>
      </c>
      <c r="U64">
        <v>252.40199999999999</v>
      </c>
      <c r="V64">
        <v>85.247472264912005</v>
      </c>
      <c r="W64">
        <v>7.5428893232798611E-2</v>
      </c>
    </row>
    <row r="65" spans="1:23" x14ac:dyDescent="0.2">
      <c r="A65" t="s">
        <v>155</v>
      </c>
      <c r="B65">
        <v>3256.0626999999999</v>
      </c>
      <c r="C65">
        <v>83.677999999999997</v>
      </c>
      <c r="D65">
        <v>219.095</v>
      </c>
      <c r="E65">
        <v>265.79300000000001</v>
      </c>
      <c r="F65">
        <v>14.861419475569958</v>
      </c>
      <c r="G65">
        <v>12.250370401026363</v>
      </c>
      <c r="H65">
        <v>1.6183106670809533</v>
      </c>
      <c r="I65">
        <v>0.21314041853990284</v>
      </c>
      <c r="J65">
        <v>150.86900170898437</v>
      </c>
      <c r="K65">
        <v>0.68860084305431146</v>
      </c>
      <c r="L65">
        <v>44.536000000000001</v>
      </c>
      <c r="M65">
        <v>0.20327255300212238</v>
      </c>
      <c r="N65">
        <v>88.721999999999994</v>
      </c>
      <c r="O65">
        <v>0.40494762545927565</v>
      </c>
      <c r="P65">
        <v>38.578000000000003</v>
      </c>
      <c r="Q65">
        <v>0.17607886989662019</v>
      </c>
      <c r="R65">
        <v>-34.963000000000001</v>
      </c>
      <c r="S65">
        <v>-0.15957917798215387</v>
      </c>
      <c r="T65">
        <v>20.446999999999996</v>
      </c>
      <c r="U65">
        <v>412.90299999999996</v>
      </c>
      <c r="V65">
        <v>-49.332999999999998</v>
      </c>
      <c r="W65">
        <v>-0.22516716492845568</v>
      </c>
    </row>
    <row r="66" spans="1:23" x14ac:dyDescent="0.2">
      <c r="A66" t="s">
        <v>157</v>
      </c>
      <c r="B66">
        <v>4272.2191999999995</v>
      </c>
      <c r="C66">
        <v>874.255</v>
      </c>
      <c r="D66">
        <v>1158.5079999999998</v>
      </c>
      <c r="E66">
        <v>1252.3330000000001</v>
      </c>
      <c r="F66">
        <v>3.6876907194425934</v>
      </c>
      <c r="G66">
        <v>3.4114083075348165</v>
      </c>
      <c r="H66">
        <v>0.3251374027028725</v>
      </c>
      <c r="I66">
        <v>8.0987787740784078E-2</v>
      </c>
      <c r="J66">
        <v>974.26899780273436</v>
      </c>
      <c r="K66">
        <v>0.84096872684757851</v>
      </c>
      <c r="L66">
        <v>46.003999999999998</v>
      </c>
      <c r="M66">
        <v>3.9709695573962374E-2</v>
      </c>
      <c r="N66">
        <v>330.29599999999999</v>
      </c>
      <c r="O66">
        <v>0.28510463458172064</v>
      </c>
      <c r="P66">
        <v>323.517</v>
      </c>
      <c r="Q66">
        <v>0.27925314283544012</v>
      </c>
      <c r="R66">
        <v>412.85069230769199</v>
      </c>
      <c r="S66">
        <v>0.35636412722889443</v>
      </c>
      <c r="T66">
        <v>324.49900000000002</v>
      </c>
      <c r="U66">
        <v>350.94499999999999</v>
      </c>
      <c r="V66">
        <v>150.78399999999999</v>
      </c>
      <c r="W66">
        <v>0.1301536113691058</v>
      </c>
    </row>
    <row r="67" spans="1:23" x14ac:dyDescent="0.2">
      <c r="A67" t="s">
        <v>159</v>
      </c>
      <c r="B67">
        <v>5315.9659000000001</v>
      </c>
      <c r="C67">
        <v>1952.557</v>
      </c>
      <c r="D67">
        <v>1870.5889999999999</v>
      </c>
      <c r="E67">
        <v>1850.3410000000001</v>
      </c>
      <c r="F67">
        <v>2.8418674011233898</v>
      </c>
      <c r="G67">
        <v>2.8729655236521268</v>
      </c>
      <c r="H67">
        <v>-4.1979824404614091E-2</v>
      </c>
      <c r="I67">
        <v>-1.0824398090654719E-2</v>
      </c>
      <c r="J67">
        <v>918.13100402832038</v>
      </c>
      <c r="K67">
        <v>0.49082454992963198</v>
      </c>
      <c r="M67"/>
      <c r="O67"/>
      <c r="Q67"/>
      <c r="R67">
        <v>460.75</v>
      </c>
      <c r="S67">
        <v>0.24631279238785217</v>
      </c>
      <c r="T67">
        <v>310.55</v>
      </c>
      <c r="U67">
        <v>118.80399999999999</v>
      </c>
      <c r="V67">
        <v>156.14600000000002</v>
      </c>
      <c r="W67">
        <v>8.3474242604869381E-2</v>
      </c>
    </row>
    <row r="68" spans="1:23" x14ac:dyDescent="0.2">
      <c r="A68" t="s">
        <v>161</v>
      </c>
      <c r="B68">
        <v>3162.8121999999998</v>
      </c>
      <c r="C68">
        <v>205.864</v>
      </c>
      <c r="D68">
        <v>346.63900000000001</v>
      </c>
      <c r="E68">
        <v>473.83300000000003</v>
      </c>
      <c r="F68">
        <v>9.1242249141037206</v>
      </c>
      <c r="G68">
        <v>6.6749513014078792</v>
      </c>
      <c r="H68">
        <v>0.68382524385030896</v>
      </c>
      <c r="I68">
        <v>0.3669350534706135</v>
      </c>
      <c r="J68">
        <v>287.72500283813474</v>
      </c>
      <c r="K68">
        <v>0.83004221347896434</v>
      </c>
      <c r="L68">
        <v>45.925999999999995</v>
      </c>
      <c r="M68">
        <v>0.13248941982869786</v>
      </c>
      <c r="N68">
        <v>150.923</v>
      </c>
      <c r="O68">
        <v>0.4353895551279573</v>
      </c>
      <c r="P68">
        <v>62.664999999999999</v>
      </c>
      <c r="Q68">
        <v>0.18077885061980908</v>
      </c>
      <c r="R68">
        <v>-26.742999999999999</v>
      </c>
      <c r="S68">
        <v>-7.7149426348448957E-2</v>
      </c>
      <c r="U68">
        <v>223.36999999999998</v>
      </c>
      <c r="V68">
        <v>-47.448000000000008</v>
      </c>
      <c r="W68">
        <v>-0.13688015485851276</v>
      </c>
    </row>
    <row r="69" spans="1:23" x14ac:dyDescent="0.2">
      <c r="A69" t="s">
        <v>163</v>
      </c>
      <c r="B69">
        <v>3579.8489</v>
      </c>
      <c r="C69">
        <v>730.81500000000005</v>
      </c>
      <c r="D69">
        <v>833.04499999999996</v>
      </c>
      <c r="E69">
        <v>871.04500000000007</v>
      </c>
      <c r="F69">
        <v>4.2973055477195112</v>
      </c>
      <c r="G69">
        <v>4.1098323278361049</v>
      </c>
      <c r="H69">
        <v>0.13988492299692795</v>
      </c>
      <c r="I69">
        <v>4.5615783060939163E-2</v>
      </c>
      <c r="J69">
        <v>461.10500335693359</v>
      </c>
      <c r="K69">
        <v>0.55351752109061769</v>
      </c>
      <c r="L69">
        <v>89.911000000000001</v>
      </c>
      <c r="M69">
        <v>0.10793054396821301</v>
      </c>
      <c r="N69">
        <v>173.52500000000001</v>
      </c>
      <c r="O69">
        <v>0.20830207251709093</v>
      </c>
      <c r="P69">
        <v>94.87</v>
      </c>
      <c r="Q69">
        <v>0.11388340365766557</v>
      </c>
      <c r="R69">
        <v>162.346</v>
      </c>
      <c r="S69">
        <v>0.19488262938976889</v>
      </c>
      <c r="T69">
        <v>149.40600000000001</v>
      </c>
      <c r="U69">
        <v>29.83</v>
      </c>
      <c r="V69">
        <v>80.155496400630994</v>
      </c>
      <c r="W69">
        <v>9.621988776192282E-2</v>
      </c>
    </row>
    <row r="70" spans="1:23" x14ac:dyDescent="0.2">
      <c r="A70" t="s">
        <v>165</v>
      </c>
      <c r="B70">
        <v>3196.73</v>
      </c>
      <c r="C70">
        <v>714.11400000000003</v>
      </c>
      <c r="D70">
        <v>793.64200000000005</v>
      </c>
      <c r="E70">
        <v>853.05899999999997</v>
      </c>
      <c r="F70">
        <v>4.0279244294026775</v>
      </c>
      <c r="G70">
        <v>3.7473726905173033</v>
      </c>
      <c r="H70">
        <v>0.11136597237976012</v>
      </c>
      <c r="I70">
        <v>7.4866249518044548E-2</v>
      </c>
      <c r="J70">
        <v>520.84100958251952</v>
      </c>
      <c r="K70">
        <v>0.65626694351170867</v>
      </c>
      <c r="L70">
        <v>243.273</v>
      </c>
      <c r="M70">
        <v>0.30652737632332966</v>
      </c>
      <c r="N70">
        <v>371.935</v>
      </c>
      <c r="O70">
        <v>0.46864329256768161</v>
      </c>
      <c r="P70">
        <v>125.59699999999999</v>
      </c>
      <c r="Q70">
        <v>0.15825397345402586</v>
      </c>
      <c r="R70">
        <v>-128.273</v>
      </c>
      <c r="S70">
        <v>-0.1616257708135406</v>
      </c>
      <c r="T70">
        <v>11.232999999999997</v>
      </c>
      <c r="U70">
        <v>180.89099999999999</v>
      </c>
      <c r="V70">
        <v>-257.473708220025</v>
      </c>
      <c r="W70">
        <v>-0.32442046693600513</v>
      </c>
    </row>
    <row r="71" spans="1:23" x14ac:dyDescent="0.2">
      <c r="A71" t="s">
        <v>167</v>
      </c>
      <c r="B71">
        <v>3202.2395999999999</v>
      </c>
      <c r="C71">
        <v>230.70099999999999</v>
      </c>
      <c r="D71">
        <v>377.52699999999999</v>
      </c>
      <c r="E71">
        <v>452.61400000000003</v>
      </c>
      <c r="F71">
        <v>8.482147237151251</v>
      </c>
      <c r="G71">
        <v>7.0749901682228113</v>
      </c>
      <c r="H71">
        <v>0.63643417237029742</v>
      </c>
      <c r="I71">
        <v>0.19889173489578238</v>
      </c>
      <c r="J71">
        <v>228.32999908447266</v>
      </c>
      <c r="K71">
        <v>0.60480442215913743</v>
      </c>
      <c r="L71">
        <v>37.644999999999996</v>
      </c>
      <c r="M71">
        <v>9.9714722390716423E-2</v>
      </c>
      <c r="N71">
        <v>95.483999999999995</v>
      </c>
      <c r="O71">
        <v>0.25291965872639571</v>
      </c>
      <c r="P71">
        <v>79.251999999999995</v>
      </c>
      <c r="Q71">
        <v>0.20992405841171624</v>
      </c>
      <c r="R71">
        <v>46.511999999999993</v>
      </c>
      <c r="S71">
        <v>0.12320178424324617</v>
      </c>
      <c r="T71">
        <v>58.707999999999998</v>
      </c>
      <c r="U71">
        <v>137.19299999999998</v>
      </c>
      <c r="V71">
        <v>3.8283299999999998</v>
      </c>
      <c r="W71">
        <v>1.0140546239076941E-2</v>
      </c>
    </row>
    <row r="72" spans="1:23" x14ac:dyDescent="0.2">
      <c r="A72" t="s">
        <v>169</v>
      </c>
      <c r="B72">
        <v>3692.9135000000001</v>
      </c>
      <c r="C72">
        <v>131.84100000000001</v>
      </c>
      <c r="D72">
        <v>166.82400000000001</v>
      </c>
      <c r="E72">
        <v>257.7</v>
      </c>
      <c r="F72">
        <v>22.136584064642975</v>
      </c>
      <c r="G72">
        <v>14.330281334885527</v>
      </c>
      <c r="H72">
        <v>0.26534234418731656</v>
      </c>
      <c r="I72">
        <v>0.54474176377499628</v>
      </c>
      <c r="J72">
        <v>116.99600000000001</v>
      </c>
      <c r="K72">
        <v>0.70131395962211673</v>
      </c>
      <c r="M72"/>
      <c r="N72">
        <v>103.47799999999999</v>
      </c>
      <c r="O72">
        <v>0.62028245336402432</v>
      </c>
      <c r="P72">
        <v>46.970999999999997</v>
      </c>
      <c r="Q72">
        <v>0.28156020716443675</v>
      </c>
      <c r="R72">
        <v>-66.082999999999998</v>
      </c>
      <c r="S72">
        <v>-0.39612405888840929</v>
      </c>
      <c r="T72">
        <v>-18.09</v>
      </c>
      <c r="U72">
        <v>28.266999999999999</v>
      </c>
      <c r="V72">
        <v>-95.293880000000001</v>
      </c>
      <c r="W72">
        <v>-0.57122404450199005</v>
      </c>
    </row>
    <row r="73" spans="1:23" x14ac:dyDescent="0.2">
      <c r="A73" t="s">
        <v>171</v>
      </c>
      <c r="B73">
        <v>2833.0971</v>
      </c>
      <c r="C73">
        <v>604.55700000000002</v>
      </c>
      <c r="D73">
        <v>558.87699999999995</v>
      </c>
      <c r="E73">
        <v>561.4</v>
      </c>
      <c r="F73">
        <v>5.0692676563895098</v>
      </c>
      <c r="G73">
        <v>5.0464857499109375</v>
      </c>
      <c r="H73">
        <v>-7.5559459240402582E-2</v>
      </c>
      <c r="I73">
        <v>4.5144101474923204E-3</v>
      </c>
      <c r="J73">
        <v>322.08900360107418</v>
      </c>
      <c r="K73">
        <v>0.57631465170524854</v>
      </c>
      <c r="L73">
        <v>57.704000000000001</v>
      </c>
      <c r="M73">
        <v>0.10324991008755058</v>
      </c>
      <c r="N73">
        <v>47.481999999999999</v>
      </c>
      <c r="O73">
        <v>8.4959660175673718E-2</v>
      </c>
      <c r="P73">
        <v>46.054000000000002</v>
      </c>
      <c r="Q73">
        <v>8.2404536239637713E-2</v>
      </c>
      <c r="R73">
        <v>152.07</v>
      </c>
      <c r="S73">
        <v>0.27209922755812105</v>
      </c>
      <c r="T73">
        <v>142.90699999999998</v>
      </c>
      <c r="U73">
        <v>125.52199999999999</v>
      </c>
      <c r="V73">
        <v>105.80647999999999</v>
      </c>
      <c r="W73">
        <v>0.18931979666366661</v>
      </c>
    </row>
    <row r="74" spans="1:23" x14ac:dyDescent="0.2">
      <c r="A74" t="s">
        <v>173</v>
      </c>
      <c r="B74">
        <v>2532.3746999999998</v>
      </c>
      <c r="C74">
        <v>197.92500000000001</v>
      </c>
      <c r="D74">
        <v>255.43600000000001</v>
      </c>
      <c r="E74">
        <v>303.84500000000003</v>
      </c>
      <c r="F74">
        <v>9.9139302995662302</v>
      </c>
      <c r="G74">
        <v>8.3344293965673266</v>
      </c>
      <c r="H74">
        <v>0.2905696602248326</v>
      </c>
      <c r="I74">
        <v>0.18951518188509064</v>
      </c>
      <c r="J74">
        <v>196.15400054931641</v>
      </c>
      <c r="K74">
        <v>0.76791838483736197</v>
      </c>
      <c r="L74">
        <v>42.815999999999995</v>
      </c>
      <c r="M74">
        <v>0.16761928623999747</v>
      </c>
      <c r="N74">
        <v>63.854999999999997</v>
      </c>
      <c r="O74">
        <v>0.24998434050016441</v>
      </c>
      <c r="P74">
        <v>35.334000000000003</v>
      </c>
      <c r="Q74">
        <v>0.13832819179755398</v>
      </c>
      <c r="R74">
        <v>67.129000000000005</v>
      </c>
      <c r="S74">
        <v>0.2628016411155828</v>
      </c>
      <c r="T74">
        <v>93.984999999999999</v>
      </c>
      <c r="U74">
        <v>86.590999999999994</v>
      </c>
      <c r="V74">
        <v>42.557038674647998</v>
      </c>
      <c r="W74">
        <v>0.166605485032055</v>
      </c>
    </row>
    <row r="75" spans="1:23" x14ac:dyDescent="0.2">
      <c r="A75" t="s">
        <v>175</v>
      </c>
      <c r="B75">
        <v>3540.5491000000002</v>
      </c>
      <c r="C75">
        <v>1005.701</v>
      </c>
      <c r="D75">
        <v>996.43500000000006</v>
      </c>
      <c r="E75">
        <v>1060</v>
      </c>
      <c r="F75">
        <v>3.553216316167136</v>
      </c>
      <c r="G75">
        <v>3.3401406603773585</v>
      </c>
      <c r="H75">
        <v>-9.2134739848125456E-3</v>
      </c>
      <c r="I75">
        <v>6.3792419977218628E-2</v>
      </c>
      <c r="J75">
        <v>549.45199468994144</v>
      </c>
      <c r="K75">
        <v>0.55141779914388933</v>
      </c>
      <c r="L75">
        <v>136.92099999999999</v>
      </c>
      <c r="M75">
        <v>0.13741086975066108</v>
      </c>
      <c r="N75">
        <v>107.88500000000001</v>
      </c>
      <c r="O75">
        <v>0.10827098606532287</v>
      </c>
      <c r="P75">
        <v>153.03200000000001</v>
      </c>
      <c r="Q75">
        <v>0.15357951095656014</v>
      </c>
      <c r="R75">
        <v>214.69400000000002</v>
      </c>
      <c r="S75">
        <v>0.21546212246659341</v>
      </c>
      <c r="T75">
        <v>138.00200000000001</v>
      </c>
      <c r="U75">
        <v>69.709999999999994</v>
      </c>
      <c r="V75">
        <v>48.026550000000007</v>
      </c>
      <c r="W75">
        <v>4.819837721477066E-2</v>
      </c>
    </row>
    <row r="76" spans="1:23" x14ac:dyDescent="0.2">
      <c r="A76" t="s">
        <v>177</v>
      </c>
      <c r="B76">
        <v>3342.4558000000002</v>
      </c>
      <c r="C76">
        <v>1130.2660000000001</v>
      </c>
      <c r="D76">
        <v>1198.9859999999999</v>
      </c>
      <c r="E76">
        <v>1271.2</v>
      </c>
      <c r="F76">
        <v>2.7877354698053192</v>
      </c>
      <c r="G76">
        <v>2.6293705160478287</v>
      </c>
      <c r="H76">
        <v>6.0799847115634548E-2</v>
      </c>
      <c r="I76">
        <v>6.0229227030174082E-2</v>
      </c>
      <c r="J76">
        <v>770.49898681640627</v>
      </c>
      <c r="K76">
        <v>0.64262550756756653</v>
      </c>
      <c r="L76">
        <v>190.643</v>
      </c>
      <c r="M76">
        <v>0.15900352464499171</v>
      </c>
      <c r="O76"/>
      <c r="Q76"/>
      <c r="R76">
        <v>212.02799999999999</v>
      </c>
      <c r="S76">
        <v>0.17683942931777352</v>
      </c>
      <c r="T76">
        <v>144.71100000000001</v>
      </c>
      <c r="U76">
        <v>337.94200000000001</v>
      </c>
      <c r="V76">
        <v>54.014695631445996</v>
      </c>
      <c r="W76">
        <v>4.5050313874762507E-2</v>
      </c>
    </row>
    <row r="77" spans="1:23" x14ac:dyDescent="0.2">
      <c r="A77" t="s">
        <v>179</v>
      </c>
      <c r="B77">
        <v>2710.8598999999999</v>
      </c>
      <c r="C77">
        <v>423.12400000000002</v>
      </c>
      <c r="D77">
        <v>519.38200000000006</v>
      </c>
      <c r="E77">
        <v>532.57500000000005</v>
      </c>
      <c r="F77">
        <v>5.2193951657931921</v>
      </c>
      <c r="G77">
        <v>5.0900997981504945</v>
      </c>
      <c r="H77">
        <v>0.22749359525812771</v>
      </c>
      <c r="I77">
        <v>2.540134236457936E-2</v>
      </c>
      <c r="J77">
        <v>372.4000010986328</v>
      </c>
      <c r="K77">
        <v>0.71700598229941115</v>
      </c>
      <c r="L77">
        <v>61.974999999999994</v>
      </c>
      <c r="M77">
        <v>0.11932450489235281</v>
      </c>
      <c r="N77">
        <v>240.27099999999999</v>
      </c>
      <c r="O77">
        <v>0.46260940887439295</v>
      </c>
      <c r="P77">
        <v>84.588999999999999</v>
      </c>
      <c r="Q77">
        <v>0.16286471229268629</v>
      </c>
      <c r="R77">
        <v>15.740000000000002</v>
      </c>
      <c r="S77">
        <v>3.0305247390167545E-2</v>
      </c>
      <c r="T77">
        <v>86.269000000000005</v>
      </c>
      <c r="U77">
        <v>393.57599999999996</v>
      </c>
      <c r="V77">
        <v>-40.478999999999999</v>
      </c>
      <c r="W77">
        <v>-7.793685572468817E-2</v>
      </c>
    </row>
    <row r="78" spans="1:23" x14ac:dyDescent="0.2">
      <c r="A78" t="s">
        <v>181</v>
      </c>
      <c r="B78">
        <v>2781.2797</v>
      </c>
      <c r="C78">
        <v>343.274</v>
      </c>
      <c r="D78">
        <v>394.09599999999995</v>
      </c>
      <c r="E78">
        <v>427.56700000000001</v>
      </c>
      <c r="F78">
        <v>7.0573659717429269</v>
      </c>
      <c r="G78">
        <v>6.5048979458190175</v>
      </c>
      <c r="H78">
        <v>0.14805082820137833</v>
      </c>
      <c r="I78">
        <v>8.4931082781860345E-2</v>
      </c>
      <c r="J78">
        <v>220.96600073242186</v>
      </c>
      <c r="K78">
        <v>0.56069079800967758</v>
      </c>
      <c r="L78">
        <v>57.309999999999995</v>
      </c>
      <c r="M78">
        <v>0.14542142016158499</v>
      </c>
      <c r="N78">
        <v>85.912000000000006</v>
      </c>
      <c r="O78">
        <v>0.2179976452437985</v>
      </c>
      <c r="P78">
        <v>49.837000000000003</v>
      </c>
      <c r="Q78">
        <v>0.12645903536194231</v>
      </c>
      <c r="R78">
        <v>54.477999999999994</v>
      </c>
      <c r="S78">
        <v>0.13823535382241892</v>
      </c>
      <c r="T78">
        <v>56.217000000000006</v>
      </c>
      <c r="U78">
        <v>124.613</v>
      </c>
      <c r="V78">
        <v>4.2689791113369981</v>
      </c>
      <c r="W78">
        <v>1.0832333013623581E-2</v>
      </c>
    </row>
    <row r="79" spans="1:23" x14ac:dyDescent="0.2">
      <c r="A79" t="s">
        <v>183</v>
      </c>
      <c r="B79">
        <v>2538.9832999999999</v>
      </c>
      <c r="C79">
        <v>360.28500000000003</v>
      </c>
      <c r="D79">
        <v>462.851</v>
      </c>
      <c r="E79">
        <v>534.75</v>
      </c>
      <c r="F79">
        <v>5.4855305487078994</v>
      </c>
      <c r="G79">
        <v>4.7479818606825619</v>
      </c>
      <c r="H79">
        <v>0.28468018374342524</v>
      </c>
      <c r="I79">
        <v>0.15533940728225715</v>
      </c>
      <c r="J79">
        <v>273.98900335693361</v>
      </c>
      <c r="K79">
        <v>0.59195940671389624</v>
      </c>
      <c r="L79">
        <v>69.265999999999991</v>
      </c>
      <c r="M79">
        <v>0.14965075153775187</v>
      </c>
      <c r="N79">
        <v>65.042000000000002</v>
      </c>
      <c r="O79">
        <v>0.14052470449453497</v>
      </c>
      <c r="P79">
        <v>79.686000000000007</v>
      </c>
      <c r="Q79">
        <v>0.17216339599568761</v>
      </c>
      <c r="R79">
        <v>85.867999999999995</v>
      </c>
      <c r="S79">
        <v>0.1855197460953957</v>
      </c>
      <c r="T79">
        <v>30.468</v>
      </c>
      <c r="U79">
        <v>137.69800000000001</v>
      </c>
      <c r="V79">
        <v>19.337490000000003</v>
      </c>
      <c r="W79">
        <v>4.177908225325213E-2</v>
      </c>
    </row>
    <row r="80" spans="1:23" x14ac:dyDescent="0.2">
      <c r="A80" t="s">
        <v>185</v>
      </c>
      <c r="B80">
        <v>2584.7898</v>
      </c>
      <c r="C80">
        <v>302.70400000000001</v>
      </c>
      <c r="D80">
        <v>554.70800000000008</v>
      </c>
      <c r="E80">
        <v>668.68299999999999</v>
      </c>
      <c r="F80">
        <v>4.6597305248887695</v>
      </c>
      <c r="G80">
        <v>3.8654935148642928</v>
      </c>
      <c r="H80">
        <v>0.83250964638723002</v>
      </c>
      <c r="I80">
        <v>0.20546846268667451</v>
      </c>
      <c r="J80">
        <v>403.28800524902346</v>
      </c>
      <c r="K80">
        <v>0.72702756269789404</v>
      </c>
      <c r="L80">
        <v>136.791</v>
      </c>
      <c r="M80">
        <v>0.24660001297980194</v>
      </c>
      <c r="N80">
        <v>303.31900000000002</v>
      </c>
      <c r="O80">
        <v>0.54680841091168686</v>
      </c>
      <c r="P80">
        <v>84.805000000000007</v>
      </c>
      <c r="Q80">
        <v>0.15288223714098229</v>
      </c>
      <c r="R80">
        <v>-104.10600000000001</v>
      </c>
      <c r="S80">
        <v>-0.18767712021459937</v>
      </c>
      <c r="T80">
        <v>53.064000000000007</v>
      </c>
      <c r="U80">
        <v>208.07599999999999</v>
      </c>
      <c r="V80">
        <v>-150.31100000000001</v>
      </c>
      <c r="W80">
        <v>-0.27097319670889908</v>
      </c>
    </row>
    <row r="81" spans="1:23" x14ac:dyDescent="0.2">
      <c r="A81" t="s">
        <v>187</v>
      </c>
      <c r="B81">
        <v>2961.8824</v>
      </c>
      <c r="C81">
        <v>124.371</v>
      </c>
      <c r="D81">
        <v>187.727</v>
      </c>
      <c r="E81">
        <v>294.17700000000002</v>
      </c>
      <c r="F81">
        <v>15.777604713227186</v>
      </c>
      <c r="G81">
        <v>10.068368363264293</v>
      </c>
      <c r="H81">
        <v>0.50941135795322068</v>
      </c>
      <c r="I81">
        <v>0.56704682863946054</v>
      </c>
      <c r="J81">
        <v>162.13900000000001</v>
      </c>
      <c r="K81">
        <v>0.86369568575644429</v>
      </c>
      <c r="L81">
        <v>57.672999999999995</v>
      </c>
      <c r="M81">
        <v>0.30721739547321375</v>
      </c>
      <c r="N81">
        <v>116.29900000000001</v>
      </c>
      <c r="O81">
        <v>0.61951131163870943</v>
      </c>
      <c r="P81">
        <v>28.927</v>
      </c>
      <c r="Q81">
        <v>0.15409078076142482</v>
      </c>
      <c r="R81">
        <v>-36.067999999999998</v>
      </c>
      <c r="S81">
        <v>-0.19213006120590004</v>
      </c>
      <c r="T81">
        <v>-9.0210000000000008</v>
      </c>
      <c r="U81">
        <v>27.209999999999997</v>
      </c>
      <c r="V81">
        <v>-41.021999999999998</v>
      </c>
      <c r="W81">
        <v>-0.21851944579096239</v>
      </c>
    </row>
    <row r="82" spans="1:23" x14ac:dyDescent="0.2">
      <c r="A82" t="s">
        <v>189</v>
      </c>
      <c r="B82">
        <v>2363.1176</v>
      </c>
      <c r="C82">
        <v>85.79</v>
      </c>
      <c r="D82">
        <v>162.35999999999999</v>
      </c>
      <c r="E82">
        <v>224.28800000000001</v>
      </c>
      <c r="F82">
        <v>14.554801675289482</v>
      </c>
      <c r="G82">
        <v>10.536085746896847</v>
      </c>
      <c r="H82">
        <v>0.89252826669774998</v>
      </c>
      <c r="I82">
        <v>0.3814239960581427</v>
      </c>
      <c r="J82">
        <v>140.40400271606444</v>
      </c>
      <c r="K82">
        <v>0.86476966442513215</v>
      </c>
      <c r="L82">
        <v>29.341999999999999</v>
      </c>
      <c r="M82">
        <v>0.1807218526730722</v>
      </c>
      <c r="N82">
        <v>66.42</v>
      </c>
      <c r="O82">
        <v>0.40909090909090912</v>
      </c>
      <c r="P82">
        <v>32.241</v>
      </c>
      <c r="Q82">
        <v>0.19857723577235775</v>
      </c>
      <c r="R82">
        <v>-13.546000000000001</v>
      </c>
      <c r="S82">
        <v>-8.3431879773343209E-2</v>
      </c>
      <c r="T82">
        <v>16.873000000000001</v>
      </c>
      <c r="U82">
        <v>119.71599999999999</v>
      </c>
      <c r="V82">
        <v>-19.666589999999999</v>
      </c>
      <c r="W82">
        <v>-0.12112952697708795</v>
      </c>
    </row>
    <row r="83" spans="1:23" x14ac:dyDescent="0.2">
      <c r="A83" t="s">
        <v>191</v>
      </c>
      <c r="B83">
        <v>2249.4695999999999</v>
      </c>
      <c r="C83">
        <v>595.12599999999998</v>
      </c>
      <c r="D83">
        <v>709.59799999999996</v>
      </c>
      <c r="E83">
        <v>761.19500000000005</v>
      </c>
      <c r="F83">
        <v>3.1700619223842232</v>
      </c>
      <c r="G83">
        <v>2.955181786533017</v>
      </c>
      <c r="H83">
        <v>0.19234918319817987</v>
      </c>
      <c r="I83">
        <v>7.2713000882189682E-2</v>
      </c>
      <c r="J83">
        <v>605.50099267578128</v>
      </c>
      <c r="K83">
        <v>0.85330143641298495</v>
      </c>
      <c r="L83">
        <v>94.164000000000001</v>
      </c>
      <c r="M83">
        <v>0.13270048675447227</v>
      </c>
      <c r="N83">
        <v>410.72699999999998</v>
      </c>
      <c r="O83">
        <v>0.57881645664164783</v>
      </c>
      <c r="P83">
        <v>87.575000000000003</v>
      </c>
      <c r="Q83">
        <v>0.12341494761822892</v>
      </c>
      <c r="R83">
        <v>20.122</v>
      </c>
      <c r="S83">
        <v>2.8356900667701995E-2</v>
      </c>
      <c r="T83">
        <v>88.67</v>
      </c>
      <c r="U83">
        <v>330.78399999999999</v>
      </c>
      <c r="V83">
        <v>-7.6881895614599998</v>
      </c>
      <c r="W83">
        <v>-1.0834570505356555E-2</v>
      </c>
    </row>
    <row r="84" spans="1:23" x14ac:dyDescent="0.2">
      <c r="A84" t="s">
        <v>193</v>
      </c>
      <c r="B84">
        <v>2665.1181000000001</v>
      </c>
      <c r="C84">
        <v>263.86500000000001</v>
      </c>
      <c r="D84">
        <v>325.887</v>
      </c>
      <c r="E84">
        <v>515.72500000000002</v>
      </c>
      <c r="F84">
        <v>8.1780436163455441</v>
      </c>
      <c r="G84">
        <v>5.1677116680401376</v>
      </c>
      <c r="H84">
        <v>0.23505201523506333</v>
      </c>
      <c r="I84">
        <v>0.58252707226738099</v>
      </c>
      <c r="J84">
        <v>236.179</v>
      </c>
      <c r="K84">
        <v>0.72472666906013439</v>
      </c>
      <c r="M84"/>
      <c r="N84">
        <v>2.198</v>
      </c>
      <c r="O84">
        <v>6.7446691644649833E-3</v>
      </c>
      <c r="P84">
        <v>14.875999999999999</v>
      </c>
      <c r="Q84">
        <v>4.5647724518007776E-2</v>
      </c>
      <c r="R84">
        <v>150.26899999999998</v>
      </c>
      <c r="S84">
        <v>0.46110768456550882</v>
      </c>
      <c r="T84">
        <v>156.25900000000001</v>
      </c>
      <c r="U84">
        <v>224.61399999999998</v>
      </c>
      <c r="V84">
        <v>138.66800000000001</v>
      </c>
      <c r="W84">
        <v>0.42550945573158794</v>
      </c>
    </row>
    <row r="85" spans="1:23" x14ac:dyDescent="0.2">
      <c r="A85" t="s">
        <v>195</v>
      </c>
      <c r="B85">
        <v>2121.9027000000001</v>
      </c>
      <c r="C85">
        <v>216.613</v>
      </c>
      <c r="D85">
        <v>294.68199999999996</v>
      </c>
      <c r="E85">
        <v>349.25299999999999</v>
      </c>
      <c r="F85">
        <v>7.2006525678528055</v>
      </c>
      <c r="G85">
        <v>6.0755460940922488</v>
      </c>
      <c r="H85">
        <v>0.36040773176125146</v>
      </c>
      <c r="I85">
        <v>0.1851860649785193</v>
      </c>
      <c r="J85">
        <v>249.10499847412109</v>
      </c>
      <c r="K85">
        <v>0.84533496607909919</v>
      </c>
      <c r="L85">
        <v>42.388999999999996</v>
      </c>
      <c r="M85">
        <v>0.14384658716854101</v>
      </c>
      <c r="N85">
        <v>126.739</v>
      </c>
      <c r="O85">
        <v>0.43008734839589802</v>
      </c>
      <c r="P85">
        <v>30.399000000000001</v>
      </c>
      <c r="Q85">
        <v>0.10315865916479461</v>
      </c>
      <c r="R85">
        <v>33.942999999999998</v>
      </c>
      <c r="S85">
        <v>0.11518518267148996</v>
      </c>
      <c r="T85">
        <v>115.262</v>
      </c>
      <c r="U85">
        <v>161.261</v>
      </c>
      <c r="V85">
        <v>27.055742028858003</v>
      </c>
      <c r="W85">
        <v>9.1813351439375343E-2</v>
      </c>
    </row>
    <row r="86" spans="1:23" x14ac:dyDescent="0.2">
      <c r="A86" t="s">
        <v>197</v>
      </c>
      <c r="B86">
        <v>2344.0949000000001</v>
      </c>
      <c r="C86">
        <v>313.24</v>
      </c>
      <c r="D86">
        <v>362.10199999999998</v>
      </c>
      <c r="E86">
        <v>403.58300000000003</v>
      </c>
      <c r="F86">
        <v>6.473576229902072</v>
      </c>
      <c r="G86">
        <v>5.8082102070701689</v>
      </c>
      <c r="H86">
        <v>0.15598901800536319</v>
      </c>
      <c r="I86">
        <v>0.11455611954642619</v>
      </c>
      <c r="J86">
        <v>250.68500076293947</v>
      </c>
      <c r="K86">
        <v>0.69230493276187233</v>
      </c>
      <c r="L86">
        <v>93.233999999999995</v>
      </c>
      <c r="M86">
        <v>0.25747993659245183</v>
      </c>
      <c r="N86">
        <v>79.957999999999998</v>
      </c>
      <c r="O86">
        <v>0.22081623409978404</v>
      </c>
      <c r="P86">
        <v>87.978999999999999</v>
      </c>
      <c r="Q86">
        <v>0.24296745116017035</v>
      </c>
      <c r="R86">
        <v>-3.4740000000000002</v>
      </c>
      <c r="S86">
        <v>-9.5939818062313938E-3</v>
      </c>
      <c r="T86">
        <v>32.57</v>
      </c>
      <c r="U86">
        <v>39.213000000000001</v>
      </c>
      <c r="V86">
        <v>-84.54</v>
      </c>
      <c r="W86">
        <v>-0.23347012720172772</v>
      </c>
    </row>
    <row r="87" spans="1:23" x14ac:dyDescent="0.2">
      <c r="A87" t="s">
        <v>199</v>
      </c>
      <c r="B87">
        <v>2777.4384</v>
      </c>
      <c r="C87">
        <v>578.16399999999999</v>
      </c>
      <c r="D87">
        <v>757.60300000000007</v>
      </c>
      <c r="E87">
        <v>863.7</v>
      </c>
      <c r="F87">
        <v>3.6660868555166752</v>
      </c>
      <c r="G87">
        <v>3.215744355679055</v>
      </c>
      <c r="H87">
        <v>0.31036003625268971</v>
      </c>
      <c r="I87">
        <v>0.14004300405357428</v>
      </c>
      <c r="J87">
        <v>512.96599737548831</v>
      </c>
      <c r="K87">
        <v>0.67709076835161464</v>
      </c>
      <c r="M87"/>
      <c r="O87"/>
      <c r="P87">
        <v>121.01</v>
      </c>
      <c r="Q87">
        <v>0.15972745620067502</v>
      </c>
      <c r="R87">
        <v>106.039</v>
      </c>
      <c r="S87">
        <v>0.13996644680657283</v>
      </c>
      <c r="T87">
        <v>99.716999999999999</v>
      </c>
      <c r="U87">
        <v>60.114999999999995</v>
      </c>
      <c r="V87">
        <v>32.882268060742</v>
      </c>
      <c r="W87">
        <v>4.3403033067110346E-2</v>
      </c>
    </row>
    <row r="88" spans="1:23" x14ac:dyDescent="0.2">
      <c r="A88" t="s">
        <v>201</v>
      </c>
      <c r="B88">
        <v>2499.6136000000001</v>
      </c>
      <c r="C88">
        <v>40.750999999999998</v>
      </c>
      <c r="D88">
        <v>111.253</v>
      </c>
      <c r="E88">
        <v>195.833</v>
      </c>
      <c r="F88">
        <v>22.467830979838748</v>
      </c>
      <c r="G88">
        <v>12.764006066393305</v>
      </c>
      <c r="H88">
        <v>1.7300679737920546</v>
      </c>
      <c r="I88">
        <v>0.76024916182035529</v>
      </c>
      <c r="J88">
        <v>89.570999999999998</v>
      </c>
      <c r="K88">
        <v>0.80511087341464949</v>
      </c>
      <c r="L88">
        <v>37.589999999999996</v>
      </c>
      <c r="M88">
        <v>0.3378785291183159</v>
      </c>
      <c r="N88">
        <v>72.924999999999997</v>
      </c>
      <c r="O88">
        <v>0.65548794189819592</v>
      </c>
      <c r="P88">
        <v>28.033999999999999</v>
      </c>
      <c r="Q88">
        <v>0.25198421615596883</v>
      </c>
      <c r="R88">
        <v>-44.902000000000001</v>
      </c>
      <c r="S88">
        <v>-0.40360259948046345</v>
      </c>
      <c r="T88">
        <v>-19.587</v>
      </c>
      <c r="U88">
        <v>58.157999999999994</v>
      </c>
      <c r="V88">
        <v>-49.106000000000002</v>
      </c>
      <c r="W88">
        <v>-0.44139034453003517</v>
      </c>
    </row>
    <row r="89" spans="1:23" x14ac:dyDescent="0.2">
      <c r="A89" t="s">
        <v>203</v>
      </c>
      <c r="B89">
        <v>2436.4575</v>
      </c>
      <c r="C89">
        <v>562.17899999999997</v>
      </c>
      <c r="D89">
        <v>777.6</v>
      </c>
      <c r="E89">
        <v>824</v>
      </c>
      <c r="F89">
        <v>3.1333043981481481</v>
      </c>
      <c r="G89">
        <v>2.9568658980582523</v>
      </c>
      <c r="H89">
        <v>0.38318934005005534</v>
      </c>
      <c r="I89">
        <v>5.967078189300401E-2</v>
      </c>
      <c r="J89">
        <v>266.30000152587888</v>
      </c>
      <c r="K89">
        <v>0.34246399373184011</v>
      </c>
      <c r="M89"/>
      <c r="N89">
        <v>41.767000000000003</v>
      </c>
      <c r="O89">
        <v>5.3712705761316877E-2</v>
      </c>
      <c r="P89">
        <v>117.626</v>
      </c>
      <c r="Q89">
        <v>0.15126800411522634</v>
      </c>
      <c r="R89">
        <v>119.85900000000001</v>
      </c>
      <c r="S89">
        <v>0.15413966049382716</v>
      </c>
      <c r="U89">
        <v>99.828999999999994</v>
      </c>
      <c r="V89">
        <v>92.1</v>
      </c>
      <c r="W89">
        <v>0.11844135802469134</v>
      </c>
    </row>
    <row r="90" spans="1:23" x14ac:dyDescent="0.2">
      <c r="A90" t="s">
        <v>205</v>
      </c>
      <c r="B90">
        <v>2399.3838999999998</v>
      </c>
      <c r="C90">
        <v>184.99299999999999</v>
      </c>
      <c r="D90">
        <v>259.76499999999999</v>
      </c>
      <c r="E90">
        <v>290.03199999999998</v>
      </c>
      <c r="F90">
        <v>9.2367482147325468</v>
      </c>
      <c r="G90">
        <v>8.2728247227892098</v>
      </c>
      <c r="H90">
        <v>0.40418826658305984</v>
      </c>
      <c r="I90">
        <v>0.11651685176986892</v>
      </c>
      <c r="J90">
        <v>189.24499960327148</v>
      </c>
      <c r="K90">
        <v>0.72852385657525642</v>
      </c>
      <c r="L90">
        <v>41.803999999999995</v>
      </c>
      <c r="M90">
        <v>0.16093007141069812</v>
      </c>
      <c r="N90">
        <v>33.128</v>
      </c>
      <c r="O90">
        <v>0.12753065270532982</v>
      </c>
      <c r="P90">
        <v>25.448</v>
      </c>
      <c r="Q90">
        <v>9.7965468789097843E-2</v>
      </c>
      <c r="R90">
        <v>83.233999999999995</v>
      </c>
      <c r="S90">
        <v>0.3204203799588089</v>
      </c>
      <c r="T90">
        <v>71.663000000000011</v>
      </c>
      <c r="U90">
        <v>35.144999999999996</v>
      </c>
      <c r="V90">
        <v>31.351610000000001</v>
      </c>
      <c r="W90">
        <v>0.12069220256770544</v>
      </c>
    </row>
    <row r="91" spans="1:23" x14ac:dyDescent="0.2">
      <c r="A91" t="s">
        <v>207</v>
      </c>
      <c r="B91">
        <v>2165.1192999999998</v>
      </c>
      <c r="C91">
        <v>123.123</v>
      </c>
      <c r="D91">
        <v>202.84200000000001</v>
      </c>
      <c r="E91">
        <v>246.78800000000001</v>
      </c>
      <c r="F91">
        <v>10.673920095443743</v>
      </c>
      <c r="G91">
        <v>8.7731952120848646</v>
      </c>
      <c r="H91">
        <v>0.64747447674276948</v>
      </c>
      <c r="I91">
        <v>0.21665138383569471</v>
      </c>
      <c r="J91">
        <v>157.49099987792968</v>
      </c>
      <c r="K91">
        <v>0.77642204217040689</v>
      </c>
      <c r="L91">
        <v>23.873999999999999</v>
      </c>
      <c r="M91">
        <v>0.11769751826544797</v>
      </c>
      <c r="N91">
        <v>109.77500000000001</v>
      </c>
      <c r="O91">
        <v>0.54118476449650466</v>
      </c>
      <c r="P91">
        <v>36.956000000000003</v>
      </c>
      <c r="Q91">
        <v>0.18219106496682147</v>
      </c>
      <c r="R91">
        <v>-13.472000000000001</v>
      </c>
      <c r="S91">
        <v>-6.6416225436546669E-2</v>
      </c>
      <c r="T91">
        <v>9.2060000000000013</v>
      </c>
      <c r="U91">
        <v>31.103999999999999</v>
      </c>
      <c r="V91">
        <v>-33.920332731689001</v>
      </c>
      <c r="W91">
        <v>-0.16722539085440391</v>
      </c>
    </row>
    <row r="92" spans="1:23" x14ac:dyDescent="0.2">
      <c r="A92" t="s">
        <v>211</v>
      </c>
      <c r="B92">
        <v>2527.3155999999999</v>
      </c>
      <c r="C92">
        <v>167.42599999999999</v>
      </c>
      <c r="D92">
        <v>213.15899999999999</v>
      </c>
      <c r="E92">
        <v>282.81</v>
      </c>
      <c r="F92">
        <v>11.85648084293884</v>
      </c>
      <c r="G92">
        <v>8.9364435486722531</v>
      </c>
      <c r="H92">
        <v>0.27315351259660992</v>
      </c>
      <c r="I92">
        <v>0.32675608348697449</v>
      </c>
      <c r="J92">
        <v>155.18199999999999</v>
      </c>
      <c r="K92">
        <v>0.72801054611815585</v>
      </c>
      <c r="L92">
        <v>41.263999999999996</v>
      </c>
      <c r="M92">
        <v>0.19358319376615576</v>
      </c>
      <c r="N92">
        <v>133.79400000000001</v>
      </c>
      <c r="O92">
        <v>0.62767230095843951</v>
      </c>
      <c r="P92">
        <v>34.286000000000001</v>
      </c>
      <c r="Q92">
        <v>0.16084706721273792</v>
      </c>
      <c r="R92">
        <v>-43.302999999999997</v>
      </c>
      <c r="S92">
        <v>-0.20314882317894153</v>
      </c>
      <c r="T92">
        <v>-17.495999999999999</v>
      </c>
      <c r="U92">
        <v>14.074999999999999</v>
      </c>
      <c r="V92">
        <v>-55.233550000000001</v>
      </c>
      <c r="W92">
        <v>-0.25911901444461649</v>
      </c>
    </row>
    <row r="93" spans="1:23" x14ac:dyDescent="0.2">
      <c r="A93" t="s">
        <v>213</v>
      </c>
      <c r="B93">
        <v>2086.6887999999999</v>
      </c>
      <c r="C93">
        <v>261.10599999999999</v>
      </c>
      <c r="D93">
        <v>375.99900000000002</v>
      </c>
      <c r="E93">
        <v>410.81200000000001</v>
      </c>
      <c r="F93">
        <v>5.5497190152101465</v>
      </c>
      <c r="G93">
        <v>5.0794251385061777</v>
      </c>
      <c r="H93">
        <v>0.44002435792360201</v>
      </c>
      <c r="I93">
        <v>9.2588012202160064E-2</v>
      </c>
      <c r="J93">
        <v>251.41600036621094</v>
      </c>
      <c r="K93">
        <v>0.66866135379671465</v>
      </c>
      <c r="L93">
        <v>72.754999999999995</v>
      </c>
      <c r="M93">
        <v>0.19349785504748682</v>
      </c>
      <c r="N93">
        <v>43.49</v>
      </c>
      <c r="O93">
        <v>0.11566520123723734</v>
      </c>
      <c r="P93">
        <v>55.396000000000001</v>
      </c>
      <c r="Q93">
        <v>0.14733017906962517</v>
      </c>
      <c r="R93">
        <v>78.801000000000002</v>
      </c>
      <c r="S93">
        <v>0.2095776850470347</v>
      </c>
      <c r="T93">
        <v>41.491</v>
      </c>
      <c r="U93">
        <v>96.328999999999994</v>
      </c>
      <c r="V93">
        <v>54.195191958732003</v>
      </c>
      <c r="W93">
        <v>0.14413653216825575</v>
      </c>
    </row>
    <row r="94" spans="1:23" x14ac:dyDescent="0.2">
      <c r="A94" t="s">
        <v>215</v>
      </c>
      <c r="B94">
        <v>1642.0148999999999</v>
      </c>
      <c r="C94">
        <v>166.048</v>
      </c>
      <c r="D94">
        <v>411.06400000000002</v>
      </c>
      <c r="E94">
        <v>487.03300000000002</v>
      </c>
      <c r="F94">
        <v>3.9945480509117797</v>
      </c>
      <c r="G94">
        <v>3.3714653832491841</v>
      </c>
      <c r="H94">
        <v>1.4755733281942571</v>
      </c>
      <c r="I94">
        <v>0.18481063775957018</v>
      </c>
      <c r="J94">
        <v>279.62800469970705</v>
      </c>
      <c r="K94">
        <v>0.68025418110004043</v>
      </c>
      <c r="L94">
        <v>215.69499999999999</v>
      </c>
      <c r="M94">
        <v>0.52472364400677263</v>
      </c>
      <c r="N94">
        <v>298.46699999999998</v>
      </c>
      <c r="O94">
        <v>0.72608401611427897</v>
      </c>
      <c r="P94">
        <v>85.539000000000001</v>
      </c>
      <c r="Q94">
        <v>0.20809168402000661</v>
      </c>
      <c r="R94">
        <v>-176.494</v>
      </c>
      <c r="S94">
        <v>-0.42935893194247121</v>
      </c>
      <c r="T94">
        <v>-42.265000000000001</v>
      </c>
      <c r="U94">
        <v>43.247</v>
      </c>
      <c r="V94">
        <v>-184.54894999999999</v>
      </c>
      <c r="W94">
        <v>-0.44895429908724671</v>
      </c>
    </row>
    <row r="95" spans="1:23" x14ac:dyDescent="0.2">
      <c r="A95" t="s">
        <v>217</v>
      </c>
      <c r="B95">
        <v>2066.1927000000001</v>
      </c>
      <c r="C95">
        <v>162.09</v>
      </c>
      <c r="D95">
        <v>225.50900000000001</v>
      </c>
      <c r="E95">
        <v>266.108</v>
      </c>
      <c r="F95">
        <v>9.1623513917404615</v>
      </c>
      <c r="G95">
        <v>7.7644892299367179</v>
      </c>
      <c r="H95">
        <v>0.39125794311802092</v>
      </c>
      <c r="I95">
        <v>0.18003272596659103</v>
      </c>
      <c r="J95">
        <v>133.13299966430662</v>
      </c>
      <c r="K95">
        <v>0.59036668010725346</v>
      </c>
      <c r="L95">
        <v>27.119999999999997</v>
      </c>
      <c r="M95">
        <v>0.12026127560319098</v>
      </c>
      <c r="N95">
        <v>66.569999999999993</v>
      </c>
      <c r="O95">
        <v>0.29519886124278849</v>
      </c>
      <c r="P95">
        <v>29.151</v>
      </c>
      <c r="Q95">
        <v>0.12926756803497863</v>
      </c>
      <c r="R95">
        <v>10.643000000000001</v>
      </c>
      <c r="S95">
        <v>4.7195455613744906E-2</v>
      </c>
      <c r="T95">
        <v>20.688000000000002</v>
      </c>
      <c r="U95">
        <v>68.947000000000003</v>
      </c>
      <c r="V95">
        <v>-2.3560000000000003</v>
      </c>
      <c r="W95">
        <v>-1.0447476597386358E-2</v>
      </c>
    </row>
    <row r="96" spans="1:23" x14ac:dyDescent="0.2">
      <c r="A96" t="s">
        <v>219</v>
      </c>
      <c r="B96">
        <v>2059.2656000000002</v>
      </c>
      <c r="C96">
        <v>150.22399999999999</v>
      </c>
      <c r="D96">
        <v>215.20100000000002</v>
      </c>
      <c r="E96">
        <v>265.75200000000001</v>
      </c>
      <c r="F96">
        <v>9.5690336011449766</v>
      </c>
      <c r="G96">
        <v>7.7488244679249831</v>
      </c>
      <c r="H96">
        <v>0.43253408243689451</v>
      </c>
      <c r="I96">
        <v>0.2349013248079701</v>
      </c>
      <c r="J96">
        <v>106.53599938964844</v>
      </c>
      <c r="K96">
        <v>0.49505345881129004</v>
      </c>
      <c r="L96">
        <v>40.338000000000001</v>
      </c>
      <c r="M96">
        <v>0.18744336689885269</v>
      </c>
      <c r="N96">
        <v>41.17</v>
      </c>
      <c r="O96">
        <v>0.19130951993717502</v>
      </c>
      <c r="P96">
        <v>37.179000000000002</v>
      </c>
      <c r="Q96">
        <v>0.17276406708147266</v>
      </c>
      <c r="R96">
        <v>-7.5960000000000001</v>
      </c>
      <c r="S96">
        <v>-3.5297233748913803E-2</v>
      </c>
      <c r="T96">
        <v>-8.8409999999999993</v>
      </c>
      <c r="U96">
        <v>57.960999999999999</v>
      </c>
      <c r="V96">
        <v>-24.3462</v>
      </c>
      <c r="W96">
        <v>-0.11313237392019553</v>
      </c>
    </row>
    <row r="97" spans="1:23" x14ac:dyDescent="0.2">
      <c r="A97" t="s">
        <v>221</v>
      </c>
      <c r="B97">
        <v>1943.9061999999999</v>
      </c>
      <c r="C97">
        <v>685.98800000000006</v>
      </c>
      <c r="D97">
        <v>807.30500000000006</v>
      </c>
      <c r="E97">
        <v>961.45699999999999</v>
      </c>
      <c r="F97">
        <v>2.4078956528201854</v>
      </c>
      <c r="G97">
        <v>2.0218337377542626</v>
      </c>
      <c r="H97">
        <v>0.17685003236208213</v>
      </c>
      <c r="I97">
        <v>0.19094642049782906</v>
      </c>
      <c r="J97">
        <v>275.29600018310543</v>
      </c>
      <c r="K97">
        <v>0.34100618747945993</v>
      </c>
      <c r="M97"/>
      <c r="N97">
        <v>53.383000000000003</v>
      </c>
      <c r="O97">
        <v>6.6124946581527427E-2</v>
      </c>
      <c r="P97">
        <v>102.56699999999999</v>
      </c>
      <c r="Q97">
        <v>0.1270486371321867</v>
      </c>
      <c r="R97">
        <v>101.57077215189899</v>
      </c>
      <c r="S97">
        <v>0.12581462043700831</v>
      </c>
      <c r="T97">
        <v>49.341999999999999</v>
      </c>
      <c r="U97">
        <v>86.795000000000002</v>
      </c>
      <c r="V97">
        <v>66.466239999999999</v>
      </c>
      <c r="W97">
        <v>8.233101492001163E-2</v>
      </c>
    </row>
    <row r="98" spans="1:23" x14ac:dyDescent="0.2">
      <c r="A98" t="s">
        <v>223</v>
      </c>
      <c r="B98">
        <v>1905.4384</v>
      </c>
      <c r="C98">
        <v>141.84100000000001</v>
      </c>
      <c r="D98">
        <v>282.14300000000003</v>
      </c>
      <c r="E98">
        <v>349.18299999999999</v>
      </c>
      <c r="F98">
        <v>6.7534491374941066</v>
      </c>
      <c r="G98">
        <v>5.4568475555797393</v>
      </c>
      <c r="H98">
        <v>0.98914982268878537</v>
      </c>
      <c r="I98">
        <v>0.23761000627341433</v>
      </c>
      <c r="J98">
        <v>206.71999600219726</v>
      </c>
      <c r="K98">
        <v>0.73267809586697963</v>
      </c>
      <c r="L98">
        <v>38.372999999999998</v>
      </c>
      <c r="M98">
        <v>0.13600550075670845</v>
      </c>
      <c r="N98">
        <v>121.246</v>
      </c>
      <c r="O98">
        <v>0.42973244064180216</v>
      </c>
      <c r="P98">
        <v>36.988999999999997</v>
      </c>
      <c r="Q98">
        <v>0.13110018678471552</v>
      </c>
      <c r="R98">
        <v>17.619</v>
      </c>
      <c r="S98">
        <v>6.2447056988831899E-2</v>
      </c>
      <c r="T98">
        <v>19.605</v>
      </c>
      <c r="U98">
        <v>78.338999999999999</v>
      </c>
      <c r="V98">
        <v>-11.200076829023001</v>
      </c>
      <c r="W98">
        <v>-3.9696454737572787E-2</v>
      </c>
    </row>
    <row r="99" spans="1:23" x14ac:dyDescent="0.2">
      <c r="A99" t="s">
        <v>225</v>
      </c>
      <c r="B99">
        <v>2014.3187</v>
      </c>
      <c r="C99">
        <v>105.586</v>
      </c>
      <c r="D99">
        <v>165.38</v>
      </c>
      <c r="E99">
        <v>205.85</v>
      </c>
      <c r="F99">
        <v>12.179941347200387</v>
      </c>
      <c r="G99">
        <v>9.7853713869322334</v>
      </c>
      <c r="H99">
        <v>0.56630613907146776</v>
      </c>
      <c r="I99">
        <v>0.24470915467408383</v>
      </c>
      <c r="J99">
        <v>102.44899972534179</v>
      </c>
      <c r="K99">
        <v>0.6194763558189732</v>
      </c>
      <c r="L99">
        <v>16.577999999999999</v>
      </c>
      <c r="M99">
        <v>0.10024186721489901</v>
      </c>
      <c r="N99">
        <v>28.709</v>
      </c>
      <c r="O99">
        <v>0.17359414681339944</v>
      </c>
      <c r="P99">
        <v>21.199000000000002</v>
      </c>
      <c r="Q99">
        <v>0.12818357721610837</v>
      </c>
      <c r="R99">
        <v>31.149000000000001</v>
      </c>
      <c r="S99">
        <v>0.18834804692223969</v>
      </c>
      <c r="T99">
        <v>30.143000000000001</v>
      </c>
      <c r="U99">
        <v>16.109000000000002</v>
      </c>
      <c r="V99">
        <v>18.071339999999999</v>
      </c>
      <c r="W99">
        <v>0.1092716168823316</v>
      </c>
    </row>
    <row r="100" spans="1:23" x14ac:dyDescent="0.2">
      <c r="A100" t="s">
        <v>227</v>
      </c>
      <c r="B100">
        <v>2202.7654000000002</v>
      </c>
      <c r="C100">
        <v>92.183999999999997</v>
      </c>
      <c r="D100">
        <v>167.92599999999999</v>
      </c>
      <c r="E100">
        <v>255.9</v>
      </c>
      <c r="F100">
        <v>13.117476745709421</v>
      </c>
      <c r="G100">
        <v>8.6079148104728418</v>
      </c>
      <c r="H100">
        <v>0.82163933003558087</v>
      </c>
      <c r="I100">
        <v>0.52388552100329933</v>
      </c>
      <c r="J100">
        <v>88.019999999999982</v>
      </c>
      <c r="K100">
        <v>0.52415945118683227</v>
      </c>
      <c r="L100">
        <v>38.638999999999996</v>
      </c>
      <c r="M100">
        <v>0.23009539916391744</v>
      </c>
      <c r="N100">
        <v>73.087000000000003</v>
      </c>
      <c r="O100">
        <v>0.43523337660636235</v>
      </c>
      <c r="P100">
        <v>22.571999999999999</v>
      </c>
      <c r="Q100">
        <v>0.13441635005895455</v>
      </c>
      <c r="R100">
        <v>-39.728000000000002</v>
      </c>
      <c r="S100">
        <v>-0.23658039850886703</v>
      </c>
      <c r="T100">
        <v>-29.518000000000001</v>
      </c>
      <c r="U100">
        <v>48.207999999999998</v>
      </c>
      <c r="V100">
        <v>-47.155000000000001</v>
      </c>
      <c r="W100">
        <v>-0.28080821314150284</v>
      </c>
    </row>
    <row r="101" spans="1:23" x14ac:dyDescent="0.2">
      <c r="A101" t="s">
        <v>229</v>
      </c>
      <c r="B101">
        <v>1544.9141</v>
      </c>
      <c r="C101">
        <v>264.45499999999998</v>
      </c>
      <c r="D101">
        <v>344.017</v>
      </c>
      <c r="E101">
        <v>369.76900000000001</v>
      </c>
      <c r="F101">
        <v>4.4908074310281174</v>
      </c>
      <c r="G101">
        <v>4.1780519729885413</v>
      </c>
      <c r="H101">
        <v>0.30085269705620998</v>
      </c>
      <c r="I101">
        <v>7.4856765799364622E-2</v>
      </c>
      <c r="J101">
        <v>274.43599694824218</v>
      </c>
      <c r="K101">
        <v>0.79773963771628198</v>
      </c>
      <c r="L101">
        <v>63.451999999999998</v>
      </c>
      <c r="M101">
        <v>0.1844443733885244</v>
      </c>
      <c r="N101">
        <v>152.178</v>
      </c>
      <c r="O101">
        <v>0.44235604635817416</v>
      </c>
      <c r="P101">
        <v>54.435000000000002</v>
      </c>
      <c r="Q101">
        <v>0.15823345939299513</v>
      </c>
      <c r="R101">
        <v>7.0558987341769992</v>
      </c>
      <c r="S101">
        <v>2.0510319938192006E-2</v>
      </c>
      <c r="T101">
        <v>76.452000000000012</v>
      </c>
      <c r="U101">
        <v>192.53799999999998</v>
      </c>
      <c r="V101">
        <v>-22.831899999999997</v>
      </c>
      <c r="W101">
        <v>-6.636852248580738E-2</v>
      </c>
    </row>
    <row r="102" spans="1:23" x14ac:dyDescent="0.2">
      <c r="A102" t="s">
        <v>237</v>
      </c>
      <c r="B102">
        <v>3979.5682000000002</v>
      </c>
      <c r="C102">
        <v>2351.3560000000002</v>
      </c>
      <c r="D102">
        <v>2524.2550000000001</v>
      </c>
      <c r="E102">
        <v>2627.6289999999999</v>
      </c>
      <c r="F102">
        <v>1.5765317687793032</v>
      </c>
      <c r="G102">
        <v>1.5145091639649282</v>
      </c>
      <c r="H102">
        <v>7.3531613247845018E-2</v>
      </c>
      <c r="I102">
        <v>4.0952280970028676E-2</v>
      </c>
      <c r="J102">
        <v>920.60099450683606</v>
      </c>
      <c r="K102">
        <v>0.36470205843182879</v>
      </c>
      <c r="M102"/>
      <c r="O102"/>
      <c r="Q102"/>
      <c r="R102">
        <v>545.98500000000001</v>
      </c>
      <c r="S102">
        <v>0.21629550104882431</v>
      </c>
      <c r="T102">
        <v>181.19699999999997</v>
      </c>
      <c r="U102">
        <v>122.039</v>
      </c>
      <c r="V102">
        <v>163.409500215957</v>
      </c>
      <c r="W102">
        <v>6.4735733995161734E-2</v>
      </c>
    </row>
    <row r="103" spans="1:23" x14ac:dyDescent="0.2">
      <c r="A103" t="s">
        <v>239</v>
      </c>
      <c r="B103">
        <v>2334.0005999999998</v>
      </c>
      <c r="C103">
        <v>389.50700000000001</v>
      </c>
      <c r="D103">
        <v>425.97399999999993</v>
      </c>
      <c r="E103">
        <v>456</v>
      </c>
      <c r="F103">
        <v>5.4792090597078698</v>
      </c>
      <c r="G103">
        <v>5.1184223684210526</v>
      </c>
      <c r="H103">
        <v>9.3623477883580858E-2</v>
      </c>
      <c r="I103">
        <v>7.048787015169955E-2</v>
      </c>
      <c r="J103">
        <v>215.97600213623048</v>
      </c>
      <c r="K103">
        <v>0.50701686519888656</v>
      </c>
      <c r="M103"/>
      <c r="O103"/>
      <c r="Q103"/>
      <c r="R103">
        <v>171.22300000000001</v>
      </c>
      <c r="S103">
        <v>0.40195645743636943</v>
      </c>
      <c r="T103">
        <v>153.16899999999998</v>
      </c>
      <c r="U103">
        <v>50.422999999999995</v>
      </c>
      <c r="V103">
        <v>66.721209999999999</v>
      </c>
      <c r="W103">
        <v>0.15663211839220237</v>
      </c>
    </row>
    <row r="104" spans="1:23" x14ac:dyDescent="0.2">
      <c r="A104" t="s">
        <v>241</v>
      </c>
      <c r="B104">
        <v>1637.1987999999999</v>
      </c>
      <c r="C104">
        <v>164.45599999999999</v>
      </c>
      <c r="D104">
        <v>242.52799999999999</v>
      </c>
      <c r="E104">
        <v>285.279</v>
      </c>
      <c r="F104">
        <v>6.7505558121124158</v>
      </c>
      <c r="G104">
        <v>5.7389390736787496</v>
      </c>
      <c r="H104">
        <v>0.47472880284088148</v>
      </c>
      <c r="I104">
        <v>0.1762724303997889</v>
      </c>
      <c r="J104">
        <v>218.322998046875</v>
      </c>
      <c r="K104">
        <v>0.90019708259201003</v>
      </c>
      <c r="L104">
        <v>47.369</v>
      </c>
      <c r="M104">
        <v>0.19531353080881383</v>
      </c>
      <c r="N104">
        <v>135.89599999999999</v>
      </c>
      <c r="O104">
        <v>0.56033117825570655</v>
      </c>
      <c r="P104">
        <v>26.823</v>
      </c>
      <c r="Q104">
        <v>0.11059753925319964</v>
      </c>
      <c r="R104">
        <v>-20.379999999999995</v>
      </c>
      <c r="S104">
        <v>-8.4031534503232599E-2</v>
      </c>
      <c r="T104">
        <v>16.852999999999998</v>
      </c>
      <c r="U104">
        <v>56.689</v>
      </c>
      <c r="V104">
        <v>-25.522279999999999</v>
      </c>
      <c r="W104">
        <v>-0.10523436469191186</v>
      </c>
    </row>
    <row r="105" spans="1:23" x14ac:dyDescent="0.2">
      <c r="A105" t="s">
        <v>243</v>
      </c>
      <c r="B105">
        <v>1797.1029000000001</v>
      </c>
      <c r="C105">
        <v>89.724000000000004</v>
      </c>
      <c r="D105">
        <v>198.54300000000001</v>
      </c>
      <c r="E105">
        <v>249.18700000000001</v>
      </c>
      <c r="F105">
        <v>9.0514543449026164</v>
      </c>
      <c r="G105">
        <v>7.2118645836259514</v>
      </c>
      <c r="H105">
        <v>1.2128193125585127</v>
      </c>
      <c r="I105">
        <v>0.25507824501493381</v>
      </c>
      <c r="J105">
        <v>147.79099822998046</v>
      </c>
      <c r="K105">
        <v>0.74437778330125193</v>
      </c>
      <c r="L105">
        <v>25.686999999999998</v>
      </c>
      <c r="M105">
        <v>0.12937751519821902</v>
      </c>
      <c r="N105">
        <v>126.98</v>
      </c>
      <c r="O105">
        <v>0.63955918868960371</v>
      </c>
      <c r="P105">
        <v>40.079000000000001</v>
      </c>
      <c r="Q105">
        <v>0.20186559082919064</v>
      </c>
      <c r="R105">
        <v>-68.009</v>
      </c>
      <c r="S105">
        <v>-0.34254040686400428</v>
      </c>
      <c r="T105">
        <v>-32.906999999999996</v>
      </c>
      <c r="U105">
        <v>34.366999999999997</v>
      </c>
      <c r="V105">
        <v>-73.292000000000002</v>
      </c>
      <c r="W105">
        <v>-0.36914925230302753</v>
      </c>
    </row>
    <row r="106" spans="1:23" x14ac:dyDescent="0.2">
      <c r="A106" t="s">
        <v>245</v>
      </c>
      <c r="B106">
        <v>1708.3059000000001</v>
      </c>
      <c r="C106">
        <v>105.98399999999999</v>
      </c>
      <c r="D106">
        <v>176.48500000000001</v>
      </c>
      <c r="E106">
        <v>232.17500000000001</v>
      </c>
      <c r="F106">
        <v>9.679609598549451</v>
      </c>
      <c r="G106">
        <v>7.357837407128244</v>
      </c>
      <c r="H106">
        <v>0.66520418176328522</v>
      </c>
      <c r="I106">
        <v>0.31555089667677128</v>
      </c>
      <c r="J106">
        <v>135.33699801635743</v>
      </c>
      <c r="K106">
        <v>0.76684702958527584</v>
      </c>
      <c r="L106">
        <v>26.834999999999997</v>
      </c>
      <c r="M106">
        <v>0.15205258237243957</v>
      </c>
      <c r="N106">
        <v>86.891999999999996</v>
      </c>
      <c r="O106">
        <v>0.49234779159701952</v>
      </c>
      <c r="P106">
        <v>29.446000000000002</v>
      </c>
      <c r="Q106">
        <v>0.16684704082499929</v>
      </c>
      <c r="R106">
        <v>-30.723999999999997</v>
      </c>
      <c r="S106">
        <v>-0.17408844944329543</v>
      </c>
      <c r="T106">
        <v>-5.52</v>
      </c>
      <c r="U106">
        <v>87.024000000000001</v>
      </c>
      <c r="V106">
        <v>-34.695</v>
      </c>
      <c r="W106">
        <v>-0.19658894523613904</v>
      </c>
    </row>
    <row r="107" spans="1:23" x14ac:dyDescent="0.2">
      <c r="A107" t="s">
        <v>247</v>
      </c>
      <c r="B107">
        <v>2277.1129999999998</v>
      </c>
      <c r="C107">
        <v>298.29399999999998</v>
      </c>
      <c r="D107">
        <v>430.33699999999999</v>
      </c>
      <c r="E107">
        <v>547.33299999999997</v>
      </c>
      <c r="F107">
        <v>5.291464596351231</v>
      </c>
      <c r="G107">
        <v>4.16037951302041</v>
      </c>
      <c r="H107">
        <v>0.44266059659262341</v>
      </c>
      <c r="I107">
        <v>0.27187065021134593</v>
      </c>
      <c r="J107">
        <v>273.81199511718751</v>
      </c>
      <c r="K107">
        <v>0.63627342087059102</v>
      </c>
      <c r="L107">
        <v>33.853999999999999</v>
      </c>
      <c r="M107">
        <v>7.8668578346737558E-2</v>
      </c>
      <c r="N107">
        <v>16.303000000000001</v>
      </c>
      <c r="O107">
        <v>3.7884262798690331E-2</v>
      </c>
      <c r="P107">
        <v>59.975999999999999</v>
      </c>
      <c r="Q107">
        <v>0.13936984270467098</v>
      </c>
      <c r="R107">
        <v>145.13300000000001</v>
      </c>
      <c r="S107">
        <v>0.33725429140417862</v>
      </c>
      <c r="T107">
        <v>94.004999999999995</v>
      </c>
      <c r="U107">
        <v>63.894999999999996</v>
      </c>
      <c r="V107">
        <v>106.145</v>
      </c>
      <c r="W107">
        <v>0.24665552810936545</v>
      </c>
    </row>
    <row r="108" spans="1:23" x14ac:dyDescent="0.2">
      <c r="A108" t="s">
        <v>249</v>
      </c>
      <c r="B108">
        <v>1683.934</v>
      </c>
      <c r="C108">
        <v>322.85599999999999</v>
      </c>
      <c r="D108">
        <v>472.71199999999999</v>
      </c>
      <c r="E108">
        <v>564.25700000000006</v>
      </c>
      <c r="F108">
        <v>3.5622831660715191</v>
      </c>
      <c r="G108">
        <v>2.9843386967286181</v>
      </c>
      <c r="H108">
        <v>0.46415739524741678</v>
      </c>
      <c r="I108">
        <v>0.19365914129533435</v>
      </c>
      <c r="J108">
        <v>176.87399850463868</v>
      </c>
      <c r="K108">
        <v>0.37416862382304378</v>
      </c>
      <c r="M108"/>
      <c r="O108"/>
      <c r="Q108"/>
      <c r="R108">
        <v>71.519571428570998</v>
      </c>
      <c r="S108">
        <v>0.15129628913285678</v>
      </c>
      <c r="U108">
        <v>52.524999999999999</v>
      </c>
      <c r="V108">
        <v>48.062889999999996</v>
      </c>
      <c r="W108">
        <v>0.10167478295452621</v>
      </c>
    </row>
    <row r="109" spans="1:23" x14ac:dyDescent="0.2">
      <c r="A109" t="s">
        <v>251</v>
      </c>
      <c r="B109">
        <v>1563.4879000000001</v>
      </c>
      <c r="C109">
        <v>115.95099999999999</v>
      </c>
      <c r="D109">
        <v>143.75199999999998</v>
      </c>
      <c r="E109">
        <v>169.75800000000001</v>
      </c>
      <c r="F109">
        <v>10.876286242974013</v>
      </c>
      <c r="G109">
        <v>9.2100984931490704</v>
      </c>
      <c r="H109">
        <v>0.23976507317746279</v>
      </c>
      <c r="I109">
        <v>0.18090878735600224</v>
      </c>
      <c r="J109">
        <v>101.70600183105469</v>
      </c>
      <c r="K109">
        <v>0.70751016911802767</v>
      </c>
      <c r="L109">
        <v>23.690999999999999</v>
      </c>
      <c r="M109">
        <v>0.16480466358728924</v>
      </c>
      <c r="N109">
        <v>29.28</v>
      </c>
      <c r="O109">
        <v>0.20368412265568483</v>
      </c>
      <c r="P109">
        <v>13.855</v>
      </c>
      <c r="Q109">
        <v>9.6381267738883655E-2</v>
      </c>
      <c r="R109">
        <v>35.331999999999994</v>
      </c>
      <c r="S109">
        <v>0.2457844064778229</v>
      </c>
      <c r="T109">
        <v>17.315999999999999</v>
      </c>
      <c r="U109">
        <v>158.398</v>
      </c>
      <c r="V109">
        <v>20.335000000000001</v>
      </c>
      <c r="W109">
        <v>0.14145890144137127</v>
      </c>
    </row>
    <row r="110" spans="1:23" x14ac:dyDescent="0.2">
      <c r="A110" t="s">
        <v>253</v>
      </c>
      <c r="B110">
        <v>1478.7066</v>
      </c>
      <c r="C110">
        <v>209.33600000000001</v>
      </c>
      <c r="D110">
        <v>310.62700000000001</v>
      </c>
      <c r="E110">
        <v>366.35300000000001</v>
      </c>
      <c r="F110">
        <v>4.7603930115540498</v>
      </c>
      <c r="G110">
        <v>4.0362890436273213</v>
      </c>
      <c r="H110">
        <v>0.48386803989758087</v>
      </c>
      <c r="I110">
        <v>0.17939844250499792</v>
      </c>
      <c r="J110">
        <v>234.64100097656251</v>
      </c>
      <c r="K110">
        <v>0.75537864054497039</v>
      </c>
      <c r="L110">
        <v>34.796999999999997</v>
      </c>
      <c r="M110">
        <v>0.11202181394405508</v>
      </c>
      <c r="N110">
        <v>184.04400000000001</v>
      </c>
      <c r="O110">
        <v>0.5924919598103191</v>
      </c>
      <c r="P110">
        <v>38.914999999999999</v>
      </c>
      <c r="Q110">
        <v>0.12527887144388608</v>
      </c>
      <c r="R110">
        <v>-13.42</v>
      </c>
      <c r="S110">
        <v>-4.3202941148065041E-2</v>
      </c>
      <c r="T110">
        <v>-20.387</v>
      </c>
      <c r="U110">
        <v>31.702999999999999</v>
      </c>
      <c r="V110">
        <v>42.356312490929</v>
      </c>
      <c r="W110">
        <v>0.13635747211584634</v>
      </c>
    </row>
    <row r="111" spans="1:23" x14ac:dyDescent="0.2">
      <c r="A111" t="s">
        <v>257</v>
      </c>
      <c r="B111">
        <v>1454.999</v>
      </c>
      <c r="C111">
        <v>139.02099999999999</v>
      </c>
      <c r="D111">
        <v>211.739</v>
      </c>
      <c r="E111">
        <v>279.25700000000001</v>
      </c>
      <c r="F111">
        <v>6.8716627546177129</v>
      </c>
      <c r="G111">
        <v>5.2102507725858258</v>
      </c>
      <c r="H111">
        <v>0.52307205386236633</v>
      </c>
      <c r="I111">
        <v>0.31887370772507673</v>
      </c>
      <c r="J111">
        <v>149.78799795532225</v>
      </c>
      <c r="K111">
        <v>0.70741808526214944</v>
      </c>
      <c r="L111">
        <v>35.809999999999995</v>
      </c>
      <c r="M111">
        <v>0.16912330746815651</v>
      </c>
      <c r="N111">
        <v>71.825000000000003</v>
      </c>
      <c r="O111">
        <v>0.33921478801732324</v>
      </c>
      <c r="P111">
        <v>37.470999999999997</v>
      </c>
      <c r="Q111">
        <v>0.176967870822097</v>
      </c>
      <c r="R111">
        <v>-11.435911392404998</v>
      </c>
      <c r="S111">
        <v>-5.4009471058260393E-2</v>
      </c>
      <c r="T111">
        <v>-8.91</v>
      </c>
      <c r="U111">
        <v>232.01899999999998</v>
      </c>
      <c r="V111">
        <v>-22.763379999999998</v>
      </c>
      <c r="W111">
        <v>-0.10750678901855586</v>
      </c>
    </row>
    <row r="112" spans="1:23" x14ac:dyDescent="0.2">
      <c r="A112" t="s">
        <v>259</v>
      </c>
      <c r="B112">
        <v>1346.6967</v>
      </c>
      <c r="C112">
        <v>79.929000000000002</v>
      </c>
      <c r="D112">
        <v>128.28899999999999</v>
      </c>
      <c r="E112">
        <v>156.166</v>
      </c>
      <c r="F112">
        <v>10.497366882585414</v>
      </c>
      <c r="G112">
        <v>8.6234948708425652</v>
      </c>
      <c r="H112">
        <v>0.605036970311151</v>
      </c>
      <c r="I112">
        <v>0.21729844335835513</v>
      </c>
      <c r="J112">
        <v>95.234000320434575</v>
      </c>
      <c r="K112">
        <v>0.74233956395664935</v>
      </c>
      <c r="L112">
        <v>29.642999999999997</v>
      </c>
      <c r="M112">
        <v>0.23106423777564716</v>
      </c>
      <c r="N112">
        <v>28.184999999999999</v>
      </c>
      <c r="O112">
        <v>0.21969927273577627</v>
      </c>
      <c r="P112">
        <v>30.100999999999999</v>
      </c>
      <c r="Q112">
        <v>0.23463430223947496</v>
      </c>
      <c r="R112">
        <v>4.5019999999999998</v>
      </c>
      <c r="S112">
        <v>3.5092642393346273E-2</v>
      </c>
      <c r="T112">
        <v>6.2230000000000008</v>
      </c>
      <c r="U112">
        <v>175.49599999999998</v>
      </c>
      <c r="V112">
        <v>-4.702</v>
      </c>
      <c r="W112">
        <v>-3.6651622508554908E-2</v>
      </c>
    </row>
    <row r="113" spans="1:23" x14ac:dyDescent="0.2">
      <c r="A113" t="s">
        <v>261</v>
      </c>
      <c r="B113">
        <v>1407.1201000000001</v>
      </c>
      <c r="C113">
        <v>307.983</v>
      </c>
      <c r="D113">
        <v>268.00934779214469</v>
      </c>
      <c r="E113">
        <v>275.88499999999999</v>
      </c>
      <c r="F113">
        <v>5.2502650060224596</v>
      </c>
      <c r="G113">
        <v>5.1003863928810924</v>
      </c>
      <c r="H113">
        <v>-0.12979174892073689</v>
      </c>
      <c r="I113">
        <v>2.9385737000350076E-2</v>
      </c>
      <c r="J113">
        <v>186.44702180226108</v>
      </c>
      <c r="K113">
        <v>0.69567357757558712</v>
      </c>
      <c r="L113">
        <v>34.081785163002429</v>
      </c>
      <c r="M113">
        <v>0.12716640461897114</v>
      </c>
      <c r="O113"/>
      <c r="Q113"/>
      <c r="R113">
        <v>92.270070899827459</v>
      </c>
      <c r="S113">
        <v>0.34427930092717413</v>
      </c>
      <c r="T113">
        <v>101.11699999999999</v>
      </c>
      <c r="U113">
        <v>120.60799999999999</v>
      </c>
      <c r="V113">
        <v>45.2449786771883</v>
      </c>
      <c r="W113">
        <v>0.16881865893826267</v>
      </c>
    </row>
    <row r="114" spans="1:23" x14ac:dyDescent="0.2">
      <c r="A114" t="s">
        <v>263</v>
      </c>
      <c r="B114">
        <v>1443.3649</v>
      </c>
      <c r="C114">
        <v>157.43700000000001</v>
      </c>
      <c r="D114">
        <v>221.20800000000003</v>
      </c>
      <c r="E114">
        <v>260.59699999999998</v>
      </c>
      <c r="F114">
        <v>6.524921793063541</v>
      </c>
      <c r="G114">
        <v>5.5386857868663117</v>
      </c>
      <c r="H114">
        <v>0.40505726099963801</v>
      </c>
      <c r="I114">
        <v>0.17806318035514068</v>
      </c>
      <c r="J114">
        <v>155.65399899291992</v>
      </c>
      <c r="K114">
        <v>0.70365447448971064</v>
      </c>
      <c r="L114">
        <v>50.937999999999995</v>
      </c>
      <c r="M114">
        <v>0.2302719612310585</v>
      </c>
      <c r="N114">
        <v>111.593</v>
      </c>
      <c r="O114">
        <v>0.50447090521138471</v>
      </c>
      <c r="P114">
        <v>30.292999999999999</v>
      </c>
      <c r="Q114">
        <v>0.13694351018046361</v>
      </c>
      <c r="R114">
        <v>-47.295392405064</v>
      </c>
      <c r="S114">
        <v>-0.21380507217218181</v>
      </c>
      <c r="T114">
        <v>-7.3879999999999981</v>
      </c>
      <c r="U114">
        <v>51.561999999999998</v>
      </c>
      <c r="V114">
        <v>-53.869</v>
      </c>
      <c r="W114">
        <v>-0.24352193410726553</v>
      </c>
    </row>
    <row r="115" spans="1:23" x14ac:dyDescent="0.2">
      <c r="A115" t="s">
        <v>265</v>
      </c>
      <c r="B115">
        <v>1409.3098</v>
      </c>
      <c r="C115">
        <v>132.923</v>
      </c>
      <c r="D115">
        <v>206.78900000000002</v>
      </c>
      <c r="E115">
        <v>220.108</v>
      </c>
      <c r="F115">
        <v>6.8152068050041343</v>
      </c>
      <c r="G115">
        <v>6.4028104385120033</v>
      </c>
      <c r="H115">
        <v>0.55570518269975855</v>
      </c>
      <c r="I115">
        <v>6.44086484290749E-2</v>
      </c>
      <c r="J115">
        <v>128.89599989318847</v>
      </c>
      <c r="K115">
        <v>0.62332135603532324</v>
      </c>
      <c r="L115">
        <v>34.835000000000001</v>
      </c>
      <c r="M115">
        <v>0.16845673609331249</v>
      </c>
      <c r="N115">
        <v>81.965999999999994</v>
      </c>
      <c r="O115">
        <v>0.3963750489629525</v>
      </c>
      <c r="P115">
        <v>27.15</v>
      </c>
      <c r="Q115">
        <v>0.13129325060810776</v>
      </c>
      <c r="R115">
        <v>-30.616</v>
      </c>
      <c r="S115">
        <v>-0.148054296892001</v>
      </c>
      <c r="T115">
        <v>-25.271000000000001</v>
      </c>
      <c r="U115">
        <v>73.757999999999996</v>
      </c>
      <c r="V115">
        <v>-33.673000000000002</v>
      </c>
      <c r="W115">
        <v>-0.16283748168422885</v>
      </c>
    </row>
    <row r="116" spans="1:23" x14ac:dyDescent="0.2">
      <c r="A116" t="s">
        <v>267</v>
      </c>
      <c r="B116">
        <v>1375.7365</v>
      </c>
      <c r="C116">
        <v>184.46100000000001</v>
      </c>
      <c r="D116">
        <v>309.411</v>
      </c>
      <c r="E116">
        <v>376.04599999999999</v>
      </c>
      <c r="F116">
        <v>4.4463076619771114</v>
      </c>
      <c r="G116">
        <v>3.6584260968073057</v>
      </c>
      <c r="H116">
        <v>0.67737895815375593</v>
      </c>
      <c r="I116">
        <v>0.21536079842022415</v>
      </c>
      <c r="J116">
        <v>220.4609998474121</v>
      </c>
      <c r="K116">
        <v>0.71251830040758768</v>
      </c>
      <c r="L116">
        <v>101.09399999999999</v>
      </c>
      <c r="M116">
        <v>0.32673046530343136</v>
      </c>
      <c r="N116">
        <v>200.18799999999999</v>
      </c>
      <c r="O116">
        <v>0.64699703630446226</v>
      </c>
      <c r="P116">
        <v>78.281999999999996</v>
      </c>
      <c r="Q116">
        <v>0.25300328689025275</v>
      </c>
      <c r="R116">
        <v>-163.124</v>
      </c>
      <c r="S116">
        <v>-0.52720814709237873</v>
      </c>
      <c r="T116">
        <v>19.364999999999998</v>
      </c>
      <c r="U116">
        <v>62.738999999999997</v>
      </c>
      <c r="V116">
        <v>-176.84800000000001</v>
      </c>
      <c r="W116">
        <v>-0.57156338979545007</v>
      </c>
    </row>
    <row r="117" spans="1:23" x14ac:dyDescent="0.2">
      <c r="A117" t="s">
        <v>269</v>
      </c>
      <c r="B117">
        <v>1455.3159000000001</v>
      </c>
      <c r="C117">
        <v>76.846000000000004</v>
      </c>
      <c r="D117">
        <v>122.828</v>
      </c>
      <c r="E117">
        <v>163.084</v>
      </c>
      <c r="F117">
        <v>11.848405086788029</v>
      </c>
      <c r="G117">
        <v>8.9237196782026444</v>
      </c>
      <c r="H117">
        <v>0.59836556229341797</v>
      </c>
      <c r="I117">
        <v>0.32774285993421692</v>
      </c>
      <c r="J117">
        <v>85.026000061035163</v>
      </c>
      <c r="K117">
        <v>0.69223629840944378</v>
      </c>
      <c r="L117">
        <v>22.241</v>
      </c>
      <c r="M117">
        <v>0.18107434786856416</v>
      </c>
      <c r="N117">
        <v>46.997999999999998</v>
      </c>
      <c r="O117">
        <v>0.38263262448301688</v>
      </c>
      <c r="P117">
        <v>22.895</v>
      </c>
      <c r="Q117">
        <v>0.18639886670791675</v>
      </c>
      <c r="R117">
        <v>-24.664999999999999</v>
      </c>
      <c r="S117">
        <v>-0.20080926173185265</v>
      </c>
      <c r="T117">
        <v>-5.0739999999999998</v>
      </c>
      <c r="U117">
        <v>102.75399999999999</v>
      </c>
      <c r="V117">
        <v>-39.188639999999999</v>
      </c>
      <c r="W117">
        <v>-0.3190529846614778</v>
      </c>
    </row>
    <row r="118" spans="1:23" x14ac:dyDescent="0.2">
      <c r="A118" t="s">
        <v>271</v>
      </c>
      <c r="B118">
        <v>1335.0657000000001</v>
      </c>
      <c r="C118">
        <v>193.29499999999999</v>
      </c>
      <c r="D118">
        <v>234.53299999999999</v>
      </c>
      <c r="E118">
        <v>255.227</v>
      </c>
      <c r="F118">
        <v>5.6924428545236712</v>
      </c>
      <c r="G118">
        <v>5.2308952422745243</v>
      </c>
      <c r="H118">
        <v>0.21334230062857293</v>
      </c>
      <c r="I118">
        <v>8.8234917900679388E-2</v>
      </c>
      <c r="J118">
        <v>156.26900183105468</v>
      </c>
      <c r="K118">
        <v>0.666298567071818</v>
      </c>
      <c r="L118">
        <v>23.183</v>
      </c>
      <c r="M118">
        <v>9.8847496940729029E-2</v>
      </c>
      <c r="N118">
        <v>73.295000000000002</v>
      </c>
      <c r="O118">
        <v>0.31251465678603868</v>
      </c>
      <c r="P118">
        <v>37.460999999999999</v>
      </c>
      <c r="Q118">
        <v>0.15972592343081785</v>
      </c>
      <c r="R118">
        <v>24.942</v>
      </c>
      <c r="S118">
        <v>0.10634750760020978</v>
      </c>
      <c r="T118">
        <v>34.721000000000004</v>
      </c>
      <c r="U118">
        <v>123.127</v>
      </c>
      <c r="V118">
        <v>10.046000000000001</v>
      </c>
      <c r="W118">
        <v>4.2834057467392654E-2</v>
      </c>
    </row>
    <row r="119" spans="1:23" x14ac:dyDescent="0.2">
      <c r="A119" t="s">
        <v>273</v>
      </c>
      <c r="B119">
        <v>2032.1335999999999</v>
      </c>
      <c r="C119">
        <v>649.09299999999996</v>
      </c>
      <c r="D119">
        <v>774.83100000000002</v>
      </c>
      <c r="E119">
        <v>685.5</v>
      </c>
      <c r="F119">
        <v>2.6226797843658809</v>
      </c>
      <c r="G119">
        <v>2.9644545587162652</v>
      </c>
      <c r="H119">
        <v>0.19371338159554957</v>
      </c>
      <c r="I119">
        <v>-0.11529094731625344</v>
      </c>
      <c r="J119">
        <v>572.46900695800787</v>
      </c>
      <c r="K119">
        <v>0.73883079917815353</v>
      </c>
      <c r="L119">
        <v>194.38200000000001</v>
      </c>
      <c r="M119">
        <v>0.25087018975750841</v>
      </c>
      <c r="O119"/>
      <c r="Q119"/>
      <c r="R119">
        <v>202.02800000000002</v>
      </c>
      <c r="S119">
        <v>0.26073814806067391</v>
      </c>
      <c r="T119">
        <v>162.07900000000001</v>
      </c>
      <c r="U119">
        <v>128.965</v>
      </c>
      <c r="V119">
        <v>-55.119129999999998</v>
      </c>
      <c r="W119">
        <v>-7.1136970513570055E-2</v>
      </c>
    </row>
    <row r="120" spans="1:23" x14ac:dyDescent="0.2">
      <c r="A120" t="s">
        <v>275</v>
      </c>
      <c r="B120">
        <v>719.44939999999997</v>
      </c>
      <c r="C120">
        <v>512.16099999999994</v>
      </c>
      <c r="D120">
        <v>506.92600000000004</v>
      </c>
      <c r="E120">
        <v>514</v>
      </c>
      <c r="F120">
        <v>1.4192394945218827</v>
      </c>
      <c r="G120">
        <v>1.3997070038910506</v>
      </c>
      <c r="H120">
        <v>-1.0221395225329341E-2</v>
      </c>
      <c r="I120">
        <v>1.3954699502491508E-2</v>
      </c>
      <c r="J120">
        <v>407.5589940185547</v>
      </c>
      <c r="K120">
        <v>0.803981239901987</v>
      </c>
      <c r="L120">
        <v>78.765999999999991</v>
      </c>
      <c r="M120">
        <v>0.15537968066344987</v>
      </c>
      <c r="N120">
        <v>174.61199999999999</v>
      </c>
      <c r="O120">
        <v>0.34445264200297476</v>
      </c>
      <c r="P120">
        <v>80.161000000000001</v>
      </c>
      <c r="Q120">
        <v>0.1581315616085977</v>
      </c>
      <c r="R120">
        <v>47.558000000000007</v>
      </c>
      <c r="S120">
        <v>9.3816454472644931E-2</v>
      </c>
      <c r="T120">
        <v>46.129999999999995</v>
      </c>
      <c r="U120">
        <v>420.24399999999997</v>
      </c>
      <c r="V120">
        <v>42.201000000000001</v>
      </c>
      <c r="W120">
        <v>8.3248837108374787E-2</v>
      </c>
    </row>
    <row r="121" spans="1:23" x14ac:dyDescent="0.2">
      <c r="A121" t="s">
        <v>277</v>
      </c>
      <c r="B121">
        <v>1403.5246</v>
      </c>
      <c r="C121">
        <v>405.34100000000001</v>
      </c>
      <c r="D121">
        <v>401.911</v>
      </c>
      <c r="E121">
        <v>396.25</v>
      </c>
      <c r="F121">
        <v>3.4921278591528968</v>
      </c>
      <c r="G121">
        <v>3.5420179179810725</v>
      </c>
      <c r="H121">
        <v>-8.4620109981472548E-3</v>
      </c>
      <c r="I121">
        <v>-1.4085207919166232E-2</v>
      </c>
      <c r="J121">
        <v>333.70999957275393</v>
      </c>
      <c r="K121">
        <v>0.83030820149922224</v>
      </c>
      <c r="L121">
        <v>76.988</v>
      </c>
      <c r="M121">
        <v>0.19155484671979617</v>
      </c>
      <c r="N121">
        <v>96.344999999999999</v>
      </c>
      <c r="O121">
        <v>0.23971725083413989</v>
      </c>
      <c r="P121">
        <v>45.738999999999997</v>
      </c>
      <c r="Q121">
        <v>0.11380380233434764</v>
      </c>
      <c r="R121">
        <v>142.37699999999998</v>
      </c>
      <c r="S121">
        <v>0.35425007028919331</v>
      </c>
      <c r="T121">
        <v>121.06</v>
      </c>
      <c r="U121">
        <v>133.464</v>
      </c>
      <c r="V121">
        <v>65.876939999999991</v>
      </c>
      <c r="W121">
        <v>0.16390927344611117</v>
      </c>
    </row>
    <row r="122" spans="1:23" x14ac:dyDescent="0.2">
      <c r="A122" t="s">
        <v>279</v>
      </c>
      <c r="B122">
        <v>1360.3652</v>
      </c>
      <c r="C122">
        <v>178.64599999999999</v>
      </c>
      <c r="D122">
        <v>225.61</v>
      </c>
      <c r="E122">
        <v>255.92000000000002</v>
      </c>
      <c r="F122">
        <v>6.0297203138158766</v>
      </c>
      <c r="G122">
        <v>5.3155876836511409</v>
      </c>
      <c r="H122">
        <v>0.26288861771324312</v>
      </c>
      <c r="I122">
        <v>0.13434688178715493</v>
      </c>
      <c r="J122">
        <v>161.06200064086914</v>
      </c>
      <c r="K122">
        <v>0.71389566349394595</v>
      </c>
      <c r="L122">
        <v>68.171999999999997</v>
      </c>
      <c r="M122">
        <v>0.30216745711626253</v>
      </c>
      <c r="N122">
        <v>84.161000000000001</v>
      </c>
      <c r="O122">
        <v>0.37303754266211603</v>
      </c>
      <c r="P122">
        <v>39.594000000000001</v>
      </c>
      <c r="Q122">
        <v>0.17549754000265946</v>
      </c>
      <c r="R122">
        <v>-48.74664556962</v>
      </c>
      <c r="S122">
        <v>-0.21606597921023002</v>
      </c>
      <c r="T122">
        <v>-0.20499999999999918</v>
      </c>
      <c r="U122">
        <v>60.332999999999998</v>
      </c>
      <c r="V122">
        <v>-53.88</v>
      </c>
      <c r="W122">
        <v>-0.23881920127653916</v>
      </c>
    </row>
    <row r="123" spans="1:23" x14ac:dyDescent="0.2">
      <c r="A123" t="s">
        <v>283</v>
      </c>
      <c r="B123">
        <v>2037.6169</v>
      </c>
      <c r="C123">
        <v>1265.364</v>
      </c>
      <c r="D123">
        <v>1442.086</v>
      </c>
      <c r="E123">
        <v>1299.5</v>
      </c>
      <c r="F123">
        <v>1.4129648994581461</v>
      </c>
      <c r="G123">
        <v>1.568000692574067</v>
      </c>
      <c r="H123">
        <v>0.13966099873238055</v>
      </c>
      <c r="I123">
        <v>-9.8874824386340321E-2</v>
      </c>
      <c r="J123">
        <v>493.43699993896485</v>
      </c>
      <c r="K123">
        <v>0.34216891360082885</v>
      </c>
      <c r="M123"/>
      <c r="O123"/>
      <c r="Q123"/>
      <c r="R123">
        <v>321.95100000000002</v>
      </c>
      <c r="S123">
        <v>0.22325367557829423</v>
      </c>
      <c r="T123">
        <v>132.11700000000002</v>
      </c>
      <c r="U123">
        <v>51.37</v>
      </c>
      <c r="V123">
        <v>65.558989999999994</v>
      </c>
      <c r="W123">
        <v>4.546122075937218E-2</v>
      </c>
    </row>
    <row r="124" spans="1:23" x14ac:dyDescent="0.2">
      <c r="A124" t="s">
        <v>285</v>
      </c>
      <c r="B124">
        <v>1236.1941999999999</v>
      </c>
      <c r="C124">
        <v>1460.037</v>
      </c>
      <c r="D124">
        <v>1637.712</v>
      </c>
      <c r="E124">
        <v>1656.5</v>
      </c>
      <c r="F124">
        <v>0.75483003116543079</v>
      </c>
      <c r="G124">
        <v>0.74626875943253845</v>
      </c>
      <c r="H124">
        <v>0.12169212150103043</v>
      </c>
      <c r="I124">
        <v>1.147210254305997E-2</v>
      </c>
      <c r="J124">
        <v>553.73400109863292</v>
      </c>
      <c r="K124">
        <v>0.33811439441039259</v>
      </c>
      <c r="M124"/>
      <c r="O124"/>
      <c r="P124">
        <v>376.863</v>
      </c>
      <c r="Q124">
        <v>0.23011555145227</v>
      </c>
      <c r="R124">
        <v>168.06400000000002</v>
      </c>
      <c r="S124">
        <v>0.10262121789423294</v>
      </c>
      <c r="T124">
        <v>53.613999999999997</v>
      </c>
      <c r="U124">
        <v>343.73399999999998</v>
      </c>
      <c r="V124">
        <v>71.187725335842003</v>
      </c>
      <c r="W124">
        <v>4.3467792466466634E-2</v>
      </c>
    </row>
    <row r="125" spans="1:23" x14ac:dyDescent="0.2">
      <c r="A125" t="s">
        <v>287</v>
      </c>
      <c r="B125">
        <v>1214.4014</v>
      </c>
      <c r="C125">
        <v>222.779</v>
      </c>
      <c r="D125">
        <v>233.78399999999999</v>
      </c>
      <c r="E125">
        <v>258.85399999999998</v>
      </c>
      <c r="F125">
        <v>5.194544536837423</v>
      </c>
      <c r="G125">
        <v>4.6914530971126585</v>
      </c>
      <c r="H125">
        <v>4.9398731478281145E-2</v>
      </c>
      <c r="I125">
        <v>0.10723573897272698</v>
      </c>
      <c r="J125">
        <v>174.50399725341796</v>
      </c>
      <c r="K125">
        <v>0.74643259270702</v>
      </c>
      <c r="L125">
        <v>40.033999999999999</v>
      </c>
      <c r="M125">
        <v>0.17124354104643602</v>
      </c>
      <c r="N125">
        <v>90.905000000000001</v>
      </c>
      <c r="O125">
        <v>0.38884183690928381</v>
      </c>
      <c r="P125">
        <v>43.124000000000002</v>
      </c>
      <c r="Q125">
        <v>0.18446086986277935</v>
      </c>
      <c r="R125">
        <v>9.7840000000000007</v>
      </c>
      <c r="S125">
        <v>4.1850597132395723E-2</v>
      </c>
      <c r="T125">
        <v>-19.381999999999998</v>
      </c>
      <c r="U125">
        <v>56.114999999999995</v>
      </c>
      <c r="V125">
        <v>-8.9980586626340013</v>
      </c>
      <c r="W125">
        <v>-3.8488770243618048E-2</v>
      </c>
    </row>
    <row r="126" spans="1:23" x14ac:dyDescent="0.2">
      <c r="A126" t="s">
        <v>289</v>
      </c>
      <c r="B126">
        <v>1444.5420999999999</v>
      </c>
      <c r="C126">
        <v>116.239</v>
      </c>
      <c r="D126">
        <v>162.01400000000001</v>
      </c>
      <c r="E126">
        <v>226.63</v>
      </c>
      <c r="F126">
        <v>8.9161560112089067</v>
      </c>
      <c r="G126">
        <v>6.3740109429466525</v>
      </c>
      <c r="H126">
        <v>0.39380070372250281</v>
      </c>
      <c r="I126">
        <v>0.39882973076400785</v>
      </c>
      <c r="J126">
        <v>126.376</v>
      </c>
      <c r="K126">
        <v>0.78003135531497281</v>
      </c>
      <c r="L126">
        <v>52.046999999999997</v>
      </c>
      <c r="M126">
        <v>0.3212500154307652</v>
      </c>
      <c r="N126">
        <v>107.19</v>
      </c>
      <c r="O126">
        <v>0.66160949053785467</v>
      </c>
      <c r="P126">
        <v>22.337</v>
      </c>
      <c r="Q126">
        <v>0.13787080128877749</v>
      </c>
      <c r="R126">
        <v>-48.109000000000002</v>
      </c>
      <c r="S126">
        <v>-0.29694347402076365</v>
      </c>
      <c r="T126">
        <v>-12.823</v>
      </c>
      <c r="U126">
        <v>36.073</v>
      </c>
      <c r="V126">
        <v>-55.826999999999998</v>
      </c>
      <c r="W126">
        <v>-0.34458133247744022</v>
      </c>
    </row>
    <row r="127" spans="1:23" x14ac:dyDescent="0.2">
      <c r="A127" t="s">
        <v>291</v>
      </c>
      <c r="B127">
        <v>1016.1319</v>
      </c>
      <c r="C127">
        <v>160.56899999999999</v>
      </c>
      <c r="D127">
        <v>212.47800000000001</v>
      </c>
      <c r="E127">
        <v>249.06300000000002</v>
      </c>
      <c r="F127">
        <v>4.7822922843776761</v>
      </c>
      <c r="G127">
        <v>4.0798187607151597</v>
      </c>
      <c r="H127">
        <v>0.32328157988154638</v>
      </c>
      <c r="I127">
        <v>0.17218253183859034</v>
      </c>
      <c r="J127">
        <v>147.23399932861327</v>
      </c>
      <c r="K127">
        <v>0.69293761861751924</v>
      </c>
      <c r="L127">
        <v>40.549999999999997</v>
      </c>
      <c r="M127">
        <v>0.19084328730503861</v>
      </c>
      <c r="N127">
        <v>87.948999999999998</v>
      </c>
      <c r="O127">
        <v>0.41392050000470637</v>
      </c>
      <c r="P127">
        <v>27.706</v>
      </c>
      <c r="Q127">
        <v>0.13039467615470776</v>
      </c>
      <c r="R127">
        <v>-14.339075949367</v>
      </c>
      <c r="S127">
        <v>-6.748499114904602E-2</v>
      </c>
      <c r="T127">
        <v>3.3149999999999999</v>
      </c>
      <c r="U127">
        <v>55.068999999999996</v>
      </c>
      <c r="V127">
        <v>-23.346969999999999</v>
      </c>
      <c r="W127">
        <v>-0.10987946987452818</v>
      </c>
    </row>
    <row r="128" spans="1:23" x14ac:dyDescent="0.2">
      <c r="A128" t="s">
        <v>293</v>
      </c>
      <c r="B128">
        <v>1118.7239</v>
      </c>
      <c r="C128">
        <v>339.52199999999999</v>
      </c>
      <c r="D128">
        <v>493.41899999999998</v>
      </c>
      <c r="E128">
        <v>540.76700000000005</v>
      </c>
      <c r="F128">
        <v>2.2672898692591894</v>
      </c>
      <c r="G128">
        <v>2.0687725027599684</v>
      </c>
      <c r="H128">
        <v>0.45327548730273737</v>
      </c>
      <c r="I128">
        <v>9.5959012522825571E-2</v>
      </c>
      <c r="J128">
        <v>254.20199630737304</v>
      </c>
      <c r="K128">
        <v>0.51518485568527572</v>
      </c>
      <c r="L128">
        <v>80.164000000000001</v>
      </c>
      <c r="M128">
        <v>0.162466382526818</v>
      </c>
      <c r="N128">
        <v>151.34100000000001</v>
      </c>
      <c r="O128">
        <v>0.3067190359511896</v>
      </c>
      <c r="P128">
        <v>92.725999999999999</v>
      </c>
      <c r="Q128">
        <v>0.18792547510330976</v>
      </c>
      <c r="R128">
        <v>-32.902000000000001</v>
      </c>
      <c r="S128">
        <v>-6.6681664062389165E-2</v>
      </c>
      <c r="T128">
        <v>9.2789999999999999</v>
      </c>
      <c r="U128">
        <v>101.539</v>
      </c>
      <c r="V128">
        <v>-51.781127336844001</v>
      </c>
      <c r="W128">
        <v>-0.10494352130105246</v>
      </c>
    </row>
    <row r="129" spans="1:23" x14ac:dyDescent="0.2">
      <c r="A129" t="s">
        <v>295</v>
      </c>
      <c r="B129">
        <v>1357.76</v>
      </c>
      <c r="C129">
        <v>760.95799999999997</v>
      </c>
      <c r="D129">
        <v>819.13599999999997</v>
      </c>
      <c r="E129">
        <v>876.5</v>
      </c>
      <c r="F129">
        <v>1.6575513712008751</v>
      </c>
      <c r="G129">
        <v>1.5490701654306902</v>
      </c>
      <c r="H129">
        <v>7.6453628189729256E-2</v>
      </c>
      <c r="I129">
        <v>7.0029885147277149E-2</v>
      </c>
      <c r="J129">
        <v>409.10499536132812</v>
      </c>
      <c r="K129">
        <v>0.49943476463167064</v>
      </c>
      <c r="L129">
        <v>113.19999999999999</v>
      </c>
      <c r="M129">
        <v>0.13819439018673332</v>
      </c>
      <c r="O129"/>
      <c r="Q129"/>
      <c r="R129">
        <v>168.92100000000002</v>
      </c>
      <c r="S129">
        <v>0.20621850339870307</v>
      </c>
      <c r="T129">
        <v>48.022999999999996</v>
      </c>
      <c r="U129">
        <v>122.24299999999999</v>
      </c>
      <c r="V129">
        <v>64.680810627462009</v>
      </c>
      <c r="W129">
        <v>7.8962236585209303E-2</v>
      </c>
    </row>
    <row r="130" spans="1:23" x14ac:dyDescent="0.2">
      <c r="A130" t="s">
        <v>297</v>
      </c>
      <c r="B130">
        <v>1386.7829999999999</v>
      </c>
      <c r="C130">
        <v>1275.258</v>
      </c>
      <c r="D130">
        <v>1510.7610000000002</v>
      </c>
      <c r="E130">
        <v>1523.8330000000001</v>
      </c>
      <c r="F130">
        <v>0.91793672195668252</v>
      </c>
      <c r="G130">
        <v>0.91006232310233459</v>
      </c>
      <c r="H130">
        <v>0.18467086660111143</v>
      </c>
      <c r="I130">
        <v>8.6525929647376376E-3</v>
      </c>
      <c r="J130">
        <v>364.96499401855471</v>
      </c>
      <c r="K130">
        <v>0.24157692316557991</v>
      </c>
      <c r="M130"/>
      <c r="O130"/>
      <c r="Q130"/>
      <c r="R130">
        <v>185.99944985394302</v>
      </c>
      <c r="S130">
        <v>0.12311639620955465</v>
      </c>
      <c r="T130">
        <v>89.751000000000005</v>
      </c>
      <c r="U130">
        <v>74.436999999999998</v>
      </c>
      <c r="V130">
        <v>69.219760000000008</v>
      </c>
      <c r="W130">
        <v>4.5817809699879732E-2</v>
      </c>
    </row>
    <row r="131" spans="1:23" x14ac:dyDescent="0.2">
      <c r="A131" t="s">
        <v>299</v>
      </c>
      <c r="B131">
        <v>949.03020000000004</v>
      </c>
      <c r="C131">
        <v>166.84100000000001</v>
      </c>
      <c r="D131">
        <v>257.60300000000001</v>
      </c>
      <c r="E131">
        <v>302.613</v>
      </c>
      <c r="F131">
        <v>3.6840805425402654</v>
      </c>
      <c r="G131">
        <v>3.1361184086605665</v>
      </c>
      <c r="H131">
        <v>0.54400297289035671</v>
      </c>
      <c r="I131">
        <v>0.17472622601444865</v>
      </c>
      <c r="J131">
        <v>194.42499871826172</v>
      </c>
      <c r="K131">
        <v>0.75474664005567371</v>
      </c>
      <c r="L131">
        <v>47.434999999999995</v>
      </c>
      <c r="M131">
        <v>0.18413993625850628</v>
      </c>
      <c r="N131">
        <v>151.09299999999999</v>
      </c>
      <c r="O131">
        <v>0.58653431831151026</v>
      </c>
      <c r="P131">
        <v>51.206000000000003</v>
      </c>
      <c r="Q131">
        <v>0.19877874093081216</v>
      </c>
      <c r="R131">
        <v>-82.965000000000003</v>
      </c>
      <c r="S131">
        <v>-0.32206534861783442</v>
      </c>
      <c r="T131">
        <v>-6.802999999999999</v>
      </c>
      <c r="U131">
        <v>63.009</v>
      </c>
      <c r="V131">
        <v>-92.112000000000009</v>
      </c>
      <c r="W131">
        <v>-0.35757347546418328</v>
      </c>
    </row>
    <row r="132" spans="1:23" x14ac:dyDescent="0.2">
      <c r="A132" t="s">
        <v>303</v>
      </c>
      <c r="B132">
        <v>1209.0925</v>
      </c>
      <c r="C132">
        <v>153.27600000000001</v>
      </c>
      <c r="D132">
        <v>183.61700000000002</v>
      </c>
      <c r="E132">
        <v>205.86799999999999</v>
      </c>
      <c r="F132">
        <v>6.5848614235065375</v>
      </c>
      <c r="G132">
        <v>5.8731444420696759</v>
      </c>
      <c r="H132">
        <v>0.19795010308202202</v>
      </c>
      <c r="I132">
        <v>0.12118158993992911</v>
      </c>
      <c r="J132">
        <v>109.50099978637695</v>
      </c>
      <c r="K132">
        <v>0.59635545611995044</v>
      </c>
      <c r="L132">
        <v>56.021000000000001</v>
      </c>
      <c r="M132">
        <v>0.30509702260683919</v>
      </c>
      <c r="N132">
        <v>68.116</v>
      </c>
      <c r="O132">
        <v>0.37096782977611004</v>
      </c>
      <c r="P132">
        <v>40.335999999999999</v>
      </c>
      <c r="Q132">
        <v>0.21967464886148882</v>
      </c>
      <c r="R132">
        <v>-44.247999999999998</v>
      </c>
      <c r="S132">
        <v>-0.24097986569870977</v>
      </c>
      <c r="T132">
        <v>-6.407</v>
      </c>
      <c r="U132">
        <v>160.505</v>
      </c>
      <c r="V132">
        <v>-63.304550127549</v>
      </c>
      <c r="W132">
        <v>-0.3447641020578105</v>
      </c>
    </row>
    <row r="133" spans="1:23" x14ac:dyDescent="0.2">
      <c r="A133" t="s">
        <v>305</v>
      </c>
      <c r="B133">
        <v>1011.2338999999999</v>
      </c>
      <c r="C133">
        <v>110.88</v>
      </c>
      <c r="D133">
        <v>184.83700000000002</v>
      </c>
      <c r="E133">
        <v>231.28900000000002</v>
      </c>
      <c r="F133">
        <v>5.4709495393238363</v>
      </c>
      <c r="G133">
        <v>4.3721659914652227</v>
      </c>
      <c r="H133">
        <v>0.66700036075036095</v>
      </c>
      <c r="I133">
        <v>0.25131331930295331</v>
      </c>
      <c r="J133">
        <v>130.4860018157959</v>
      </c>
      <c r="K133">
        <v>0.70595174026734853</v>
      </c>
      <c r="L133">
        <v>48.292999999999999</v>
      </c>
      <c r="M133">
        <v>0.26127344633379679</v>
      </c>
      <c r="N133">
        <v>83.715999999999994</v>
      </c>
      <c r="O133">
        <v>0.45291797637918807</v>
      </c>
      <c r="P133">
        <v>31.196000000000002</v>
      </c>
      <c r="Q133">
        <v>0.16877573213155375</v>
      </c>
      <c r="R133">
        <v>-40.238</v>
      </c>
      <c r="S133">
        <v>-0.21769450921622832</v>
      </c>
      <c r="T133">
        <v>-18.588999999999992</v>
      </c>
      <c r="U133">
        <v>35.692999999999998</v>
      </c>
      <c r="V133">
        <v>-49.079000000000001</v>
      </c>
      <c r="W133">
        <v>-0.2655258416875409</v>
      </c>
    </row>
    <row r="134" spans="1:23" x14ac:dyDescent="0.2">
      <c r="A134" t="s">
        <v>307</v>
      </c>
      <c r="B134">
        <v>1106.0070000000001</v>
      </c>
      <c r="C134">
        <v>233.33500000000001</v>
      </c>
      <c r="D134">
        <v>252.16</v>
      </c>
      <c r="E134">
        <v>269.78399999999999</v>
      </c>
      <c r="F134">
        <v>4.3861318210659901</v>
      </c>
      <c r="G134">
        <v>4.0996019037452189</v>
      </c>
      <c r="H134">
        <v>8.0677995157177398E-2</v>
      </c>
      <c r="I134">
        <v>6.989213197969546E-2</v>
      </c>
      <c r="J134">
        <v>126.30899749755859</v>
      </c>
      <c r="K134">
        <v>0.50090814362927738</v>
      </c>
      <c r="L134">
        <v>49.548999999999999</v>
      </c>
      <c r="M134">
        <v>0.19649825507614213</v>
      </c>
      <c r="N134">
        <v>69.28</v>
      </c>
      <c r="O134">
        <v>0.27474619289340102</v>
      </c>
      <c r="P134">
        <v>27.268000000000001</v>
      </c>
      <c r="Q134">
        <v>0.10813769035532995</v>
      </c>
      <c r="R134">
        <v>-11.269886075949</v>
      </c>
      <c r="S134">
        <v>-4.4693393384950028E-2</v>
      </c>
      <c r="T134">
        <v>-2.8339999999999996</v>
      </c>
      <c r="U134">
        <v>55.335000000000001</v>
      </c>
      <c r="V134">
        <v>-40.211799999999997</v>
      </c>
      <c r="W134">
        <v>-0.15946938451776649</v>
      </c>
    </row>
    <row r="135" spans="1:23" x14ac:dyDescent="0.2">
      <c r="A135" t="s">
        <v>309</v>
      </c>
      <c r="B135">
        <v>768.43140000000005</v>
      </c>
      <c r="C135">
        <v>317.91467</v>
      </c>
      <c r="D135">
        <v>347.22800000000001</v>
      </c>
      <c r="E135">
        <v>324.12</v>
      </c>
      <c r="F135">
        <v>2.2130456069211011</v>
      </c>
      <c r="G135">
        <v>2.370823768974454</v>
      </c>
      <c r="H135">
        <v>9.2205024700495908E-2</v>
      </c>
      <c r="I135">
        <v>-6.6549932609121343E-2</v>
      </c>
      <c r="J135">
        <v>141.53299899291994</v>
      </c>
      <c r="K135">
        <v>0.40760825449825455</v>
      </c>
      <c r="M135"/>
      <c r="O135"/>
      <c r="Q135"/>
      <c r="R135">
        <v>88.400999999999996</v>
      </c>
      <c r="S135">
        <v>0.25459064361169026</v>
      </c>
      <c r="T135">
        <v>53.626999999999995</v>
      </c>
      <c r="U135">
        <v>160.77699999999999</v>
      </c>
      <c r="V135">
        <v>57.685500000000005</v>
      </c>
      <c r="W135">
        <v>0.1661314755722465</v>
      </c>
    </row>
    <row r="136" spans="1:23" x14ac:dyDescent="0.2">
      <c r="A136" t="s">
        <v>313</v>
      </c>
      <c r="B136">
        <v>684.58810000000005</v>
      </c>
      <c r="C136">
        <v>277.85199999999998</v>
      </c>
      <c r="D136">
        <v>328.411</v>
      </c>
      <c r="E136">
        <v>339.733</v>
      </c>
      <c r="F136">
        <v>2.0845468026345038</v>
      </c>
      <c r="G136">
        <v>2.0150768397535712</v>
      </c>
      <c r="H136">
        <v>0.18196377927817697</v>
      </c>
      <c r="I136">
        <v>3.4475093708797866E-2</v>
      </c>
      <c r="J136">
        <v>169.04300082397461</v>
      </c>
      <c r="K136">
        <v>0.51473002068741491</v>
      </c>
      <c r="L136">
        <v>47.661000000000001</v>
      </c>
      <c r="M136">
        <v>0.14512607677574746</v>
      </c>
      <c r="N136">
        <v>75.367999999999995</v>
      </c>
      <c r="O136">
        <v>0.22949292197886184</v>
      </c>
      <c r="P136">
        <v>35.222000000000001</v>
      </c>
      <c r="Q136">
        <v>0.10724975716404141</v>
      </c>
      <c r="R136">
        <v>6.7769999999999992</v>
      </c>
      <c r="S136">
        <v>2.0635727792309023E-2</v>
      </c>
      <c r="T136">
        <v>18.332999999999998</v>
      </c>
      <c r="U136">
        <v>147.023</v>
      </c>
      <c r="V136">
        <v>-1.2028757999999999</v>
      </c>
      <c r="W136">
        <v>-3.6627147080944304E-3</v>
      </c>
    </row>
    <row r="137" spans="1:23" x14ac:dyDescent="0.2">
      <c r="A137" t="s">
        <v>315</v>
      </c>
      <c r="B137">
        <v>386.01310000000001</v>
      </c>
      <c r="C137">
        <v>17880</v>
      </c>
      <c r="D137">
        <v>421.69007902324608</v>
      </c>
      <c r="E137">
        <v>255.601</v>
      </c>
      <c r="F137">
        <v>0.91539526112190239</v>
      </c>
      <c r="G137">
        <v>1.5102174874120211</v>
      </c>
      <c r="H137">
        <v>-0.97641554367878935</v>
      </c>
      <c r="I137">
        <v>-0.39386527519915937</v>
      </c>
      <c r="J137">
        <v>218.75141071311592</v>
      </c>
      <c r="K137">
        <v>0.51874924641292552</v>
      </c>
      <c r="M137"/>
      <c r="O137"/>
      <c r="Q137"/>
      <c r="R137">
        <v>81.622901835776418</v>
      </c>
      <c r="S137">
        <v>0.19356135203568989</v>
      </c>
      <c r="T137">
        <v>12107</v>
      </c>
      <c r="U137">
        <v>18406</v>
      </c>
      <c r="V137">
        <v>54.138304797875108</v>
      </c>
      <c r="W137">
        <v>0.12838410835577349</v>
      </c>
    </row>
    <row r="138" spans="1:23" x14ac:dyDescent="0.2">
      <c r="A138" t="s">
        <v>317</v>
      </c>
      <c r="B138">
        <v>759.31349999999998</v>
      </c>
      <c r="C138">
        <v>203.441</v>
      </c>
      <c r="D138">
        <v>242.89300000000003</v>
      </c>
      <c r="E138">
        <v>247.21700000000001</v>
      </c>
      <c r="F138">
        <v>3.1261234370689972</v>
      </c>
      <c r="G138">
        <v>3.0714453294069579</v>
      </c>
      <c r="H138">
        <v>0.19392354540136958</v>
      </c>
      <c r="I138">
        <v>1.7802077457975241E-2</v>
      </c>
      <c r="J138">
        <v>197.1649987182617</v>
      </c>
      <c r="K138">
        <v>0.8117360266383209</v>
      </c>
      <c r="L138">
        <v>37.662999999999997</v>
      </c>
      <c r="M138">
        <v>0.15506004701658752</v>
      </c>
      <c r="N138">
        <v>91.507999999999996</v>
      </c>
      <c r="O138">
        <v>0.37674202220730935</v>
      </c>
      <c r="P138">
        <v>46.557000000000002</v>
      </c>
      <c r="Q138">
        <v>0.19167699357330181</v>
      </c>
      <c r="R138">
        <v>40.060203810127</v>
      </c>
      <c r="S138">
        <v>0.16492942904952795</v>
      </c>
      <c r="U138">
        <v>82.822000000000003</v>
      </c>
      <c r="V138">
        <v>15.346821010000001</v>
      </c>
      <c r="W138">
        <v>6.3183463541559445E-2</v>
      </c>
    </row>
    <row r="139" spans="1:23" x14ac:dyDescent="0.2">
      <c r="A139" t="s">
        <v>325</v>
      </c>
      <c r="B139">
        <v>599.29819999999995</v>
      </c>
      <c r="C139">
        <v>192.304</v>
      </c>
      <c r="D139">
        <v>200.61800000000002</v>
      </c>
      <c r="E139">
        <v>222.86700000000002</v>
      </c>
      <c r="F139">
        <v>2.9872603654706951</v>
      </c>
      <c r="G139">
        <v>2.6890396514513135</v>
      </c>
      <c r="H139">
        <v>4.3233630085697757E-2</v>
      </c>
      <c r="I139">
        <v>0.1109023118563639</v>
      </c>
      <c r="J139">
        <v>143.23199945068359</v>
      </c>
      <c r="K139">
        <v>0.71395387976494418</v>
      </c>
      <c r="L139">
        <v>23.119</v>
      </c>
      <c r="M139">
        <v>0.11523891176265338</v>
      </c>
      <c r="N139">
        <v>58.994</v>
      </c>
      <c r="O139">
        <v>0.29406135042717996</v>
      </c>
      <c r="P139">
        <v>37.4</v>
      </c>
      <c r="Q139">
        <v>0.18642394999451692</v>
      </c>
      <c r="R139">
        <v>18.504999999999999</v>
      </c>
      <c r="S139">
        <v>9.2239978466538378E-2</v>
      </c>
      <c r="T139">
        <v>-11.802</v>
      </c>
      <c r="U139">
        <v>78.661000000000001</v>
      </c>
      <c r="V139">
        <v>7.2605520712620004</v>
      </c>
      <c r="W139">
        <v>3.6190930381431376E-2</v>
      </c>
    </row>
    <row r="140" spans="1:23" x14ac:dyDescent="0.2">
      <c r="A140" t="s">
        <v>327</v>
      </c>
      <c r="B140">
        <v>2001.8032000000001</v>
      </c>
      <c r="C140">
        <v>789.92600000000004</v>
      </c>
      <c r="D140">
        <v>1528.231</v>
      </c>
      <c r="E140">
        <v>1645</v>
      </c>
      <c r="F140">
        <v>1.3098826028264052</v>
      </c>
      <c r="G140">
        <v>1.2169016413373861</v>
      </c>
      <c r="H140">
        <v>0.93465084071166149</v>
      </c>
      <c r="I140">
        <v>7.6407951415721875E-2</v>
      </c>
      <c r="J140">
        <v>375.46800091552734</v>
      </c>
      <c r="K140">
        <v>0.24568798886786575</v>
      </c>
      <c r="M140"/>
      <c r="O140"/>
      <c r="P140">
        <v>220.95500000000001</v>
      </c>
      <c r="Q140">
        <v>0.14458219994228622</v>
      </c>
      <c r="R140">
        <v>275.851</v>
      </c>
      <c r="S140">
        <v>0.18050347100667372</v>
      </c>
      <c r="T140">
        <v>6.2910000000000075</v>
      </c>
      <c r="U140">
        <v>39</v>
      </c>
      <c r="V140">
        <v>-52.607639999999996</v>
      </c>
      <c r="W140">
        <v>-3.4423879635997433E-2</v>
      </c>
    </row>
    <row r="141" spans="1:23" x14ac:dyDescent="0.2">
      <c r="A141" t="s">
        <v>329</v>
      </c>
      <c r="B141">
        <v>748.60599999999999</v>
      </c>
      <c r="C141">
        <v>70.322000000000003</v>
      </c>
      <c r="D141">
        <v>42.178586942867071</v>
      </c>
      <c r="E141">
        <v>103.099</v>
      </c>
      <c r="F141">
        <v>17.748484580908862</v>
      </c>
      <c r="G141">
        <v>7.2610403592663362</v>
      </c>
      <c r="H141">
        <v>-0.40020780206952206</v>
      </c>
      <c r="I141">
        <v>1.4443445708518534</v>
      </c>
      <c r="J141">
        <v>10.568609400887199</v>
      </c>
      <c r="K141">
        <v>0.25056812394409728</v>
      </c>
      <c r="L141">
        <v>10.614831048696628</v>
      </c>
      <c r="M141">
        <v>0.25166397971261883</v>
      </c>
      <c r="N141">
        <v>8.8403345824744104</v>
      </c>
      <c r="O141">
        <v>0.20959295280444246</v>
      </c>
      <c r="P141">
        <v>4.8045328849601585</v>
      </c>
      <c r="Q141">
        <v>0.11390928983628897</v>
      </c>
      <c r="R141">
        <v>-12.381475760643527</v>
      </c>
      <c r="S141">
        <v>-0.29354885163447586</v>
      </c>
      <c r="U141">
        <v>208.161</v>
      </c>
      <c r="V141">
        <v>-13.376278212695807</v>
      </c>
      <c r="W141">
        <v>-0.31713433716531614</v>
      </c>
    </row>
    <row r="142" spans="1:23" x14ac:dyDescent="0.2">
      <c r="A142" t="s">
        <v>331</v>
      </c>
      <c r="B142">
        <v>789.97940000000006</v>
      </c>
      <c r="C142">
        <v>74.766999999999996</v>
      </c>
      <c r="D142">
        <v>121.47999999999999</v>
      </c>
      <c r="E142">
        <v>163.429</v>
      </c>
      <c r="F142">
        <v>6.5029585116891679</v>
      </c>
      <c r="G142">
        <v>4.8337773589754578</v>
      </c>
      <c r="H142">
        <v>0.62478098626399348</v>
      </c>
      <c r="I142">
        <v>0.34531610141587099</v>
      </c>
      <c r="J142">
        <v>81.369998809814447</v>
      </c>
      <c r="K142">
        <v>0.66982218315619402</v>
      </c>
      <c r="L142">
        <v>15.253</v>
      </c>
      <c r="M142">
        <v>0.12555976292393811</v>
      </c>
      <c r="N142">
        <v>15.307</v>
      </c>
      <c r="O142">
        <v>0.12600428054000659</v>
      </c>
      <c r="P142">
        <v>23.291</v>
      </c>
      <c r="Q142">
        <v>0.19172703325650314</v>
      </c>
      <c r="R142">
        <v>25.582999999999998</v>
      </c>
      <c r="S142">
        <v>0.210594336516299</v>
      </c>
      <c r="T142">
        <v>5.1309999999999993</v>
      </c>
      <c r="U142">
        <v>22.326000000000001</v>
      </c>
      <c r="V142">
        <v>-2.0403708767979998</v>
      </c>
      <c r="W142">
        <v>-1.6795940704626276E-2</v>
      </c>
    </row>
    <row r="143" spans="1:23" x14ac:dyDescent="0.2">
      <c r="A143" t="s">
        <v>339</v>
      </c>
      <c r="B143">
        <v>471.51530000000002</v>
      </c>
      <c r="C143">
        <v>106.971</v>
      </c>
      <c r="D143">
        <v>155.49099999999999</v>
      </c>
      <c r="E143">
        <v>150.45000000000002</v>
      </c>
      <c r="F143">
        <v>3.0324282434353118</v>
      </c>
      <c r="G143">
        <v>3.1340332336324357</v>
      </c>
      <c r="H143">
        <v>0.45358087706013761</v>
      </c>
      <c r="I143">
        <v>-3.2419882822799839E-2</v>
      </c>
      <c r="J143">
        <v>91.647999832153317</v>
      </c>
      <c r="K143">
        <v>0.58941031848887282</v>
      </c>
      <c r="L143">
        <v>31.064</v>
      </c>
      <c r="M143">
        <v>0.19978005157854797</v>
      </c>
      <c r="N143">
        <v>41.338999999999999</v>
      </c>
      <c r="O143">
        <v>0.2658610466200616</v>
      </c>
      <c r="P143">
        <v>36.280999999999999</v>
      </c>
      <c r="Q143">
        <v>0.23333183271057489</v>
      </c>
      <c r="R143">
        <v>-12.936999999999999</v>
      </c>
      <c r="S143">
        <v>-8.3200956968570536E-2</v>
      </c>
      <c r="T143">
        <v>2.270999999999999</v>
      </c>
      <c r="U143">
        <v>56.704000000000001</v>
      </c>
      <c r="V143">
        <v>-30.891449999999999</v>
      </c>
      <c r="W143">
        <v>-0.19867034104867806</v>
      </c>
    </row>
    <row r="144" spans="1:23" x14ac:dyDescent="0.2">
      <c r="A144" t="s">
        <v>343</v>
      </c>
      <c r="B144">
        <v>343.18979999999999</v>
      </c>
      <c r="C144">
        <v>163.92599999999999</v>
      </c>
      <c r="D144">
        <v>181.369</v>
      </c>
      <c r="E144">
        <v>204.3</v>
      </c>
      <c r="F144">
        <v>1.8922186261158191</v>
      </c>
      <c r="G144">
        <v>1.6798325991189427</v>
      </c>
      <c r="H144">
        <v>0.10640776935934515</v>
      </c>
      <c r="I144">
        <v>0.12643285236175972</v>
      </c>
      <c r="J144">
        <v>150.5580012512207</v>
      </c>
      <c r="K144">
        <v>0.83011981789181555</v>
      </c>
      <c r="L144">
        <v>75.349999999999994</v>
      </c>
      <c r="M144">
        <v>0.41545137261604792</v>
      </c>
      <c r="N144">
        <v>96.477000000000004</v>
      </c>
      <c r="O144">
        <v>0.53193765196918985</v>
      </c>
      <c r="P144">
        <v>28.091000000000001</v>
      </c>
      <c r="Q144">
        <v>0.15488313879439156</v>
      </c>
      <c r="R144">
        <v>-47.040999999999997</v>
      </c>
      <c r="S144">
        <v>-0.25936626435609172</v>
      </c>
      <c r="T144">
        <v>14.708</v>
      </c>
      <c r="U144">
        <v>85.832999999999998</v>
      </c>
      <c r="V144">
        <v>-51.76737</v>
      </c>
      <c r="W144">
        <v>-0.28542567914031614</v>
      </c>
    </row>
    <row r="145" spans="1:23" x14ac:dyDescent="0.2">
      <c r="A145" t="s">
        <v>345</v>
      </c>
      <c r="B145">
        <v>1157.5277000000001</v>
      </c>
      <c r="D145">
        <v>108.524</v>
      </c>
      <c r="E145">
        <v>148.155</v>
      </c>
      <c r="F145">
        <v>10.66609874313516</v>
      </c>
      <c r="G145">
        <v>7.8129506260335466</v>
      </c>
      <c r="I145">
        <v>0.36518189524897715</v>
      </c>
      <c r="J145">
        <v>63.605000000000004</v>
      </c>
      <c r="K145">
        <v>0.58609155578489558</v>
      </c>
      <c r="L145">
        <v>78.260999999999996</v>
      </c>
      <c r="M145">
        <v>0.72114002432641622</v>
      </c>
      <c r="N145">
        <v>131.80199999999999</v>
      </c>
      <c r="O145">
        <v>1.2144963326084552</v>
      </c>
      <c r="P145">
        <v>29.323</v>
      </c>
      <c r="Q145">
        <v>0.27019829715086063</v>
      </c>
      <c r="R145">
        <v>-158.636</v>
      </c>
      <c r="S145">
        <v>-1.4617596107773396</v>
      </c>
      <c r="U145">
        <v>61.971999999999994</v>
      </c>
      <c r="V145">
        <v>-176.56200000000001</v>
      </c>
      <c r="W145">
        <v>-1.6269396631159929</v>
      </c>
    </row>
    <row r="146" spans="1:23" x14ac:dyDescent="0.2">
      <c r="A146" t="s">
        <v>351</v>
      </c>
      <c r="B146">
        <v>290.68</v>
      </c>
      <c r="C146">
        <v>227.297</v>
      </c>
      <c r="D146">
        <v>231.34999999999997</v>
      </c>
      <c r="E146">
        <v>233.3</v>
      </c>
      <c r="F146">
        <v>1.2564512643181329</v>
      </c>
      <c r="G146">
        <v>1.2459494213459066</v>
      </c>
      <c r="H146">
        <v>1.7831295617627901E-2</v>
      </c>
      <c r="I146">
        <v>8.4287875513293642E-3</v>
      </c>
      <c r="J146">
        <v>179.79799935913087</v>
      </c>
      <c r="K146">
        <v>0.77716878910365639</v>
      </c>
      <c r="L146">
        <v>62.991</v>
      </c>
      <c r="M146">
        <v>0.27227577263885894</v>
      </c>
      <c r="N146">
        <v>101.36</v>
      </c>
      <c r="O146">
        <v>0.43812405446293501</v>
      </c>
      <c r="P146">
        <v>28.132000000000001</v>
      </c>
      <c r="Q146">
        <v>0.1215993084071753</v>
      </c>
      <c r="R146">
        <v>-9.2555696202529987</v>
      </c>
      <c r="S146">
        <v>-4.0006784613153233E-2</v>
      </c>
      <c r="U146">
        <v>46.567</v>
      </c>
      <c r="V146">
        <v>-19.502000000000002</v>
      </c>
      <c r="W146">
        <v>-8.4296520423600627E-2</v>
      </c>
    </row>
    <row r="147" spans="1:23" x14ac:dyDescent="0.2">
      <c r="A147" t="s">
        <v>353</v>
      </c>
      <c r="B147">
        <v>388.22890000000001</v>
      </c>
      <c r="C147">
        <v>15.507</v>
      </c>
      <c r="D147">
        <v>29.199000000000002</v>
      </c>
      <c r="E147">
        <v>39.658999999999999</v>
      </c>
      <c r="F147">
        <v>13.295965615260796</v>
      </c>
      <c r="G147">
        <v>9.7891752187397572</v>
      </c>
      <c r="H147">
        <v>0.88295608434900386</v>
      </c>
      <c r="I147">
        <v>0.35823144628240677</v>
      </c>
      <c r="J147">
        <v>15.933999778747559</v>
      </c>
      <c r="K147">
        <v>0.54570361240958798</v>
      </c>
      <c r="L147">
        <v>4.1589999999999998</v>
      </c>
      <c r="M147">
        <v>0.14243638480769888</v>
      </c>
      <c r="N147">
        <v>6.1790000000000003</v>
      </c>
      <c r="O147">
        <v>0.2116168361930203</v>
      </c>
      <c r="P147">
        <v>5.5949999999999998</v>
      </c>
      <c r="Q147">
        <v>0.19161615123805609</v>
      </c>
      <c r="R147">
        <v>0.91400000000000003</v>
      </c>
      <c r="S147">
        <v>3.130244186444741E-2</v>
      </c>
      <c r="T147">
        <v>-10.175999999999998</v>
      </c>
      <c r="U147">
        <v>19.567</v>
      </c>
      <c r="V147">
        <v>-4.5880099999999997</v>
      </c>
      <c r="W147">
        <v>-0.15712901126750914</v>
      </c>
    </row>
    <row r="148" spans="1:23" x14ac:dyDescent="0.2">
      <c r="A148" t="s">
        <v>355</v>
      </c>
      <c r="B148">
        <v>374.9058</v>
      </c>
      <c r="C148">
        <v>201.64599999999999</v>
      </c>
      <c r="D148">
        <v>271.697</v>
      </c>
      <c r="E148">
        <v>301</v>
      </c>
      <c r="F148">
        <v>1.3798672786228776</v>
      </c>
      <c r="G148">
        <v>1.245534219269103</v>
      </c>
      <c r="H148">
        <v>0.3473959314838877</v>
      </c>
      <c r="I148">
        <v>0.10785176133707775</v>
      </c>
      <c r="J148">
        <v>87.58700073242187</v>
      </c>
      <c r="K148">
        <v>0.32237014296227734</v>
      </c>
      <c r="L148">
        <v>6.9419999999999993</v>
      </c>
      <c r="M148">
        <v>2.5550521352830539E-2</v>
      </c>
      <c r="N148">
        <v>27.244</v>
      </c>
      <c r="O148">
        <v>0.10027346639823038</v>
      </c>
      <c r="P148">
        <v>22.837</v>
      </c>
      <c r="Q148">
        <v>8.4053191606826727E-2</v>
      </c>
      <c r="R148">
        <v>41.933999999999997</v>
      </c>
      <c r="S148">
        <v>0.15434104903624257</v>
      </c>
      <c r="T148">
        <v>23.638000000000002</v>
      </c>
      <c r="U148">
        <v>76.075999999999993</v>
      </c>
      <c r="V148">
        <v>18.194142797403998</v>
      </c>
      <c r="W148">
        <v>6.6964827721336634E-2</v>
      </c>
    </row>
    <row r="149" spans="1:23" x14ac:dyDescent="0.2">
      <c r="A149" t="s">
        <v>361</v>
      </c>
      <c r="B149">
        <v>328.06920000000002</v>
      </c>
      <c r="C149">
        <v>120.366</v>
      </c>
      <c r="D149">
        <v>127.502</v>
      </c>
      <c r="E149">
        <v>144.80000000000001</v>
      </c>
      <c r="F149">
        <v>2.5730514031152456</v>
      </c>
      <c r="G149">
        <v>2.265671270718232</v>
      </c>
      <c r="H149">
        <v>5.9285844839904921E-2</v>
      </c>
      <c r="I149">
        <v>0.13566846010258682</v>
      </c>
      <c r="J149">
        <v>65.636000694274898</v>
      </c>
      <c r="K149">
        <v>0.51478408726353231</v>
      </c>
      <c r="L149">
        <v>27.936</v>
      </c>
      <c r="M149">
        <v>0.21910244545183605</v>
      </c>
      <c r="N149">
        <v>18.074999999999999</v>
      </c>
      <c r="O149">
        <v>0.14176248215714263</v>
      </c>
      <c r="P149">
        <v>24.027999999999999</v>
      </c>
      <c r="Q149">
        <v>0.18845194585182978</v>
      </c>
      <c r="R149">
        <v>6.6750000000000007</v>
      </c>
      <c r="S149">
        <v>5.2352119966745631E-2</v>
      </c>
      <c r="T149">
        <v>-4.2229999999999999</v>
      </c>
      <c r="U149">
        <v>39.942999999999998</v>
      </c>
      <c r="V149">
        <v>-5.3883799999999997</v>
      </c>
      <c r="W149">
        <v>-4.2261141001709773E-2</v>
      </c>
    </row>
    <row r="150" spans="1:23" x14ac:dyDescent="0.2">
      <c r="A150" t="s">
        <v>363</v>
      </c>
      <c r="B150">
        <v>265.0127</v>
      </c>
      <c r="C150">
        <v>113.889</v>
      </c>
      <c r="D150">
        <v>113.21600000000001</v>
      </c>
      <c r="E150">
        <v>120.10000000000001</v>
      </c>
      <c r="F150">
        <v>2.3407707391181458</v>
      </c>
      <c r="G150">
        <v>2.2066003330557868</v>
      </c>
      <c r="H150">
        <v>-5.9092625275486447E-3</v>
      </c>
      <c r="I150">
        <v>6.0804126625211952E-2</v>
      </c>
      <c r="J150">
        <v>61.229999687194827</v>
      </c>
      <c r="K150">
        <v>0.5408246156655846</v>
      </c>
      <c r="L150">
        <v>11.876999999999999</v>
      </c>
      <c r="M150">
        <v>0.1049056670435274</v>
      </c>
      <c r="N150">
        <v>20.658000000000001</v>
      </c>
      <c r="O150">
        <v>0.18246537591859807</v>
      </c>
      <c r="P150">
        <v>16.056999999999999</v>
      </c>
      <c r="Q150">
        <v>0.14182624364047483</v>
      </c>
      <c r="R150">
        <v>16.959000000000003</v>
      </c>
      <c r="S150">
        <v>0.14979331543244773</v>
      </c>
      <c r="T150">
        <v>8.9260000000000019</v>
      </c>
      <c r="U150">
        <v>52.793999999999997</v>
      </c>
      <c r="V150">
        <v>9.6010000000000009</v>
      </c>
      <c r="W150">
        <v>8.4802501413227815E-2</v>
      </c>
    </row>
    <row r="151" spans="1:23" x14ac:dyDescent="0.2">
      <c r="A151" t="s">
        <v>365</v>
      </c>
      <c r="B151">
        <v>304.52499999999998</v>
      </c>
      <c r="C151">
        <v>54.494</v>
      </c>
      <c r="D151">
        <v>72.800999999999988</v>
      </c>
      <c r="E151">
        <v>86.84</v>
      </c>
      <c r="F151">
        <v>4.1829782557931896</v>
      </c>
      <c r="G151">
        <v>3.5067365269461073</v>
      </c>
      <c r="H151">
        <v>0.33594524167798268</v>
      </c>
      <c r="I151">
        <v>0.19284075768190023</v>
      </c>
      <c r="J151">
        <v>62.064999832153319</v>
      </c>
      <c r="K151">
        <v>0.85252949591562377</v>
      </c>
      <c r="L151">
        <v>14.01</v>
      </c>
      <c r="M151">
        <v>0.1924424115053365</v>
      </c>
      <c r="N151">
        <v>35.893000000000001</v>
      </c>
      <c r="O151">
        <v>0.49302894191013868</v>
      </c>
      <c r="P151">
        <v>5.1959999999999997</v>
      </c>
      <c r="Q151">
        <v>7.137264598013765E-2</v>
      </c>
      <c r="R151">
        <v>3.6139999999999999</v>
      </c>
      <c r="S151">
        <v>4.9642175244845543E-2</v>
      </c>
      <c r="T151">
        <v>6.4489999999999998</v>
      </c>
      <c r="U151">
        <v>29.087</v>
      </c>
      <c r="V151">
        <v>-1.5870000000000002</v>
      </c>
      <c r="W151">
        <v>-2.1799151110561674E-2</v>
      </c>
    </row>
    <row r="152" spans="1:23" x14ac:dyDescent="0.2">
      <c r="A152" t="s">
        <v>367</v>
      </c>
      <c r="B152">
        <v>268.75810000000001</v>
      </c>
      <c r="C152">
        <v>113.2</v>
      </c>
      <c r="D152">
        <v>128.30699999999999</v>
      </c>
      <c r="E152">
        <v>134.50399999999999</v>
      </c>
      <c r="F152">
        <v>2.094648772085701</v>
      </c>
      <c r="G152">
        <v>1.9981420626895856</v>
      </c>
      <c r="H152">
        <v>0.13345406360424014</v>
      </c>
      <c r="I152">
        <v>4.8298222232614041E-2</v>
      </c>
      <c r="J152">
        <v>101.39099937438965</v>
      </c>
      <c r="K152">
        <v>0.79022188481056888</v>
      </c>
      <c r="L152">
        <v>21.867999999999999</v>
      </c>
      <c r="M152">
        <v>0.17043497237095404</v>
      </c>
      <c r="N152">
        <v>63.494999999999997</v>
      </c>
      <c r="O152">
        <v>0.49486777806355076</v>
      </c>
      <c r="P152">
        <v>27.8</v>
      </c>
      <c r="Q152">
        <v>0.21666783573772283</v>
      </c>
      <c r="R152">
        <v>-4.3410000000000002</v>
      </c>
      <c r="S152">
        <v>-3.383291636465665E-2</v>
      </c>
      <c r="T152">
        <v>-1.6390000000000005</v>
      </c>
      <c r="U152">
        <v>53.421999999999997</v>
      </c>
      <c r="V152">
        <v>-10.436999999999999</v>
      </c>
      <c r="W152">
        <v>-8.1343964086137158E-2</v>
      </c>
    </row>
    <row r="153" spans="1:23" x14ac:dyDescent="0.2">
      <c r="A153" t="s">
        <v>369</v>
      </c>
      <c r="B153">
        <v>305.15159999999997</v>
      </c>
      <c r="C153">
        <v>34.701000000000001</v>
      </c>
      <c r="D153">
        <v>55.426000000000002</v>
      </c>
      <c r="E153">
        <v>77.417000000000002</v>
      </c>
      <c r="F153">
        <v>5.505567784072456</v>
      </c>
      <c r="G153">
        <v>3.9416613922006789</v>
      </c>
      <c r="H153">
        <v>0.5972450361661048</v>
      </c>
      <c r="I153">
        <v>0.39676325190343875</v>
      </c>
      <c r="J153">
        <v>48.276000267028806</v>
      </c>
      <c r="K153">
        <v>0.87099917488234413</v>
      </c>
      <c r="L153">
        <v>10.43</v>
      </c>
      <c r="M153">
        <v>0.1881788330386461</v>
      </c>
      <c r="N153">
        <v>14.484</v>
      </c>
      <c r="O153">
        <v>0.2613214015083174</v>
      </c>
      <c r="P153">
        <v>11.31</v>
      </c>
      <c r="Q153">
        <v>0.20405585826146574</v>
      </c>
      <c r="R153">
        <v>6.4513846153849999</v>
      </c>
      <c r="S153">
        <v>0.11639635938702053</v>
      </c>
      <c r="T153">
        <v>4.0730000000000004</v>
      </c>
      <c r="U153">
        <v>9.0860000000000003</v>
      </c>
      <c r="V153">
        <v>2.9750000000000001</v>
      </c>
      <c r="W153">
        <v>5.3675170497600407E-2</v>
      </c>
    </row>
    <row r="154" spans="1:23" x14ac:dyDescent="0.2">
      <c r="A154" t="s">
        <v>371</v>
      </c>
      <c r="B154">
        <v>255.0078</v>
      </c>
      <c r="C154">
        <v>21.792999999999999</v>
      </c>
      <c r="D154">
        <v>24.585999999999999</v>
      </c>
      <c r="E154">
        <v>25.216999999999999</v>
      </c>
      <c r="F154">
        <v>10.372073537785733</v>
      </c>
      <c r="G154">
        <v>10.11253519451164</v>
      </c>
      <c r="H154">
        <v>0.12816041848299911</v>
      </c>
      <c r="I154">
        <v>2.5665012608801829E-2</v>
      </c>
      <c r="J154">
        <v>16.067000110626221</v>
      </c>
      <c r="K154">
        <v>0.6535019975037103</v>
      </c>
      <c r="L154">
        <v>15.434999999999999</v>
      </c>
      <c r="M154">
        <v>0.62779630684129173</v>
      </c>
      <c r="N154">
        <v>16.635999999999999</v>
      </c>
      <c r="O154">
        <v>0.67664524526153091</v>
      </c>
      <c r="P154">
        <v>9.68</v>
      </c>
      <c r="Q154">
        <v>0.39372000325388434</v>
      </c>
      <c r="R154">
        <v>-27.398</v>
      </c>
      <c r="S154">
        <v>-1.1143740340030912</v>
      </c>
      <c r="T154">
        <v>-21.484000000000002</v>
      </c>
      <c r="U154">
        <v>40.823</v>
      </c>
      <c r="V154">
        <v>-28.759999999999998</v>
      </c>
      <c r="W154">
        <v>-1.1697714146262099</v>
      </c>
    </row>
    <row r="155" spans="1:23" x14ac:dyDescent="0.2">
      <c r="A155" t="s">
        <v>383</v>
      </c>
      <c r="B155">
        <v>259.96980000000002</v>
      </c>
      <c r="C155">
        <v>73.161190000000005</v>
      </c>
      <c r="D155">
        <v>81.967006999999995</v>
      </c>
      <c r="E155">
        <v>89.275000000000006</v>
      </c>
      <c r="F155">
        <v>3.1716395354047759</v>
      </c>
      <c r="G155">
        <v>2.9120112013441615</v>
      </c>
      <c r="H155">
        <v>0.12036186125458033</v>
      </c>
      <c r="I155">
        <v>8.9157738796050046E-2</v>
      </c>
      <c r="J155">
        <v>44.329346749023436</v>
      </c>
      <c r="K155">
        <v>0.54081939028252479</v>
      </c>
      <c r="L155">
        <v>14.941393999999999</v>
      </c>
      <c r="M155">
        <v>0.18228546517503072</v>
      </c>
      <c r="N155">
        <v>22.526534999999999</v>
      </c>
      <c r="O155">
        <v>0.27482441807348168</v>
      </c>
      <c r="P155">
        <v>15.263297</v>
      </c>
      <c r="Q155">
        <v>0.18621269165043444</v>
      </c>
      <c r="R155">
        <v>-4.3256870000000003</v>
      </c>
      <c r="S155">
        <v>-5.2773514104278572E-2</v>
      </c>
      <c r="T155">
        <v>3.9441799999999998</v>
      </c>
      <c r="U155">
        <v>9.3606009999999991</v>
      </c>
      <c r="V155">
        <v>-10.418129</v>
      </c>
      <c r="W155">
        <v>-0.12710149340941534</v>
      </c>
    </row>
    <row r="156" spans="1:23" x14ac:dyDescent="0.2">
      <c r="A156" t="s">
        <v>385</v>
      </c>
      <c r="B156">
        <v>205.81890000000001</v>
      </c>
      <c r="C156">
        <v>88.798507999999998</v>
      </c>
      <c r="D156">
        <v>93.621832000000012</v>
      </c>
      <c r="E156">
        <v>97.92</v>
      </c>
      <c r="F156">
        <v>2.1984070980367059</v>
      </c>
      <c r="G156">
        <v>2.1019087009803923</v>
      </c>
      <c r="H156">
        <v>5.4317624345670466E-2</v>
      </c>
      <c r="I156">
        <v>4.5909889906875501E-2</v>
      </c>
      <c r="J156">
        <v>79.795185569702141</v>
      </c>
      <c r="K156">
        <v>0.85231386595492098</v>
      </c>
      <c r="L156">
        <v>20.054991999999999</v>
      </c>
      <c r="M156">
        <v>0.21421277037176539</v>
      </c>
      <c r="N156">
        <v>40.912472999999999</v>
      </c>
      <c r="O156">
        <v>0.43699714186323541</v>
      </c>
      <c r="P156">
        <v>12.358472000000001</v>
      </c>
      <c r="Q156">
        <v>0.13200416757493058</v>
      </c>
      <c r="R156">
        <v>18.034611999999999</v>
      </c>
      <c r="S156">
        <v>0.19263254750238168</v>
      </c>
      <c r="T156">
        <v>11.063756</v>
      </c>
      <c r="U156">
        <v>33.956987999999996</v>
      </c>
      <c r="V156">
        <v>5.1388267800000005</v>
      </c>
      <c r="W156">
        <v>5.4889192725901793E-2</v>
      </c>
    </row>
    <row r="157" spans="1:23" x14ac:dyDescent="0.2">
      <c r="A157" t="s">
        <v>391</v>
      </c>
      <c r="B157">
        <v>117.0865</v>
      </c>
      <c r="C157">
        <v>90.369</v>
      </c>
      <c r="D157">
        <v>88.789999999999992</v>
      </c>
      <c r="E157">
        <v>99.167000000000002</v>
      </c>
      <c r="F157">
        <v>1.3186901678116907</v>
      </c>
      <c r="G157">
        <v>1.1807002329403935</v>
      </c>
      <c r="H157">
        <v>-1.7472805940090159E-2</v>
      </c>
      <c r="I157">
        <v>0.11687126928708191</v>
      </c>
      <c r="J157">
        <v>60.490999809265134</v>
      </c>
      <c r="K157">
        <v>0.68128167371624215</v>
      </c>
      <c r="L157">
        <v>21.852</v>
      </c>
      <c r="M157">
        <v>0.24610879603558961</v>
      </c>
      <c r="N157">
        <v>38.316000000000003</v>
      </c>
      <c r="O157">
        <v>0.43153508277959235</v>
      </c>
      <c r="P157">
        <v>10.696</v>
      </c>
      <c r="Q157">
        <v>0.12046401621804258</v>
      </c>
      <c r="R157">
        <v>-8.6230000000000011</v>
      </c>
      <c r="S157">
        <v>-9.7116792431580154E-2</v>
      </c>
      <c r="T157">
        <v>-1.4709999999999999</v>
      </c>
      <c r="U157">
        <v>15.341999999999999</v>
      </c>
      <c r="V157">
        <v>-12.355</v>
      </c>
      <c r="W157">
        <v>-0.13914855276495103</v>
      </c>
    </row>
    <row r="158" spans="1:23" x14ac:dyDescent="0.2">
      <c r="A158" t="s">
        <v>393</v>
      </c>
      <c r="B158">
        <v>241.44040000000001</v>
      </c>
      <c r="C158">
        <v>307.2</v>
      </c>
      <c r="D158">
        <v>267.303</v>
      </c>
      <c r="E158">
        <v>263</v>
      </c>
      <c r="F158">
        <v>0.90324612892485312</v>
      </c>
      <c r="G158">
        <v>0.91802433460076049</v>
      </c>
      <c r="H158">
        <v>-0.12987304687499998</v>
      </c>
      <c r="I158">
        <v>-1.6097836537562249E-2</v>
      </c>
      <c r="J158">
        <v>24.043999839782714</v>
      </c>
      <c r="K158">
        <v>8.9950355363698553E-2</v>
      </c>
      <c r="M158"/>
      <c r="O158"/>
      <c r="Q158"/>
      <c r="R158">
        <v>2.218</v>
      </c>
      <c r="S158">
        <v>8.2976996142953875E-3</v>
      </c>
      <c r="T158">
        <v>-8.641</v>
      </c>
      <c r="U158">
        <v>1.456</v>
      </c>
      <c r="V158">
        <v>-11.090780000000002</v>
      </c>
      <c r="W158">
        <v>-4.149141610831155E-2</v>
      </c>
    </row>
    <row r="159" spans="1:23" x14ac:dyDescent="0.2">
      <c r="A159" t="s">
        <v>395</v>
      </c>
      <c r="B159">
        <v>198.11580000000001</v>
      </c>
      <c r="C159">
        <v>69.375</v>
      </c>
      <c r="D159">
        <v>61.307000000000002</v>
      </c>
      <c r="E159">
        <v>66.075000000000003</v>
      </c>
      <c r="F159">
        <v>3.2315363661572087</v>
      </c>
      <c r="G159">
        <v>2.9983473325766177</v>
      </c>
      <c r="H159">
        <v>-0.11629549549549546</v>
      </c>
      <c r="I159">
        <v>7.7772521897988778E-2</v>
      </c>
      <c r="J159">
        <v>38.971000602722171</v>
      </c>
      <c r="K159">
        <v>0.63566967234935934</v>
      </c>
      <c r="L159">
        <v>14.710999999999999</v>
      </c>
      <c r="M159">
        <v>0.23995628557913448</v>
      </c>
      <c r="N159">
        <v>17.681000000000001</v>
      </c>
      <c r="O159">
        <v>0.28840099825468546</v>
      </c>
      <c r="P159">
        <v>7.5670000000000002</v>
      </c>
      <c r="Q159">
        <v>0.12342799354070498</v>
      </c>
      <c r="R159">
        <v>1.6520000000000001</v>
      </c>
      <c r="S159">
        <v>2.6946351966333371E-2</v>
      </c>
      <c r="T159">
        <v>3.7540000000000004</v>
      </c>
      <c r="U159">
        <v>11.497999999999999</v>
      </c>
      <c r="V159">
        <v>-1.9897</v>
      </c>
      <c r="W159">
        <v>-3.2454695222405273E-2</v>
      </c>
    </row>
    <row r="160" spans="1:23" x14ac:dyDescent="0.2">
      <c r="A160" t="s">
        <v>397</v>
      </c>
      <c r="B160">
        <v>128.17080000000001</v>
      </c>
      <c r="C160">
        <v>183.346</v>
      </c>
      <c r="D160">
        <v>106.17999999999999</v>
      </c>
      <c r="E160">
        <v>222.333</v>
      </c>
      <c r="F160">
        <v>1.2071086833678661</v>
      </c>
      <c r="G160">
        <v>0.57648122410978131</v>
      </c>
      <c r="H160">
        <v>-0.4208763758140347</v>
      </c>
      <c r="I160">
        <v>1.0939254096816726</v>
      </c>
      <c r="J160">
        <v>43.949999134063717</v>
      </c>
      <c r="K160">
        <v>0.41391975074461967</v>
      </c>
      <c r="L160">
        <v>87.488</v>
      </c>
      <c r="M160">
        <v>0.82395931437182146</v>
      </c>
      <c r="N160">
        <v>20.748000000000001</v>
      </c>
      <c r="O160">
        <v>0.19540403089093994</v>
      </c>
      <c r="P160">
        <v>21.562000000000001</v>
      </c>
      <c r="Q160">
        <v>0.20307025805236392</v>
      </c>
      <c r="R160">
        <v>-82.265000000000001</v>
      </c>
      <c r="S160">
        <v>-0.77476925974759847</v>
      </c>
      <c r="T160">
        <v>-7.963000000000001</v>
      </c>
      <c r="U160">
        <v>17.117000000000001</v>
      </c>
      <c r="V160">
        <v>-86.175290000000004</v>
      </c>
      <c r="W160">
        <v>-0.81159625164814475</v>
      </c>
    </row>
    <row r="161" spans="1:23" x14ac:dyDescent="0.2">
      <c r="A161" t="s">
        <v>399</v>
      </c>
      <c r="B161">
        <v>194.5496</v>
      </c>
      <c r="C161">
        <v>400.25900000000001</v>
      </c>
      <c r="D161">
        <v>77.324254925706967</v>
      </c>
      <c r="E161">
        <v>93.373000000000005</v>
      </c>
      <c r="F161">
        <v>2.5160229501974896</v>
      </c>
      <c r="G161">
        <v>2.0835744808456407</v>
      </c>
      <c r="H161">
        <v>-0.80681445032914445</v>
      </c>
      <c r="I161">
        <v>0.20755124106546718</v>
      </c>
      <c r="J161">
        <v>65.752319670119391</v>
      </c>
      <c r="K161">
        <v>0.8503453377377399</v>
      </c>
      <c r="L161">
        <v>23.226824863907463</v>
      </c>
      <c r="M161">
        <v>0.30038213606097808</v>
      </c>
      <c r="N161">
        <v>21.908126817776814</v>
      </c>
      <c r="O161">
        <v>0.28332800411495862</v>
      </c>
      <c r="P161">
        <v>12.618812398265399</v>
      </c>
      <c r="Q161">
        <v>0.16319345605579436</v>
      </c>
      <c r="R161">
        <v>-10.102160110826825</v>
      </c>
      <c r="S161">
        <v>-0.13064671777998982</v>
      </c>
      <c r="U161">
        <v>524.45399999999995</v>
      </c>
      <c r="V161">
        <v>-21.599914824453627</v>
      </c>
      <c r="W161">
        <v>-0.27934203627576876</v>
      </c>
    </row>
    <row r="162" spans="1:23" x14ac:dyDescent="0.2">
      <c r="A162" t="s">
        <v>401</v>
      </c>
      <c r="B162">
        <v>796.41120000000001</v>
      </c>
      <c r="C162">
        <v>124.65427</v>
      </c>
      <c r="D162">
        <v>226.47071799999998</v>
      </c>
      <c r="E162">
        <v>566</v>
      </c>
      <c r="F162">
        <v>3.5166188681399424</v>
      </c>
      <c r="G162">
        <v>1.4070869257950531</v>
      </c>
      <c r="H162">
        <v>0.81679069637967461</v>
      </c>
      <c r="I162">
        <v>1.4992193472005511</v>
      </c>
      <c r="J162">
        <v>104.50188414001465</v>
      </c>
      <c r="K162">
        <v>0.46143662661066259</v>
      </c>
      <c r="M162"/>
      <c r="O162"/>
      <c r="Q162"/>
      <c r="R162">
        <v>45.785221999999997</v>
      </c>
      <c r="S162">
        <v>0.20216839688740687</v>
      </c>
      <c r="U162">
        <v>2.5303879999999999</v>
      </c>
      <c r="V162">
        <v>-20.271996980000001</v>
      </c>
      <c r="W162">
        <v>-8.9512662648069161E-2</v>
      </c>
    </row>
    <row r="163" spans="1:23" x14ac:dyDescent="0.2">
      <c r="A163" t="s">
        <v>403</v>
      </c>
      <c r="B163">
        <v>200.29679999999999</v>
      </c>
      <c r="C163">
        <v>140.84399999999999</v>
      </c>
      <c r="D163">
        <v>168.36399999999998</v>
      </c>
      <c r="E163">
        <v>181.1</v>
      </c>
      <c r="F163">
        <v>1.1896652491031339</v>
      </c>
      <c r="G163">
        <v>1.1060011043622309</v>
      </c>
      <c r="H163">
        <v>0.19539348499048581</v>
      </c>
      <c r="I163">
        <v>7.5645624955453794E-2</v>
      </c>
      <c r="J163">
        <v>62.756998718261713</v>
      </c>
      <c r="K163">
        <v>0.37274594757942148</v>
      </c>
      <c r="M163"/>
      <c r="O163"/>
      <c r="Q163"/>
      <c r="R163">
        <v>16.504999999999999</v>
      </c>
      <c r="S163">
        <v>9.8031645719987653E-2</v>
      </c>
      <c r="T163">
        <v>-5.2089999999999996</v>
      </c>
      <c r="U163">
        <v>18.823</v>
      </c>
      <c r="V163">
        <v>2.1417899999999994</v>
      </c>
      <c r="W163">
        <v>1.2721187427240977E-2</v>
      </c>
    </row>
    <row r="164" spans="1:23" x14ac:dyDescent="0.2">
      <c r="A164" t="s">
        <v>405</v>
      </c>
      <c r="B164">
        <v>162.81110000000001</v>
      </c>
      <c r="C164">
        <v>0</v>
      </c>
      <c r="D164">
        <v>8.5688190662573405</v>
      </c>
      <c r="E164">
        <v>67.894999999999996</v>
      </c>
      <c r="F164">
        <v>19.000412862155589</v>
      </c>
      <c r="G164">
        <v>2.3979836512261583</v>
      </c>
      <c r="H164" t="e">
        <v>#DIV/0!</v>
      </c>
      <c r="I164">
        <v>6.923495580313956</v>
      </c>
      <c r="J164">
        <v>2.4821392877652002</v>
      </c>
      <c r="K164">
        <v>0.2896711050347035</v>
      </c>
      <c r="M164"/>
      <c r="O164"/>
      <c r="P164">
        <v>1.0619080464735536E-2</v>
      </c>
      <c r="Q164">
        <v>1.2392700070598761E-3</v>
      </c>
      <c r="R164">
        <v>4.4655614782134192</v>
      </c>
      <c r="S164">
        <v>0.52114082975542064</v>
      </c>
      <c r="U164">
        <v>0.28625200000000001</v>
      </c>
      <c r="V164">
        <v>-3.0786477360037656</v>
      </c>
      <c r="W164">
        <v>-0.35928495072640704</v>
      </c>
    </row>
    <row r="165" spans="1:23" x14ac:dyDescent="0.2">
      <c r="A165" t="s">
        <v>407</v>
      </c>
      <c r="B165">
        <v>275.41230000000002</v>
      </c>
      <c r="C165">
        <v>216.499</v>
      </c>
      <c r="D165">
        <v>274.86399999999998</v>
      </c>
      <c r="E165">
        <v>293.875</v>
      </c>
      <c r="F165">
        <v>1.0019948047034171</v>
      </c>
      <c r="G165">
        <v>0.93717498936622723</v>
      </c>
      <c r="H165">
        <v>0.26958554081081199</v>
      </c>
      <c r="I165">
        <v>6.9165114383840764E-2</v>
      </c>
      <c r="J165">
        <v>116.03600010681151</v>
      </c>
      <c r="K165">
        <v>0.42215786755199491</v>
      </c>
      <c r="M165"/>
      <c r="O165"/>
      <c r="Q165"/>
      <c r="R165">
        <v>25.126000000000001</v>
      </c>
      <c r="S165">
        <v>9.1412480353920494E-2</v>
      </c>
      <c r="T165">
        <v>14.823</v>
      </c>
      <c r="U165">
        <v>28.419999999999998</v>
      </c>
      <c r="V165">
        <v>2.5753330869909998</v>
      </c>
      <c r="W165">
        <v>9.3694812234086673E-3</v>
      </c>
    </row>
    <row r="166" spans="1:23" x14ac:dyDescent="0.2">
      <c r="A166" t="s">
        <v>409</v>
      </c>
      <c r="B166">
        <v>124.41030000000001</v>
      </c>
      <c r="C166">
        <v>171.0899</v>
      </c>
      <c r="D166">
        <v>128.101112</v>
      </c>
      <c r="E166">
        <v>123</v>
      </c>
      <c r="F166">
        <v>0.97118829069961554</v>
      </c>
      <c r="G166">
        <v>1.0114658536585366</v>
      </c>
      <c r="H166">
        <v>-0.25126432360998513</v>
      </c>
      <c r="I166">
        <v>-3.982098141349466E-2</v>
      </c>
      <c r="J166">
        <v>72.534188598388667</v>
      </c>
      <c r="K166">
        <v>0.56622606522251473</v>
      </c>
      <c r="L166">
        <v>41.944024999999996</v>
      </c>
      <c r="M166">
        <v>0.32742904682981983</v>
      </c>
      <c r="N166">
        <v>19.221935999999999</v>
      </c>
      <c r="O166">
        <v>0.15005284263262289</v>
      </c>
      <c r="P166">
        <v>36.027413000000003</v>
      </c>
      <c r="Q166">
        <v>0.28124200045976183</v>
      </c>
      <c r="R166">
        <v>-23.433501</v>
      </c>
      <c r="S166">
        <v>-0.18292972351403164</v>
      </c>
      <c r="T166">
        <v>-57.896322999999995</v>
      </c>
      <c r="U166">
        <v>110.89174399999999</v>
      </c>
      <c r="V166">
        <v>-50.694046620000002</v>
      </c>
      <c r="W166">
        <v>-0.39573463359162725</v>
      </c>
    </row>
    <row r="167" spans="1:23" x14ac:dyDescent="0.2">
      <c r="A167" t="s">
        <v>411</v>
      </c>
      <c r="B167">
        <v>69.755799999999994</v>
      </c>
      <c r="C167">
        <v>278.221</v>
      </c>
      <c r="D167">
        <v>120.13199999999999</v>
      </c>
      <c r="E167">
        <v>124.5</v>
      </c>
      <c r="F167">
        <v>0.58065960776479209</v>
      </c>
      <c r="G167">
        <v>0.56028755020080312</v>
      </c>
      <c r="H167">
        <v>-0.56821375812753172</v>
      </c>
      <c r="I167">
        <v>3.6360003995604906E-2</v>
      </c>
      <c r="J167">
        <v>61.855000404357909</v>
      </c>
      <c r="K167">
        <v>0.5148919555518755</v>
      </c>
      <c r="L167">
        <v>47.5</v>
      </c>
      <c r="M167">
        <v>0.39539839509872476</v>
      </c>
      <c r="N167">
        <v>51.793999999999997</v>
      </c>
      <c r="O167">
        <v>0.43114241001564946</v>
      </c>
      <c r="P167">
        <v>55.595999999999997</v>
      </c>
      <c r="Q167">
        <v>0.46279092997702526</v>
      </c>
      <c r="R167">
        <v>-43.578000000000003</v>
      </c>
      <c r="S167">
        <v>-0.3627509739286785</v>
      </c>
      <c r="T167">
        <v>-42.018000000000001</v>
      </c>
      <c r="U167">
        <v>76.641999999999996</v>
      </c>
      <c r="V167">
        <v>-75.318597068339997</v>
      </c>
      <c r="W167">
        <v>-0.62696531372440323</v>
      </c>
    </row>
    <row r="168" spans="1:23" x14ac:dyDescent="0.2">
      <c r="A168" t="s">
        <v>413</v>
      </c>
      <c r="B168">
        <v>151.4391</v>
      </c>
      <c r="C168">
        <v>30.983000000000001</v>
      </c>
      <c r="D168">
        <v>31.908999999999999</v>
      </c>
      <c r="E168">
        <v>38.61</v>
      </c>
      <c r="F168">
        <v>4.7459682221316868</v>
      </c>
      <c r="G168">
        <v>3.9222766122766122</v>
      </c>
      <c r="H168">
        <v>2.9887357583190728E-2</v>
      </c>
      <c r="I168">
        <v>0.21000344730326859</v>
      </c>
      <c r="J168">
        <v>19.025000007629394</v>
      </c>
      <c r="K168">
        <v>0.59622677011593583</v>
      </c>
      <c r="L168">
        <v>9.8249999999999993</v>
      </c>
      <c r="M168">
        <v>0.30790686013350466</v>
      </c>
      <c r="N168">
        <v>15.551</v>
      </c>
      <c r="O168">
        <v>0.48735466482810497</v>
      </c>
      <c r="P168">
        <v>7.2859999999999996</v>
      </c>
      <c r="Q168">
        <v>0.2283368328684697</v>
      </c>
      <c r="R168">
        <v>-12.440999999999999</v>
      </c>
      <c r="S168">
        <v>-0.38988999968660876</v>
      </c>
      <c r="T168">
        <v>-13.39</v>
      </c>
      <c r="U168">
        <v>23.980999999999998</v>
      </c>
      <c r="V168">
        <v>-20.875574530000002</v>
      </c>
      <c r="W168">
        <v>-0.65422214829671888</v>
      </c>
    </row>
    <row r="169" spans="1:23" x14ac:dyDescent="0.2">
      <c r="A169" t="s">
        <v>557</v>
      </c>
      <c r="B169">
        <v>11763.517900000001</v>
      </c>
      <c r="C169">
        <v>389.33</v>
      </c>
      <c r="D169">
        <v>853.57299999999998</v>
      </c>
      <c r="E169">
        <v>1210.8910000000001</v>
      </c>
      <c r="F169">
        <v>13.781501875059311</v>
      </c>
      <c r="G169">
        <v>9.7147620223455284</v>
      </c>
      <c r="H169">
        <v>1.1924151747874554</v>
      </c>
      <c r="I169">
        <v>0.41861445945455178</v>
      </c>
      <c r="J169">
        <v>481.96899993896483</v>
      </c>
      <c r="K169">
        <v>0.56464883488461426</v>
      </c>
      <c r="L169">
        <v>135.99699999999999</v>
      </c>
      <c r="M169">
        <v>0.15932673596751537</v>
      </c>
      <c r="N169">
        <v>225.69399999999999</v>
      </c>
      <c r="O169">
        <v>0.26441089397157597</v>
      </c>
      <c r="P169">
        <v>67.718999999999994</v>
      </c>
      <c r="Q169">
        <v>7.9335920887844386E-2</v>
      </c>
      <c r="R169">
        <v>-41.38</v>
      </c>
      <c r="S169">
        <v>-4.8478571838612518E-2</v>
      </c>
      <c r="T169">
        <v>-12.155000000000001</v>
      </c>
      <c r="U169">
        <v>141.67699999999999</v>
      </c>
      <c r="V169">
        <v>-52.222000000000001</v>
      </c>
      <c r="W169">
        <v>-6.1180473140551542E-2</v>
      </c>
    </row>
    <row r="170" spans="1:23" x14ac:dyDescent="0.2">
      <c r="A170" t="s">
        <v>558</v>
      </c>
      <c r="B170">
        <v>3220.2809999999999</v>
      </c>
      <c r="C170">
        <v>65.271000000000001</v>
      </c>
      <c r="D170">
        <v>192.24099999999999</v>
      </c>
      <c r="E170">
        <v>271.53800000000001</v>
      </c>
      <c r="F170">
        <v>16.751270540623491</v>
      </c>
      <c r="G170">
        <v>11.859411942343245</v>
      </c>
      <c r="H170">
        <v>1.9452743178440652</v>
      </c>
      <c r="I170">
        <v>0.41248745064788483</v>
      </c>
      <c r="J170">
        <v>138.52599877929688</v>
      </c>
      <c r="K170">
        <v>0.72058509256244452</v>
      </c>
      <c r="L170">
        <v>62.201999999999998</v>
      </c>
      <c r="M170">
        <v>0.32356261151367294</v>
      </c>
      <c r="N170">
        <v>109.95</v>
      </c>
      <c r="O170">
        <v>0.57193834821916245</v>
      </c>
      <c r="P170">
        <v>36.774999999999999</v>
      </c>
      <c r="Q170">
        <v>0.19129634157125691</v>
      </c>
      <c r="R170">
        <v>-107.69300000000001</v>
      </c>
      <c r="S170">
        <v>-0.5601978766236132</v>
      </c>
      <c r="T170">
        <v>-44.982999999999997</v>
      </c>
      <c r="U170">
        <v>61.901999999999994</v>
      </c>
      <c r="V170">
        <v>-111</v>
      </c>
      <c r="W170">
        <v>-0.57740024240406573</v>
      </c>
    </row>
    <row r="171" spans="1:23" x14ac:dyDescent="0.2">
      <c r="A171" t="s">
        <v>145</v>
      </c>
      <c r="B171">
        <v>3799.4987000000001</v>
      </c>
      <c r="C171">
        <v>80.325000000000003</v>
      </c>
      <c r="D171">
        <v>190.17399999999998</v>
      </c>
      <c r="E171">
        <v>258.79000000000002</v>
      </c>
      <c r="F171">
        <v>19.979064961561519</v>
      </c>
      <c r="G171">
        <v>14.681783299200124</v>
      </c>
      <c r="H171">
        <v>1.3675568004979766</v>
      </c>
      <c r="I171">
        <v>0.36080641938435365</v>
      </c>
      <c r="J171">
        <v>152.2989994506836</v>
      </c>
      <c r="K171">
        <v>0.80084028022065901</v>
      </c>
      <c r="L171">
        <v>39.378999999999998</v>
      </c>
      <c r="M171">
        <v>0.20706826380051954</v>
      </c>
      <c r="N171">
        <v>116.40900000000001</v>
      </c>
      <c r="O171">
        <v>0.61211837580321193</v>
      </c>
      <c r="P171">
        <v>31.135000000000002</v>
      </c>
      <c r="Q171">
        <v>0.1637184893834068</v>
      </c>
      <c r="S171"/>
      <c r="U171">
        <v>135.57900000000001</v>
      </c>
      <c r="V171">
        <v>-29.382999999999999</v>
      </c>
      <c r="W171">
        <v>-0.1545058735684163</v>
      </c>
    </row>
    <row r="172" spans="1:23" x14ac:dyDescent="0.2">
      <c r="A172" t="s">
        <v>559</v>
      </c>
      <c r="B172">
        <v>6079.7704000000003</v>
      </c>
      <c r="C172">
        <v>277.33499999999998</v>
      </c>
      <c r="D172">
        <v>492.64800000000002</v>
      </c>
      <c r="E172">
        <v>667.76099999999997</v>
      </c>
      <c r="F172">
        <v>12.341002906740716</v>
      </c>
      <c r="G172">
        <v>9.104710218176864</v>
      </c>
      <c r="H172">
        <v>0.7763643247336256</v>
      </c>
      <c r="I172">
        <v>0.35545257465776769</v>
      </c>
      <c r="J172">
        <v>261.8499954833984</v>
      </c>
      <c r="K172">
        <v>0.5315153933100274</v>
      </c>
      <c r="L172">
        <v>120.73899999999999</v>
      </c>
      <c r="M172">
        <v>0.24508168103798247</v>
      </c>
      <c r="N172">
        <v>100.669</v>
      </c>
      <c r="O172">
        <v>0.20434265439015278</v>
      </c>
      <c r="P172">
        <v>59.619</v>
      </c>
      <c r="Q172">
        <v>0.12101744044429287</v>
      </c>
      <c r="R172">
        <v>-68.85692307692301</v>
      </c>
      <c r="S172">
        <v>-0.13976900967206404</v>
      </c>
      <c r="T172">
        <v>12.943999999999999</v>
      </c>
      <c r="U172">
        <v>115.286</v>
      </c>
      <c r="V172">
        <v>-90.092929999999996</v>
      </c>
      <c r="W172">
        <v>-0.1828748518211786</v>
      </c>
    </row>
    <row r="173" spans="1:23" x14ac:dyDescent="0.2">
      <c r="A173" t="s">
        <v>561</v>
      </c>
      <c r="B173">
        <v>2404.9515999999999</v>
      </c>
      <c r="C173">
        <v>427.58800000000002</v>
      </c>
      <c r="D173">
        <v>476.02700000000004</v>
      </c>
      <c r="E173">
        <v>635.75</v>
      </c>
      <c r="F173">
        <v>5.0521327571755377</v>
      </c>
      <c r="G173">
        <v>3.7828574125049155</v>
      </c>
      <c r="H173">
        <v>0.11328428300139391</v>
      </c>
      <c r="I173">
        <v>0.33553348864665233</v>
      </c>
      <c r="J173">
        <v>327.95800305175783</v>
      </c>
      <c r="K173">
        <v>0.68894832236776027</v>
      </c>
      <c r="L173">
        <v>27.382999999999999</v>
      </c>
      <c r="M173">
        <v>5.7524048005680346E-2</v>
      </c>
      <c r="N173">
        <v>34.103000000000002</v>
      </c>
      <c r="O173">
        <v>7.164089431901971E-2</v>
      </c>
      <c r="P173">
        <v>149.94800000000001</v>
      </c>
      <c r="Q173">
        <v>0.31499893913580529</v>
      </c>
      <c r="R173">
        <v>100.64099999999999</v>
      </c>
      <c r="S173">
        <v>0.21141868003285524</v>
      </c>
      <c r="T173">
        <v>3.2039999999999935</v>
      </c>
      <c r="U173">
        <v>208.94399999999999</v>
      </c>
      <c r="V173">
        <v>7.2179362649929981</v>
      </c>
      <c r="W173">
        <v>1.5162871570295377E-2</v>
      </c>
    </row>
    <row r="174" spans="1:23" x14ac:dyDescent="0.2">
      <c r="A174" t="s">
        <v>563</v>
      </c>
      <c r="B174">
        <v>4154.2816999999995</v>
      </c>
      <c r="C174">
        <v>290.10300000000001</v>
      </c>
      <c r="D174">
        <v>513.48300000000006</v>
      </c>
      <c r="E174">
        <v>674.78300000000002</v>
      </c>
      <c r="F174">
        <v>8.0903977346864426</v>
      </c>
      <c r="G174">
        <v>6.1564705986961723</v>
      </c>
      <c r="H174">
        <v>0.77000237846557962</v>
      </c>
      <c r="I174">
        <v>0.31412919220305247</v>
      </c>
      <c r="J174">
        <v>418.44500848388674</v>
      </c>
      <c r="K174">
        <v>0.81491501857683057</v>
      </c>
      <c r="L174">
        <v>153.63499999999999</v>
      </c>
      <c r="M174">
        <v>0.29920172624994396</v>
      </c>
      <c r="N174">
        <v>204.435</v>
      </c>
      <c r="O174">
        <v>0.39813392069455072</v>
      </c>
      <c r="P174">
        <v>48.186</v>
      </c>
      <c r="Q174">
        <v>9.3841470895823217E-2</v>
      </c>
      <c r="R174">
        <v>-27.757000000000005</v>
      </c>
      <c r="S174">
        <v>-5.4056317346436011E-2</v>
      </c>
      <c r="T174">
        <v>88.836999999999989</v>
      </c>
      <c r="U174">
        <v>85.22999999999999</v>
      </c>
      <c r="V174">
        <v>-41.129518560316001</v>
      </c>
      <c r="W174">
        <v>-8.0099085189414249E-2</v>
      </c>
    </row>
    <row r="175" spans="1:23" x14ac:dyDescent="0.2">
      <c r="A175" t="s">
        <v>564</v>
      </c>
      <c r="B175">
        <v>5590.6315999999997</v>
      </c>
      <c r="C175">
        <v>85.906999999999996</v>
      </c>
      <c r="D175">
        <v>324.19499999999999</v>
      </c>
      <c r="E175">
        <v>424.09399999999999</v>
      </c>
      <c r="F175">
        <v>17.244657073674794</v>
      </c>
      <c r="G175">
        <v>13.182529344909383</v>
      </c>
      <c r="H175">
        <v>2.7737902615619219</v>
      </c>
      <c r="I175">
        <v>0.30814478940144041</v>
      </c>
      <c r="J175">
        <v>228.25000210571289</v>
      </c>
      <c r="K175">
        <v>0.70405158039363003</v>
      </c>
      <c r="L175">
        <v>70.820999999999998</v>
      </c>
      <c r="M175">
        <v>0.21845185767824921</v>
      </c>
      <c r="N175">
        <v>172.97300000000001</v>
      </c>
      <c r="O175">
        <v>0.53354616820123701</v>
      </c>
      <c r="P175">
        <v>51.802999999999997</v>
      </c>
      <c r="Q175">
        <v>0.15978963278273878</v>
      </c>
      <c r="R175">
        <v>-116.569</v>
      </c>
      <c r="S175">
        <v>-0.35956445966162343</v>
      </c>
      <c r="T175">
        <v>-21.870999999999999</v>
      </c>
      <c r="U175">
        <v>127.949</v>
      </c>
      <c r="V175">
        <v>-123.625</v>
      </c>
      <c r="W175">
        <v>-0.3813291383272413</v>
      </c>
    </row>
    <row r="176" spans="1:23" x14ac:dyDescent="0.2">
      <c r="A176" t="s">
        <v>570</v>
      </c>
      <c r="B176">
        <v>6010.1651000000002</v>
      </c>
      <c r="C176">
        <v>250.48099999999999</v>
      </c>
      <c r="D176">
        <v>602.31500000000005</v>
      </c>
      <c r="E176">
        <v>762.5</v>
      </c>
      <c r="F176">
        <v>9.9784416791877995</v>
      </c>
      <c r="G176">
        <v>7.882183737704918</v>
      </c>
      <c r="H176">
        <v>1.4046334851745246</v>
      </c>
      <c r="I176">
        <v>0.26594888056913724</v>
      </c>
      <c r="J176">
        <v>444.96900311279296</v>
      </c>
      <c r="K176">
        <v>0.73876460508669539</v>
      </c>
      <c r="L176">
        <v>92.427999999999997</v>
      </c>
      <c r="M176">
        <v>0.15345458771573012</v>
      </c>
      <c r="N176">
        <v>277.93</v>
      </c>
      <c r="O176">
        <v>0.46143629164141686</v>
      </c>
      <c r="P176">
        <v>81.525999999999996</v>
      </c>
      <c r="Q176">
        <v>0.13535442418003868</v>
      </c>
      <c r="S176"/>
      <c r="U176">
        <v>256.86700000000002</v>
      </c>
      <c r="V176">
        <v>-328.25799999999998</v>
      </c>
      <c r="W176">
        <v>-0.54499389854146074</v>
      </c>
    </row>
    <row r="177" spans="1:23" x14ac:dyDescent="0.2">
      <c r="A177" t="s">
        <v>577</v>
      </c>
      <c r="B177">
        <v>1234.2756999999999</v>
      </c>
      <c r="C177">
        <v>206.98599999999999</v>
      </c>
      <c r="D177">
        <v>265.089</v>
      </c>
      <c r="E177">
        <v>329.13800000000003</v>
      </c>
      <c r="F177">
        <v>4.6560804107299809</v>
      </c>
      <c r="G177">
        <v>3.750024913562092</v>
      </c>
      <c r="H177">
        <v>0.28070980646034038</v>
      </c>
      <c r="I177">
        <v>0.24161319405935378</v>
      </c>
      <c r="J177">
        <v>189.59500091552735</v>
      </c>
      <c r="K177">
        <v>0.71521263015639036</v>
      </c>
      <c r="L177">
        <v>46.16</v>
      </c>
      <c r="M177">
        <v>0.17413019778263147</v>
      </c>
      <c r="N177">
        <v>90.921999999999997</v>
      </c>
      <c r="O177">
        <v>0.34298669503449786</v>
      </c>
      <c r="P177">
        <v>43.331000000000003</v>
      </c>
      <c r="Q177">
        <v>0.16345831022788573</v>
      </c>
      <c r="R177">
        <v>35.430999999999997</v>
      </c>
      <c r="S177">
        <v>0.1336569982156936</v>
      </c>
      <c r="T177">
        <v>32.344000000000001</v>
      </c>
      <c r="U177">
        <v>128.23099999999999</v>
      </c>
      <c r="V177">
        <v>-1.8899511748109996</v>
      </c>
      <c r="W177">
        <v>-7.1294967909305918E-3</v>
      </c>
    </row>
    <row r="178" spans="1:23" x14ac:dyDescent="0.2">
      <c r="A178" t="s">
        <v>587</v>
      </c>
      <c r="B178">
        <v>28442.0455</v>
      </c>
      <c r="C178">
        <v>1708.721</v>
      </c>
      <c r="D178">
        <v>2684.7350000000001</v>
      </c>
      <c r="E178">
        <v>1858.0640000000001</v>
      </c>
      <c r="F178">
        <v>10.593986184856233</v>
      </c>
      <c r="G178">
        <v>15.307355128779202</v>
      </c>
      <c r="H178">
        <v>0.57119564867523731</v>
      </c>
      <c r="I178">
        <v>-0.30791530635239606</v>
      </c>
      <c r="J178">
        <v>1029.4319973144532</v>
      </c>
      <c r="K178">
        <v>0.38343896038694808</v>
      </c>
      <c r="L178">
        <v>321.88799999999998</v>
      </c>
      <c r="M178">
        <v>0.11989563215736375</v>
      </c>
      <c r="N178">
        <v>253.17</v>
      </c>
      <c r="O178">
        <v>9.4299809850879129E-2</v>
      </c>
      <c r="P178">
        <v>250.553</v>
      </c>
      <c r="Q178">
        <v>9.3325039529041032E-2</v>
      </c>
      <c r="R178">
        <v>-3.8120000000000012</v>
      </c>
      <c r="S178">
        <v>-1.4198794294408949E-3</v>
      </c>
      <c r="T178">
        <v>72.408999999999992</v>
      </c>
      <c r="U178">
        <v>696.47399999999993</v>
      </c>
      <c r="V178">
        <v>-55.131</v>
      </c>
      <c r="W178">
        <v>-2.0534987624476902E-2</v>
      </c>
    </row>
    <row r="179" spans="1:23" x14ac:dyDescent="0.2">
      <c r="A179" t="s">
        <v>588</v>
      </c>
      <c r="B179">
        <v>11492.5267</v>
      </c>
      <c r="C179">
        <v>409.221</v>
      </c>
      <c r="D179">
        <v>766.22400000000005</v>
      </c>
      <c r="E179">
        <v>912.07100000000003</v>
      </c>
      <c r="F179">
        <v>14.998912459019817</v>
      </c>
      <c r="G179">
        <v>12.600473756977253</v>
      </c>
      <c r="H179">
        <v>0.87239657788823166</v>
      </c>
      <c r="I179">
        <v>0.19034512100899992</v>
      </c>
      <c r="J179">
        <v>534.71100567626956</v>
      </c>
      <c r="K179">
        <v>0.69785207155645024</v>
      </c>
      <c r="L179">
        <v>132.05099999999999</v>
      </c>
      <c r="M179">
        <v>0.17233994236672301</v>
      </c>
      <c r="N179">
        <v>130.898</v>
      </c>
      <c r="O179">
        <v>0.1708351604752657</v>
      </c>
      <c r="P179">
        <v>60.390999999999998</v>
      </c>
      <c r="Q179">
        <v>7.8816377456200792E-2</v>
      </c>
      <c r="R179">
        <v>188.203</v>
      </c>
      <c r="S179">
        <v>0.24562399507193719</v>
      </c>
      <c r="T179">
        <v>274.41300000000001</v>
      </c>
      <c r="U179">
        <v>320.18299999999999</v>
      </c>
      <c r="V179">
        <v>162.85600955123999</v>
      </c>
      <c r="W179">
        <v>0.21254360285143767</v>
      </c>
    </row>
    <row r="180" spans="1:23" x14ac:dyDescent="0.2">
      <c r="A180" t="s">
        <v>590</v>
      </c>
      <c r="B180">
        <v>4083.6496999999999</v>
      </c>
      <c r="C180">
        <v>463.38099999999997</v>
      </c>
      <c r="D180">
        <v>609.726</v>
      </c>
      <c r="E180">
        <v>719.86699999999996</v>
      </c>
      <c r="F180">
        <v>6.6975160973945673</v>
      </c>
      <c r="G180">
        <v>5.6727835836341995</v>
      </c>
      <c r="H180">
        <v>0.31582002714828628</v>
      </c>
      <c r="I180">
        <v>0.1806401563981197</v>
      </c>
      <c r="J180">
        <v>460.99100408935544</v>
      </c>
      <c r="K180">
        <v>0.75606256595479848</v>
      </c>
      <c r="L180">
        <v>138.56399999999999</v>
      </c>
      <c r="M180">
        <v>0.22725617736491471</v>
      </c>
      <c r="N180">
        <v>126.273</v>
      </c>
      <c r="O180">
        <v>0.2070979423544346</v>
      </c>
      <c r="P180">
        <v>94.323999999999998</v>
      </c>
      <c r="Q180">
        <v>0.15469899594243972</v>
      </c>
      <c r="R180">
        <v>82.144000000000005</v>
      </c>
      <c r="S180">
        <v>0.13472280991789756</v>
      </c>
      <c r="T180">
        <v>44.370999999999995</v>
      </c>
      <c r="U180">
        <v>237.32499999999999</v>
      </c>
      <c r="V180">
        <v>48.942264632863001</v>
      </c>
      <c r="W180">
        <v>8.0269276089363087E-2</v>
      </c>
    </row>
    <row r="181" spans="1:23" x14ac:dyDescent="0.2">
      <c r="A181" t="s">
        <v>596</v>
      </c>
      <c r="B181">
        <v>3802.556</v>
      </c>
      <c r="C181">
        <v>2322</v>
      </c>
      <c r="D181">
        <v>2202</v>
      </c>
      <c r="E181">
        <v>2153.799</v>
      </c>
      <c r="F181">
        <v>1.7268646684831972</v>
      </c>
      <c r="G181">
        <v>1.7655110806533014</v>
      </c>
      <c r="H181">
        <v>-5.1679586563307491E-2</v>
      </c>
      <c r="I181">
        <v>-2.1889645776566713E-2</v>
      </c>
      <c r="J181">
        <v>1035</v>
      </c>
      <c r="K181">
        <v>0.47002724795640327</v>
      </c>
      <c r="L181">
        <v>306</v>
      </c>
      <c r="M181">
        <v>0.13896457765667575</v>
      </c>
      <c r="O181"/>
      <c r="Q181"/>
      <c r="R181">
        <v>220</v>
      </c>
      <c r="S181">
        <v>9.9909173478655772E-2</v>
      </c>
      <c r="T181">
        <v>169</v>
      </c>
      <c r="U181">
        <v>1089</v>
      </c>
      <c r="V181">
        <v>70.963692307692</v>
      </c>
      <c r="W181">
        <v>3.2226926570250683E-2</v>
      </c>
    </row>
    <row r="182" spans="1:23" x14ac:dyDescent="0.2">
      <c r="A182" t="s">
        <v>597</v>
      </c>
      <c r="B182">
        <v>498.00700000000001</v>
      </c>
      <c r="C182">
        <v>21.366</v>
      </c>
      <c r="D182">
        <v>45.913776851069429</v>
      </c>
      <c r="E182">
        <v>104.675</v>
      </c>
      <c r="F182">
        <v>10.846570118058157</v>
      </c>
      <c r="G182">
        <v>4.7576498686410318</v>
      </c>
      <c r="H182">
        <v>1.148917759574531</v>
      </c>
      <c r="I182">
        <v>1.2798168039962041</v>
      </c>
      <c r="J182">
        <v>32.362014866124603</v>
      </c>
      <c r="K182">
        <v>0.70484323193662135</v>
      </c>
      <c r="L182">
        <v>11.413988746902495</v>
      </c>
      <c r="M182">
        <v>0.24859616284510996</v>
      </c>
      <c r="N182">
        <v>8.1589877207270067</v>
      </c>
      <c r="O182">
        <v>0.17770238652316328</v>
      </c>
      <c r="P182">
        <v>9.0291365099026333</v>
      </c>
      <c r="Q182">
        <v>0.19665418811417876</v>
      </c>
      <c r="R182">
        <v>12.963605572070199</v>
      </c>
      <c r="S182">
        <v>0.28234674777725782</v>
      </c>
      <c r="T182">
        <v>5.6319999999999997</v>
      </c>
      <c r="U182">
        <v>24.123999999999999</v>
      </c>
      <c r="V182">
        <v>5.1382688847482347</v>
      </c>
      <c r="W182">
        <v>0.111911265793168</v>
      </c>
    </row>
    <row r="183" spans="1:23" x14ac:dyDescent="0.2">
      <c r="A183" t="s">
        <v>598</v>
      </c>
      <c r="B183">
        <v>11310.248799999999</v>
      </c>
      <c r="C183">
        <v>1413.6980000000001</v>
      </c>
      <c r="D183">
        <v>1762.6579999999999</v>
      </c>
      <c r="E183">
        <v>3002.8670000000002</v>
      </c>
      <c r="F183">
        <v>6.4165872222518496</v>
      </c>
      <c r="G183">
        <v>3.766483430668091</v>
      </c>
      <c r="H183">
        <v>0.24684197049157583</v>
      </c>
      <c r="I183">
        <v>0.70360160621062073</v>
      </c>
      <c r="J183">
        <v>927.55099047851559</v>
      </c>
      <c r="K183">
        <v>0.52622289206330197</v>
      </c>
      <c r="L183">
        <v>196.37299999999999</v>
      </c>
      <c r="M183">
        <v>0.11140731781207699</v>
      </c>
      <c r="N183">
        <v>256.09199999999998</v>
      </c>
      <c r="O183">
        <v>0.14528740118616318</v>
      </c>
      <c r="P183">
        <v>247.828</v>
      </c>
      <c r="Q183">
        <v>0.14059902715104122</v>
      </c>
      <c r="R183">
        <v>287.15600000000006</v>
      </c>
      <c r="S183">
        <v>0.16291078586997595</v>
      </c>
      <c r="T183">
        <v>128.85899999999998</v>
      </c>
      <c r="U183">
        <v>808.97299999999996</v>
      </c>
      <c r="V183">
        <v>192.85892999999999</v>
      </c>
      <c r="W183">
        <v>0.10941369794934695</v>
      </c>
    </row>
    <row r="184" spans="1:23" x14ac:dyDescent="0.2">
      <c r="A184" t="s">
        <v>599</v>
      </c>
      <c r="B184">
        <v>5116.1342000000004</v>
      </c>
      <c r="C184">
        <v>201.49100000000001</v>
      </c>
      <c r="D184">
        <v>662.16275290332658</v>
      </c>
      <c r="E184">
        <v>964.04100000000005</v>
      </c>
      <c r="F184">
        <v>7.7263998579922211</v>
      </c>
      <c r="G184">
        <v>5.3069674422560871</v>
      </c>
      <c r="H184">
        <v>2.2863142914736962</v>
      </c>
      <c r="I184">
        <v>0.4558973541973701</v>
      </c>
      <c r="J184">
        <v>462.07363936766961</v>
      </c>
      <c r="K184">
        <v>0.69782487363062351</v>
      </c>
      <c r="L184">
        <v>154.31598291557478</v>
      </c>
      <c r="M184">
        <v>0.23304841934850473</v>
      </c>
      <c r="N184">
        <v>169.76960474098371</v>
      </c>
      <c r="O184">
        <v>0.2563865212843971</v>
      </c>
      <c r="P184">
        <v>72.929738302088708</v>
      </c>
      <c r="Q184">
        <v>0.11013869019711563</v>
      </c>
      <c r="R184">
        <v>163.30981038419148</v>
      </c>
      <c r="S184">
        <v>0.24663092218361932</v>
      </c>
      <c r="T184">
        <v>65.210999999999999</v>
      </c>
      <c r="U184">
        <v>105.649</v>
      </c>
      <c r="V184">
        <v>77.683937329779184</v>
      </c>
      <c r="W184">
        <v>0.11731849456823912</v>
      </c>
    </row>
    <row r="185" spans="1:23" x14ac:dyDescent="0.2">
      <c r="A185" t="s">
        <v>600</v>
      </c>
      <c r="B185">
        <v>1670.4738</v>
      </c>
      <c r="C185">
        <v>254.18799999999999</v>
      </c>
      <c r="D185">
        <v>505.65300000000002</v>
      </c>
      <c r="E185">
        <v>700.99199999999996</v>
      </c>
      <c r="F185">
        <v>3.3035971308387371</v>
      </c>
      <c r="G185">
        <v>2.3830140714872639</v>
      </c>
      <c r="H185">
        <v>0.98928745652823913</v>
      </c>
      <c r="I185">
        <v>0.38631037490136499</v>
      </c>
      <c r="J185">
        <v>233.04500000000002</v>
      </c>
      <c r="K185">
        <v>0.46087929864946914</v>
      </c>
      <c r="L185">
        <v>17.2</v>
      </c>
      <c r="M185">
        <v>3.4015421642905309E-2</v>
      </c>
      <c r="O185"/>
      <c r="Q185"/>
      <c r="R185">
        <v>12.508000000000003</v>
      </c>
      <c r="S185">
        <v>2.4736331041247658E-2</v>
      </c>
      <c r="T185">
        <v>-25.263999999999992</v>
      </c>
      <c r="U185">
        <v>238.43299999999999</v>
      </c>
      <c r="V185">
        <v>-25.145819318402001</v>
      </c>
      <c r="W185">
        <v>-4.9729398062311504E-2</v>
      </c>
    </row>
    <row r="186" spans="1:23" x14ac:dyDescent="0.2">
      <c r="A186" t="s">
        <v>601</v>
      </c>
      <c r="B186">
        <v>1375.1850999999999</v>
      </c>
      <c r="C186">
        <v>9.6440000000000001</v>
      </c>
      <c r="D186">
        <v>50.944830456625908</v>
      </c>
      <c r="E186">
        <v>68.814000000000007</v>
      </c>
      <c r="F186">
        <v>26.993614222954839</v>
      </c>
      <c r="G186">
        <v>19.984088993518757</v>
      </c>
      <c r="H186">
        <v>4.2825415239139266</v>
      </c>
      <c r="I186">
        <v>0.35075530496833807</v>
      </c>
      <c r="J186">
        <v>50.927435366140706</v>
      </c>
      <c r="K186">
        <v>0.99965855042937057</v>
      </c>
      <c r="M186"/>
      <c r="O186"/>
      <c r="Q186"/>
      <c r="R186">
        <v>-15.660510996069489</v>
      </c>
      <c r="S186">
        <v>-0.30740137626726904</v>
      </c>
      <c r="T186">
        <v>4.6070000000000002</v>
      </c>
      <c r="U186">
        <v>16.331</v>
      </c>
      <c r="V186">
        <v>-16.377704596026192</v>
      </c>
      <c r="W186">
        <v>-0.32147922466775231</v>
      </c>
    </row>
    <row r="187" spans="1:23" x14ac:dyDescent="0.2">
      <c r="A187" t="s">
        <v>602</v>
      </c>
      <c r="B187">
        <v>11136.6034</v>
      </c>
      <c r="C187">
        <v>1393.9970000000001</v>
      </c>
      <c r="D187">
        <v>2027.4701488016447</v>
      </c>
      <c r="E187">
        <v>2646.6010000000001</v>
      </c>
      <c r="F187">
        <v>5.4928569017809679</v>
      </c>
      <c r="G187">
        <v>4.2078890622349192</v>
      </c>
      <c r="H187">
        <v>0.45442934870135626</v>
      </c>
      <c r="I187">
        <v>0.30537113040322628</v>
      </c>
      <c r="J187">
        <v>1679.9929314420062</v>
      </c>
      <c r="K187">
        <v>0.82861537193777279</v>
      </c>
      <c r="L187">
        <v>808.46222965286324</v>
      </c>
      <c r="M187">
        <v>0.39875419627298209</v>
      </c>
      <c r="N187">
        <v>397.17667897950406</v>
      </c>
      <c r="O187">
        <v>0.19589767041169956</v>
      </c>
      <c r="P187">
        <v>169.33572698676082</v>
      </c>
      <c r="Q187">
        <v>8.3520700458573113E-2</v>
      </c>
      <c r="R187">
        <v>942.26823079258611</v>
      </c>
      <c r="S187">
        <v>0.46475072954811325</v>
      </c>
      <c r="T187">
        <v>809.69499999999994</v>
      </c>
      <c r="U187">
        <v>746.93899999999996</v>
      </c>
      <c r="V187">
        <v>205.69174478129477</v>
      </c>
      <c r="W187">
        <v>0.10145241590998064</v>
      </c>
    </row>
    <row r="188" spans="1:23" x14ac:dyDescent="0.2">
      <c r="A188" t="s">
        <v>603</v>
      </c>
      <c r="B188">
        <v>1498.6233999999999</v>
      </c>
      <c r="C188">
        <v>94.061999999999998</v>
      </c>
      <c r="D188">
        <v>169.74299999999999</v>
      </c>
      <c r="E188">
        <v>217.958</v>
      </c>
      <c r="F188">
        <v>8.8287788008931152</v>
      </c>
      <c r="G188">
        <v>6.8757439506693947</v>
      </c>
      <c r="H188">
        <v>0.8045863366715571</v>
      </c>
      <c r="I188">
        <v>0.2840470593780009</v>
      </c>
      <c r="J188">
        <v>52.637000358581545</v>
      </c>
      <c r="K188">
        <v>0.3100982094023409</v>
      </c>
      <c r="L188">
        <v>5.6280000000000001</v>
      </c>
      <c r="M188">
        <v>3.3156006433254982E-2</v>
      </c>
      <c r="N188">
        <v>5.5419999999999998</v>
      </c>
      <c r="O188">
        <v>3.2649358147316829E-2</v>
      </c>
      <c r="P188">
        <v>21.181000000000001</v>
      </c>
      <c r="Q188">
        <v>0.12478275981925618</v>
      </c>
      <c r="R188">
        <v>17.134</v>
      </c>
      <c r="S188">
        <v>0.10094083408446888</v>
      </c>
      <c r="T188">
        <v>7.0270000000000001</v>
      </c>
      <c r="U188">
        <v>10.43</v>
      </c>
      <c r="V188">
        <v>8.8915167711629994</v>
      </c>
      <c r="W188">
        <v>5.2382229436047437E-2</v>
      </c>
    </row>
    <row r="189" spans="1:23" x14ac:dyDescent="0.2">
      <c r="A189" t="s">
        <v>604</v>
      </c>
      <c r="B189">
        <v>751.91750000000002</v>
      </c>
      <c r="C189">
        <v>200.58099999999999</v>
      </c>
      <c r="D189">
        <v>332.99599999999998</v>
      </c>
      <c r="E189">
        <v>392.42</v>
      </c>
      <c r="F189">
        <v>2.2580376340856949</v>
      </c>
      <c r="G189">
        <v>1.9161039192701697</v>
      </c>
      <c r="H189">
        <v>0.66015724320847935</v>
      </c>
      <c r="I189">
        <v>0.17845259402515357</v>
      </c>
      <c r="J189">
        <v>180.10199858093262</v>
      </c>
      <c r="K189">
        <v>0.54085333932219193</v>
      </c>
      <c r="L189">
        <v>92.42</v>
      </c>
      <c r="M189">
        <v>0.27754087136181815</v>
      </c>
      <c r="N189">
        <v>104.35599999999999</v>
      </c>
      <c r="O189">
        <v>0.31338514576751675</v>
      </c>
      <c r="P189">
        <v>34.424999999999997</v>
      </c>
      <c r="Q189">
        <v>0.10337962017561772</v>
      </c>
      <c r="R189">
        <v>-42.642000000000003</v>
      </c>
      <c r="S189">
        <v>-0.1280555922593665</v>
      </c>
      <c r="U189">
        <v>63.763999999999996</v>
      </c>
      <c r="V189">
        <v>-26.043469999999999</v>
      </c>
      <c r="W189">
        <v>-7.820955807276965E-2</v>
      </c>
    </row>
    <row r="190" spans="1:23" x14ac:dyDescent="0.2">
      <c r="A190" t="s">
        <v>605</v>
      </c>
      <c r="B190">
        <v>877.18060000000003</v>
      </c>
      <c r="C190">
        <v>49.845999999999997</v>
      </c>
      <c r="D190">
        <v>67.067000000000007</v>
      </c>
      <c r="E190">
        <v>79</v>
      </c>
      <c r="F190">
        <v>13.079168592601427</v>
      </c>
      <c r="G190">
        <v>11.103551898734178</v>
      </c>
      <c r="H190">
        <v>0.3454840910002811</v>
      </c>
      <c r="I190">
        <v>0.1779265510608794</v>
      </c>
      <c r="J190">
        <v>63.660000076293947</v>
      </c>
      <c r="K190">
        <v>0.94920005481524361</v>
      </c>
      <c r="L190">
        <v>13.173999999999999</v>
      </c>
      <c r="M190">
        <v>0.19643043523640535</v>
      </c>
      <c r="N190">
        <v>8.2569999999999997</v>
      </c>
      <c r="O190">
        <v>0.12311569027986936</v>
      </c>
      <c r="P190">
        <v>8.7360000000000007</v>
      </c>
      <c r="Q190">
        <v>0.13025780189959293</v>
      </c>
      <c r="R190">
        <v>20.859000000000002</v>
      </c>
      <c r="S190">
        <v>0.31101734086808713</v>
      </c>
      <c r="T190">
        <v>29.554000000000002</v>
      </c>
      <c r="U190">
        <v>52.832999999999998</v>
      </c>
      <c r="V190">
        <v>15.805099999999999</v>
      </c>
      <c r="W190">
        <v>0.23566135357180129</v>
      </c>
    </row>
    <row r="191" spans="1:23" x14ac:dyDescent="0.2">
      <c r="A191" t="s">
        <v>606</v>
      </c>
      <c r="B191">
        <v>4269.3923999999997</v>
      </c>
      <c r="C191">
        <v>1549.8989999999999</v>
      </c>
      <c r="D191">
        <v>2006.2450000000001</v>
      </c>
      <c r="E191">
        <v>2239.0819999999999</v>
      </c>
      <c r="F191">
        <v>2.1280513596295565</v>
      </c>
      <c r="G191">
        <v>1.9067601811813948</v>
      </c>
      <c r="H191">
        <v>0.29443596002062089</v>
      </c>
      <c r="I191">
        <v>0.11605611478159439</v>
      </c>
      <c r="J191">
        <v>861.35701245117184</v>
      </c>
      <c r="K191">
        <v>0.4293378986370916</v>
      </c>
      <c r="L191">
        <v>220.21899999999999</v>
      </c>
      <c r="M191">
        <v>0.10976675331278084</v>
      </c>
      <c r="O191"/>
      <c r="Q191"/>
      <c r="R191">
        <v>376.78800000000001</v>
      </c>
      <c r="S191">
        <v>0.18780757085998967</v>
      </c>
      <c r="T191">
        <v>154.95600000000002</v>
      </c>
      <c r="U191">
        <v>155.839</v>
      </c>
      <c r="V191">
        <v>-22.321651615104003</v>
      </c>
      <c r="W191">
        <v>-1.112608460836239E-2</v>
      </c>
    </row>
    <row r="192" spans="1:23" x14ac:dyDescent="0.2">
      <c r="A192" t="s">
        <v>607</v>
      </c>
      <c r="B192">
        <v>25857.610499999999</v>
      </c>
      <c r="C192">
        <v>4396</v>
      </c>
      <c r="D192">
        <v>4838</v>
      </c>
      <c r="E192">
        <v>5394.9750000000004</v>
      </c>
      <c r="F192">
        <v>5.3446900578751544</v>
      </c>
      <c r="G192">
        <v>4.7929064546174907</v>
      </c>
      <c r="H192">
        <v>0.1005459508644222</v>
      </c>
      <c r="I192">
        <v>0.11512505167424569</v>
      </c>
      <c r="J192">
        <v>3503</v>
      </c>
      <c r="K192">
        <v>0.72405952873088053</v>
      </c>
      <c r="L192">
        <v>1320</v>
      </c>
      <c r="M192">
        <v>0.27284001653575857</v>
      </c>
      <c r="N192">
        <v>641</v>
      </c>
      <c r="O192">
        <v>0.13249276560562215</v>
      </c>
      <c r="P192">
        <v>469</v>
      </c>
      <c r="Q192">
        <v>9.6940884663083912E-2</v>
      </c>
      <c r="R192">
        <v>1151</v>
      </c>
      <c r="S192">
        <v>0.23790822653989252</v>
      </c>
      <c r="T192">
        <v>1351</v>
      </c>
      <c r="U192">
        <v>4258</v>
      </c>
      <c r="V192">
        <v>881.07999999999993</v>
      </c>
      <c r="W192">
        <v>0.18211657709797435</v>
      </c>
    </row>
    <row r="193" spans="1:23" x14ac:dyDescent="0.2">
      <c r="A193" t="s">
        <v>608</v>
      </c>
      <c r="B193">
        <v>2858.7084</v>
      </c>
      <c r="C193">
        <v>741.42</v>
      </c>
      <c r="D193">
        <v>883.15200000000004</v>
      </c>
      <c r="E193">
        <v>981.11099999999999</v>
      </c>
      <c r="F193">
        <v>3.2369381488124351</v>
      </c>
      <c r="G193">
        <v>2.9137461510471292</v>
      </c>
      <c r="H193">
        <v>0.19116290361738297</v>
      </c>
      <c r="I193">
        <v>0.11091975107342789</v>
      </c>
      <c r="J193">
        <v>610.00600537109381</v>
      </c>
      <c r="K193">
        <v>0.69071462825322683</v>
      </c>
      <c r="L193">
        <v>256.012</v>
      </c>
      <c r="M193">
        <v>0.28988441400800768</v>
      </c>
      <c r="N193">
        <v>212.03</v>
      </c>
      <c r="O193">
        <v>0.24008324727793176</v>
      </c>
      <c r="P193">
        <v>108.65300000000001</v>
      </c>
      <c r="Q193">
        <v>0.12302865191948838</v>
      </c>
      <c r="R193">
        <v>82.168000000000006</v>
      </c>
      <c r="S193">
        <v>9.3039476783158506E-2</v>
      </c>
      <c r="T193">
        <v>94.092000000000013</v>
      </c>
      <c r="U193">
        <v>372.87</v>
      </c>
      <c r="V193">
        <v>49.854209999999995</v>
      </c>
      <c r="W193">
        <v>5.6450316593293103E-2</v>
      </c>
    </row>
    <row r="194" spans="1:23" x14ac:dyDescent="0.2">
      <c r="A194" t="s">
        <v>609</v>
      </c>
      <c r="B194">
        <v>2570.2040999999999</v>
      </c>
      <c r="C194">
        <v>692.62300000000005</v>
      </c>
      <c r="D194">
        <v>756.01800000000003</v>
      </c>
      <c r="E194">
        <v>833.2</v>
      </c>
      <c r="F194">
        <v>3.3996599287318552</v>
      </c>
      <c r="G194">
        <v>3.0847384781565048</v>
      </c>
      <c r="H194">
        <v>9.1528869240553631E-2</v>
      </c>
      <c r="I194">
        <v>0.10209016187445275</v>
      </c>
      <c r="J194">
        <v>351.15899945068361</v>
      </c>
      <c r="K194">
        <v>0.46448497185342624</v>
      </c>
      <c r="L194">
        <v>66.022000000000006</v>
      </c>
      <c r="M194">
        <v>8.7328608578102637E-2</v>
      </c>
      <c r="O194"/>
      <c r="Q194"/>
      <c r="R194">
        <v>88.09</v>
      </c>
      <c r="S194">
        <v>0.11651838977378845</v>
      </c>
      <c r="T194">
        <v>35.474000000000004</v>
      </c>
      <c r="U194">
        <v>32.423999999999999</v>
      </c>
      <c r="V194">
        <v>25.583342077704</v>
      </c>
      <c r="W194">
        <v>3.3839593869066605E-2</v>
      </c>
    </row>
    <row r="195" spans="1:23" x14ac:dyDescent="0.2">
      <c r="A195" t="s">
        <v>610</v>
      </c>
      <c r="B195">
        <v>4868.8302000000003</v>
      </c>
      <c r="C195">
        <v>1082.9000000000001</v>
      </c>
      <c r="D195">
        <v>1286.5</v>
      </c>
      <c r="E195">
        <v>1414.836</v>
      </c>
      <c r="F195">
        <v>3.7845551496307817</v>
      </c>
      <c r="G195">
        <v>3.4412682459309774</v>
      </c>
      <c r="H195">
        <v>0.18801366700526354</v>
      </c>
      <c r="I195">
        <v>9.9755926933540628E-2</v>
      </c>
      <c r="J195">
        <v>696.89999084472652</v>
      </c>
      <c r="K195">
        <v>0.54170228592672098</v>
      </c>
      <c r="L195">
        <v>173.6</v>
      </c>
      <c r="M195">
        <v>0.13493975903614458</v>
      </c>
      <c r="N195">
        <v>252.2</v>
      </c>
      <c r="O195">
        <v>0.19603575592693354</v>
      </c>
      <c r="P195">
        <v>145.4</v>
      </c>
      <c r="Q195">
        <v>0.11301982122036534</v>
      </c>
      <c r="R195">
        <v>325.79999999999995</v>
      </c>
      <c r="S195">
        <v>0.25324523902059848</v>
      </c>
      <c r="T195">
        <v>297.59999999999997</v>
      </c>
      <c r="U195">
        <v>165.1</v>
      </c>
      <c r="V195">
        <v>132.49198895886499</v>
      </c>
      <c r="W195">
        <v>0.10298638861940536</v>
      </c>
    </row>
    <row r="196" spans="1:23" x14ac:dyDescent="0.2">
      <c r="A196" t="s">
        <v>611</v>
      </c>
      <c r="B196">
        <v>3484.2853</v>
      </c>
      <c r="C196">
        <v>583.90300000000002</v>
      </c>
      <c r="D196">
        <v>106.27463551615409</v>
      </c>
      <c r="E196">
        <v>116.741</v>
      </c>
      <c r="F196">
        <v>32.785671605247494</v>
      </c>
      <c r="G196">
        <v>29.846286223349125</v>
      </c>
      <c r="H196">
        <v>-0.81799265371790508</v>
      </c>
      <c r="I196">
        <v>9.8484124956184749E-2</v>
      </c>
      <c r="J196">
        <v>81.477672212029802</v>
      </c>
      <c r="K196">
        <v>0.76667091650147257</v>
      </c>
      <c r="M196"/>
      <c r="N196">
        <v>29.383652730074935</v>
      </c>
      <c r="O196">
        <v>0.27648791818823526</v>
      </c>
      <c r="P196">
        <v>8.5565256221919981</v>
      </c>
      <c r="Q196">
        <v>8.0513337737031135E-2</v>
      </c>
      <c r="R196">
        <v>46.149536384401458</v>
      </c>
      <c r="S196">
        <v>0.4342478914207763</v>
      </c>
      <c r="T196">
        <v>70.03</v>
      </c>
      <c r="U196">
        <v>647.51599999999996</v>
      </c>
      <c r="V196">
        <v>37.745532686694702</v>
      </c>
      <c r="W196">
        <v>0.3551697213862216</v>
      </c>
    </row>
    <row r="197" spans="1:23" x14ac:dyDescent="0.2">
      <c r="A197" t="s">
        <v>612</v>
      </c>
      <c r="B197">
        <v>988.6848</v>
      </c>
      <c r="C197">
        <v>73.400999999999996</v>
      </c>
      <c r="D197">
        <v>158.81090657152305</v>
      </c>
      <c r="E197">
        <v>172.51400000000001</v>
      </c>
      <c r="F197">
        <v>6.2255472331475534</v>
      </c>
      <c r="G197">
        <v>5.7310409589946323</v>
      </c>
      <c r="H197">
        <v>1.1636068523797094</v>
      </c>
      <c r="I197">
        <v>8.6285594133961752E-2</v>
      </c>
      <c r="J197">
        <v>122.86743957034734</v>
      </c>
      <c r="K197">
        <v>0.77367129388567535</v>
      </c>
      <c r="L197">
        <v>15.0808138126222</v>
      </c>
      <c r="M197">
        <v>9.4960819368097443E-2</v>
      </c>
      <c r="O197"/>
      <c r="Q197"/>
      <c r="R197">
        <v>34.725540664341814</v>
      </c>
      <c r="S197">
        <v>0.21865967151760202</v>
      </c>
      <c r="T197">
        <v>25.52</v>
      </c>
      <c r="U197">
        <v>22.753</v>
      </c>
      <c r="V197">
        <v>16.478658119925523</v>
      </c>
      <c r="W197">
        <v>0.10376276085612605</v>
      </c>
    </row>
    <row r="198" spans="1:23" x14ac:dyDescent="0.2">
      <c r="A198" t="s">
        <v>613</v>
      </c>
      <c r="B198">
        <v>503.5813</v>
      </c>
      <c r="C198">
        <v>264.7</v>
      </c>
      <c r="D198">
        <v>390.21064688256155</v>
      </c>
      <c r="E198">
        <v>423.65500000000003</v>
      </c>
      <c r="F198">
        <v>1.2905370574154493</v>
      </c>
      <c r="G198">
        <v>1.1886589323860215</v>
      </c>
      <c r="H198">
        <v>0.47416186959789031</v>
      </c>
      <c r="I198">
        <v>8.5708458712311808E-2</v>
      </c>
      <c r="J198">
        <v>208.1033694655994</v>
      </c>
      <c r="K198">
        <v>0.53331033155594687</v>
      </c>
      <c r="L198">
        <v>34.018854199922998</v>
      </c>
      <c r="M198">
        <v>8.718074320038062E-2</v>
      </c>
      <c r="O198"/>
      <c r="P198">
        <v>172.67145692385159</v>
      </c>
      <c r="Q198">
        <v>0.44250831775950766</v>
      </c>
      <c r="R198">
        <v>41.081894131577933</v>
      </c>
      <c r="S198">
        <v>0.10528132550914739</v>
      </c>
      <c r="T198">
        <v>12.2</v>
      </c>
      <c r="U198">
        <v>22.7</v>
      </c>
      <c r="V198">
        <v>28.187567163656766</v>
      </c>
      <c r="W198">
        <v>7.2236796686227123E-2</v>
      </c>
    </row>
  </sheetData>
  <autoFilter ref="A1:W198" xr:uid="{D7732E78-9483-4441-974D-E94DC32681D4}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51355-4BB2-46AB-8302-6ABE25AED3D1}">
  <dimension ref="A1:Z198"/>
  <sheetViews>
    <sheetView topLeftCell="B150" workbookViewId="0">
      <selection activeCell="H41" sqref="H41"/>
    </sheetView>
  </sheetViews>
  <sheetFormatPr defaultRowHeight="12.75" x14ac:dyDescent="0.2"/>
  <cols>
    <col min="1" max="1" width="18.140625" hidden="1" customWidth="1"/>
    <col min="2" max="2" width="18.28515625" customWidth="1"/>
    <col min="3" max="3" width="14" bestFit="1" customWidth="1"/>
    <col min="4" max="4" width="10.5703125" bestFit="1" customWidth="1"/>
    <col min="5" max="5" width="10.5703125" customWidth="1"/>
    <col min="6" max="6" width="14" customWidth="1"/>
    <col min="7" max="7" width="9.7109375" customWidth="1"/>
    <col min="8" max="9" width="9.7109375" style="174" customWidth="1"/>
    <col min="10" max="10" width="9.7109375" customWidth="1"/>
    <col min="11" max="11" width="14.85546875" style="181" bestFit="1" customWidth="1"/>
    <col min="12" max="12" width="9.42578125" customWidth="1"/>
    <col min="13" max="13" width="13.5703125" style="177" bestFit="1" customWidth="1"/>
    <col min="14" max="14" width="9.42578125" customWidth="1"/>
    <col min="15" max="15" width="12.28515625" style="184" customWidth="1"/>
    <col min="16" max="16" width="12.28515625" customWidth="1"/>
    <col min="17" max="17" width="12.28515625" style="184" customWidth="1"/>
    <col min="18" max="18" width="12.28515625" customWidth="1"/>
    <col min="19" max="19" width="12.28515625" style="184" customWidth="1"/>
    <col min="20" max="20" width="14" customWidth="1"/>
    <col min="21" max="21" width="12.28515625" style="184" customWidth="1"/>
    <col min="22" max="25" width="12.28515625" customWidth="1"/>
    <col min="26" max="26" width="14.85546875" bestFit="1" customWidth="1"/>
    <col min="28" max="28" width="26.28515625" customWidth="1"/>
    <col min="29" max="35" width="16.28515625" customWidth="1"/>
  </cols>
  <sheetData>
    <row r="1" spans="1:26" ht="55.5" customHeight="1" x14ac:dyDescent="0.2">
      <c r="A1" s="41" t="s">
        <v>0</v>
      </c>
      <c r="B1" s="95" t="s">
        <v>424</v>
      </c>
      <c r="C1" s="16" t="s">
        <v>434</v>
      </c>
      <c r="D1" s="16" t="s">
        <v>435</v>
      </c>
      <c r="E1" s="16" t="s">
        <v>951</v>
      </c>
      <c r="F1" s="40" t="s">
        <v>814</v>
      </c>
      <c r="G1" s="40" t="s">
        <v>961</v>
      </c>
      <c r="H1" s="172" t="s">
        <v>902</v>
      </c>
      <c r="I1" s="172" t="s">
        <v>957</v>
      </c>
      <c r="J1" s="40" t="s">
        <v>958</v>
      </c>
      <c r="K1" s="178" t="s">
        <v>960</v>
      </c>
      <c r="L1" s="40" t="s">
        <v>959</v>
      </c>
      <c r="M1" s="175" t="s">
        <v>507</v>
      </c>
      <c r="N1" s="40" t="s">
        <v>498</v>
      </c>
      <c r="O1" s="182" t="s">
        <v>508</v>
      </c>
      <c r="P1" s="40" t="s">
        <v>499</v>
      </c>
      <c r="Q1" s="182" t="s">
        <v>509</v>
      </c>
      <c r="R1" s="40" t="s">
        <v>500</v>
      </c>
      <c r="S1" s="182" t="s">
        <v>510</v>
      </c>
      <c r="T1" s="40" t="s">
        <v>438</v>
      </c>
      <c r="U1" s="182" t="s">
        <v>511</v>
      </c>
      <c r="V1" s="40" t="s">
        <v>954</v>
      </c>
      <c r="W1" s="40" t="s">
        <v>956</v>
      </c>
      <c r="X1" s="40" t="s">
        <v>982</v>
      </c>
      <c r="Y1" s="40" t="s">
        <v>439</v>
      </c>
      <c r="Z1" s="96" t="s">
        <v>512</v>
      </c>
    </row>
    <row r="2" spans="1:26" x14ac:dyDescent="0.2">
      <c r="A2" s="1" t="s">
        <v>1</v>
      </c>
      <c r="B2" s="1" t="s">
        <v>1</v>
      </c>
      <c r="C2" s="36">
        <v>693371.47566564882</v>
      </c>
      <c r="D2" s="36">
        <v>759109.37990000006</v>
      </c>
      <c r="E2" s="36">
        <v>91154</v>
      </c>
      <c r="F2" s="36">
        <v>110360</v>
      </c>
      <c r="G2" s="36">
        <v>122897.462</v>
      </c>
      <c r="H2" s="173">
        <f>D2/F2</f>
        <v>6.8784829639362091</v>
      </c>
      <c r="I2" s="173">
        <v>6.1767701915601814</v>
      </c>
      <c r="J2" s="171">
        <f>(F2-E2)/E2</f>
        <v>0.21069837856813745</v>
      </c>
      <c r="K2" s="171">
        <f>(G2-F2)/F2</f>
        <v>0.1136051286698079</v>
      </c>
      <c r="L2" s="36">
        <v>72007</v>
      </c>
      <c r="M2" s="176">
        <v>0.65247372236317502</v>
      </c>
      <c r="N2" s="36">
        <v>14726</v>
      </c>
      <c r="O2" s="183">
        <v>0.13343602754621239</v>
      </c>
      <c r="P2" s="36">
        <v>17469</v>
      </c>
      <c r="Q2" s="183">
        <v>0.15829104748097136</v>
      </c>
      <c r="R2" s="36">
        <v>4754</v>
      </c>
      <c r="S2" s="183">
        <v>4.3077201884740846E-2</v>
      </c>
      <c r="T2" s="36">
        <v>45319</v>
      </c>
      <c r="U2" s="183">
        <v>0.41064697354113811</v>
      </c>
      <c r="V2" s="36">
        <v>31999</v>
      </c>
      <c r="W2" s="36">
        <v>11946</v>
      </c>
      <c r="X2" s="173">
        <v>0.10824574121058354</v>
      </c>
      <c r="Y2" s="36">
        <v>27500.14</v>
      </c>
      <c r="Z2" s="170">
        <v>0.24918575570859006</v>
      </c>
    </row>
    <row r="3" spans="1:26" x14ac:dyDescent="0.2">
      <c r="A3" s="1" t="s">
        <v>7</v>
      </c>
      <c r="B3" s="1" t="s">
        <v>7</v>
      </c>
      <c r="C3" s="36">
        <v>187909.0172400763</v>
      </c>
      <c r="D3" s="36">
        <v>178833.2904</v>
      </c>
      <c r="E3" s="36">
        <v>37047</v>
      </c>
      <c r="F3" s="36">
        <v>39836</v>
      </c>
      <c r="G3" s="36">
        <v>40369.717000000004</v>
      </c>
      <c r="H3" s="173">
        <v>4.4892381363590719</v>
      </c>
      <c r="I3" s="173">
        <v>4.429887145357001</v>
      </c>
      <c r="J3" s="171">
        <f>(F3-E3)/E3</f>
        <v>7.5282748940534994E-2</v>
      </c>
      <c r="K3" s="171">
        <f>(G3-F3)/F3</f>
        <v>1.3397856210463003E-2</v>
      </c>
      <c r="L3" s="36">
        <v>31737</v>
      </c>
      <c r="M3" s="176">
        <v>0.79669143488302041</v>
      </c>
      <c r="N3" s="36">
        <v>6091</v>
      </c>
      <c r="O3" s="183">
        <v>0.15290189778090169</v>
      </c>
      <c r="P3" s="36">
        <v>8431</v>
      </c>
      <c r="Q3" s="183">
        <v>0.21164273521437896</v>
      </c>
      <c r="R3" s="36">
        <v>1289</v>
      </c>
      <c r="S3" s="183">
        <v>3.2357666432372728E-2</v>
      </c>
      <c r="T3" s="36">
        <v>17054</v>
      </c>
      <c r="U3" s="183">
        <v>0.42810523144894064</v>
      </c>
      <c r="V3" s="36">
        <v>13896</v>
      </c>
      <c r="W3" s="36">
        <v>21620</v>
      </c>
      <c r="X3" s="173">
        <v>0.54272517321016167</v>
      </c>
      <c r="Y3" s="36">
        <v>11273.48040882633</v>
      </c>
      <c r="Z3" s="170">
        <v>0.2829972991471616</v>
      </c>
    </row>
    <row r="4" spans="1:26" x14ac:dyDescent="0.2">
      <c r="A4" s="1" t="s">
        <v>9</v>
      </c>
      <c r="B4" s="1" t="s">
        <v>9</v>
      </c>
      <c r="C4" s="36">
        <v>105936.7256366412</v>
      </c>
      <c r="D4" s="36">
        <v>117401.54</v>
      </c>
      <c r="E4" s="36">
        <v>5854.43</v>
      </c>
      <c r="F4" s="36">
        <v>8571.9779999999992</v>
      </c>
      <c r="G4" s="36">
        <v>10315.565000000001</v>
      </c>
      <c r="H4" s="173">
        <v>13.695968421757499</v>
      </c>
      <c r="I4" s="173">
        <v>11.381009183694736</v>
      </c>
      <c r="J4" s="171">
        <f t="shared" ref="J4:J66" si="0">(F4-E4)/E4</f>
        <v>0.46418660740669865</v>
      </c>
      <c r="K4" s="171">
        <v>0.20340544504430613</v>
      </c>
      <c r="L4" s="36">
        <v>7465.3680576171873</v>
      </c>
      <c r="M4" s="176">
        <v>0.8709037817895926</v>
      </c>
      <c r="N4" s="36">
        <v>1224.059</v>
      </c>
      <c r="O4" s="183">
        <v>0.14279772999884041</v>
      </c>
      <c r="P4" s="36">
        <v>2197.5920000000001</v>
      </c>
      <c r="Q4" s="183">
        <v>0.25636930006119946</v>
      </c>
      <c r="R4" s="36">
        <v>624.70600000000002</v>
      </c>
      <c r="S4" s="183">
        <v>7.2877695206403942E-2</v>
      </c>
      <c r="T4" s="36">
        <v>3089.8100000000004</v>
      </c>
      <c r="U4" s="183">
        <v>0.36045472818525676</v>
      </c>
      <c r="V4" s="36">
        <v>3512.8310000000001</v>
      </c>
      <c r="W4" s="36">
        <v>2306.0720000000001</v>
      </c>
      <c r="X4" s="173">
        <v>0.2690244888635972</v>
      </c>
      <c r="Y4" s="36">
        <v>2415.5068601730072</v>
      </c>
      <c r="Z4" s="170">
        <v>0.28179107087920752</v>
      </c>
    </row>
    <row r="5" spans="1:26" x14ac:dyDescent="0.2">
      <c r="A5" s="1" t="s">
        <v>11</v>
      </c>
      <c r="B5" s="1" t="s">
        <v>11</v>
      </c>
      <c r="C5" s="36">
        <v>91035.728572900844</v>
      </c>
      <c r="D5" s="36">
        <v>103894.19990000001</v>
      </c>
      <c r="E5" s="36">
        <v>6667.2160000000003</v>
      </c>
      <c r="F5" s="36">
        <v>11817.844000000001</v>
      </c>
      <c r="G5" s="36">
        <v>14404.651</v>
      </c>
      <c r="H5" s="173">
        <v>8.7912989797462213</v>
      </c>
      <c r="I5" s="173">
        <v>7.2125454410523382</v>
      </c>
      <c r="J5" s="171">
        <f t="shared" si="0"/>
        <v>0.77253054348321704</v>
      </c>
      <c r="K5" s="171">
        <v>0.2188899261151187</v>
      </c>
      <c r="L5" s="36">
        <v>8749.5439453125</v>
      </c>
      <c r="M5" s="176">
        <v>0.74036718925317502</v>
      </c>
      <c r="N5" s="36">
        <v>1553.0729999999999</v>
      </c>
      <c r="O5" s="183">
        <v>0.13141762575305613</v>
      </c>
      <c r="P5" s="36">
        <v>4829.2910000000002</v>
      </c>
      <c r="Q5" s="183">
        <v>0.40864399631607928</v>
      </c>
      <c r="R5" s="36">
        <v>1088.3579999999999</v>
      </c>
      <c r="S5" s="183">
        <v>9.2094463254041928E-2</v>
      </c>
      <c r="T5" s="36">
        <v>1308.0920000000001</v>
      </c>
      <c r="U5" s="183">
        <v>0.11068787166254691</v>
      </c>
      <c r="V5" s="36">
        <v>2552.5609999999997</v>
      </c>
      <c r="W5" s="36">
        <v>2543</v>
      </c>
      <c r="X5" s="173">
        <v>0.21518307400233069</v>
      </c>
      <c r="Y5" s="36">
        <v>482.47887560000004</v>
      </c>
      <c r="Z5" s="170">
        <v>4.0826302631850615E-2</v>
      </c>
    </row>
    <row r="6" spans="1:26" x14ac:dyDescent="0.2">
      <c r="A6" s="1" t="s">
        <v>15</v>
      </c>
      <c r="B6" s="1" t="s">
        <v>15</v>
      </c>
      <c r="C6" s="36">
        <v>55917.901682061049</v>
      </c>
      <c r="D6" s="36">
        <v>61613.105499999998</v>
      </c>
      <c r="E6" s="36">
        <v>11667.8</v>
      </c>
      <c r="F6" s="36">
        <v>13325.8</v>
      </c>
      <c r="G6" s="36">
        <v>14165.857</v>
      </c>
      <c r="H6" s="173">
        <v>4.6235952438127539</v>
      </c>
      <c r="I6" s="173">
        <v>4.3494089697502947</v>
      </c>
      <c r="J6" s="171">
        <f t="shared" si="0"/>
        <v>0.14210048166749517</v>
      </c>
      <c r="K6" s="171">
        <v>6.303989253928477E-2</v>
      </c>
      <c r="L6" s="36">
        <v>5483.0999511718746</v>
      </c>
      <c r="M6" s="176">
        <v>0.41146497404822785</v>
      </c>
      <c r="N6" s="36">
        <v>0</v>
      </c>
      <c r="O6" s="183">
        <v>0</v>
      </c>
      <c r="P6" s="36" t="s">
        <v>480</v>
      </c>
      <c r="Q6" s="183" t="e">
        <v>#VALUE!</v>
      </c>
      <c r="R6" s="36" t="s">
        <v>480</v>
      </c>
      <c r="S6" s="183" t="e">
        <v>#VALUE!</v>
      </c>
      <c r="T6" s="36">
        <v>3327.1</v>
      </c>
      <c r="U6" s="183">
        <v>0.24967356556454398</v>
      </c>
      <c r="V6" s="36">
        <v>2243.7000000000003</v>
      </c>
      <c r="W6" s="36">
        <v>2170</v>
      </c>
      <c r="X6" s="173">
        <v>0.16284200573323929</v>
      </c>
      <c r="Y6" s="36">
        <v>1929.6169999999997</v>
      </c>
      <c r="Z6" s="170">
        <v>0.144803088745141</v>
      </c>
    </row>
    <row r="7" spans="1:26" x14ac:dyDescent="0.2">
      <c r="A7" s="1" t="s">
        <v>17</v>
      </c>
      <c r="B7" s="1" t="s">
        <v>17</v>
      </c>
      <c r="C7" s="36">
        <v>47401.999779770951</v>
      </c>
      <c r="D7" s="36">
        <v>49272.508399999999</v>
      </c>
      <c r="E7" s="36">
        <v>7093</v>
      </c>
      <c r="F7" s="36">
        <v>8467</v>
      </c>
      <c r="G7" s="36">
        <v>9081.755000000001</v>
      </c>
      <c r="H7" s="173">
        <v>5.8193584976969408</v>
      </c>
      <c r="I7" s="173">
        <v>5.4254390698714063</v>
      </c>
      <c r="J7" s="171">
        <f t="shared" si="0"/>
        <v>0.19371211053150994</v>
      </c>
      <c r="K7" s="171">
        <v>7.2605999763788898E-2</v>
      </c>
      <c r="L7" s="36">
        <v>7285</v>
      </c>
      <c r="M7" s="176">
        <v>0.8603991968820125</v>
      </c>
      <c r="N7" s="36">
        <v>1755</v>
      </c>
      <c r="O7" s="183">
        <v>0.20727530412188497</v>
      </c>
      <c r="P7" s="36">
        <v>2593</v>
      </c>
      <c r="Q7" s="183">
        <v>0.30624778552025511</v>
      </c>
      <c r="R7" s="36">
        <v>654</v>
      </c>
      <c r="S7" s="183">
        <v>7.7241053501830637E-2</v>
      </c>
      <c r="T7" s="36">
        <v>2515</v>
      </c>
      <c r="U7" s="183">
        <v>0.29703554978150465</v>
      </c>
      <c r="V7" s="36">
        <v>3221</v>
      </c>
      <c r="W7" s="36">
        <v>5971</v>
      </c>
      <c r="X7" s="173">
        <v>0.70520845635998586</v>
      </c>
      <c r="Y7" s="36">
        <v>3395.5353242424239</v>
      </c>
      <c r="Z7" s="170">
        <v>0.40103169059199528</v>
      </c>
    </row>
    <row r="8" spans="1:26" x14ac:dyDescent="0.2">
      <c r="A8" s="1" t="s">
        <v>19</v>
      </c>
      <c r="B8" s="1" t="s">
        <v>19</v>
      </c>
      <c r="C8" s="36">
        <v>47250.727452290077</v>
      </c>
      <c r="D8" s="36">
        <v>52287.719499999999</v>
      </c>
      <c r="E8" s="36">
        <v>4694</v>
      </c>
      <c r="F8" s="36">
        <v>5964</v>
      </c>
      <c r="G8" s="36">
        <v>6610.5380000000005</v>
      </c>
      <c r="H8" s="173">
        <v>8.7672232562038896</v>
      </c>
      <c r="I8" s="173">
        <v>7.9097525042591084</v>
      </c>
      <c r="J8" s="171">
        <f t="shared" si="0"/>
        <v>0.27055815935236471</v>
      </c>
      <c r="K8" s="171">
        <v>0.10840677397719656</v>
      </c>
      <c r="L8" s="36">
        <v>4992</v>
      </c>
      <c r="M8" s="176">
        <v>0.83702213279678073</v>
      </c>
      <c r="N8" s="36">
        <v>1186</v>
      </c>
      <c r="O8" s="183">
        <v>0.19885982562038901</v>
      </c>
      <c r="P8" s="36">
        <v>1634</v>
      </c>
      <c r="Q8" s="183">
        <v>0.27397719651240776</v>
      </c>
      <c r="R8" s="36">
        <v>664</v>
      </c>
      <c r="S8" s="183">
        <v>0.11133467471495641</v>
      </c>
      <c r="T8" s="36">
        <v>1823</v>
      </c>
      <c r="U8" s="183">
        <v>0.3056673373574782</v>
      </c>
      <c r="V8" s="36">
        <v>1938</v>
      </c>
      <c r="W8" s="36">
        <v>1464</v>
      </c>
      <c r="X8" s="173">
        <v>0.24547283702213279</v>
      </c>
      <c r="Y8" s="36">
        <v>1268.9562790151069</v>
      </c>
      <c r="Z8" s="170">
        <v>0.21276932914404878</v>
      </c>
    </row>
    <row r="9" spans="1:26" x14ac:dyDescent="0.2">
      <c r="A9" s="1" t="s">
        <v>23</v>
      </c>
      <c r="B9" s="1" t="s">
        <v>23</v>
      </c>
      <c r="C9" s="36">
        <v>28102.424114503818</v>
      </c>
      <c r="D9" s="36">
        <v>30069.100900000001</v>
      </c>
      <c r="E9" s="36">
        <v>1390.5129999999999</v>
      </c>
      <c r="F9" s="36">
        <v>2264.8180000000002</v>
      </c>
      <c r="G9" s="36">
        <v>2957.73</v>
      </c>
      <c r="H9" s="173">
        <v>13.27660805415711</v>
      </c>
      <c r="I9" s="173">
        <v>10.166276468778422</v>
      </c>
      <c r="J9" s="171">
        <f t="shared" si="0"/>
        <v>0.62876434812188042</v>
      </c>
      <c r="K9" s="171">
        <v>0.30594599654365151</v>
      </c>
      <c r="L9" s="36">
        <v>1706.5400173339845</v>
      </c>
      <c r="M9" s="176">
        <v>0.75349984737580866</v>
      </c>
      <c r="N9" s="36">
        <v>377.51799999999997</v>
      </c>
      <c r="O9" s="183">
        <v>0.16668800760149377</v>
      </c>
      <c r="P9" s="36">
        <v>946.61699999999996</v>
      </c>
      <c r="Q9" s="183">
        <v>0.41796603523991765</v>
      </c>
      <c r="R9" s="36">
        <v>210.53299999999999</v>
      </c>
      <c r="S9" s="183">
        <v>9.2958021350942971E-2</v>
      </c>
      <c r="T9" s="36">
        <v>59.362000000000002</v>
      </c>
      <c r="U9" s="183">
        <v>2.6210494618110591E-2</v>
      </c>
      <c r="V9" s="36">
        <v>535.26</v>
      </c>
      <c r="W9" s="36">
        <v>726.495</v>
      </c>
      <c r="X9" s="173">
        <v>0.32077411959813101</v>
      </c>
      <c r="Y9" s="36">
        <v>-89.498374022804001</v>
      </c>
      <c r="Z9" s="170">
        <v>-3.9516806217013457E-2</v>
      </c>
    </row>
    <row r="10" spans="1:26" x14ac:dyDescent="0.2">
      <c r="A10" s="1" t="s">
        <v>29</v>
      </c>
      <c r="B10" s="1" t="s">
        <v>29</v>
      </c>
      <c r="C10" s="36">
        <v>30587.949399999987</v>
      </c>
      <c r="D10" s="36">
        <v>37238.548000000003</v>
      </c>
      <c r="E10" s="36">
        <v>3578.991</v>
      </c>
      <c r="F10" s="36">
        <v>3957.0110000000004</v>
      </c>
      <c r="G10" s="36">
        <v>4123.2660000000005</v>
      </c>
      <c r="H10" s="173">
        <v>9.4107769728211519</v>
      </c>
      <c r="I10" s="173">
        <v>9.0313232277519813</v>
      </c>
      <c r="J10" s="171">
        <f t="shared" si="0"/>
        <v>0.10562194763831495</v>
      </c>
      <c r="K10" s="171">
        <v>4.2015298921332267E-2</v>
      </c>
      <c r="L10" s="36">
        <v>2980.6710327148439</v>
      </c>
      <c r="M10" s="176">
        <v>0.75326326682307521</v>
      </c>
      <c r="N10" s="36">
        <v>0</v>
      </c>
      <c r="O10" s="183">
        <v>0</v>
      </c>
      <c r="P10" s="36">
        <v>669.50599999999997</v>
      </c>
      <c r="Q10" s="183">
        <v>0.16919487967053917</v>
      </c>
      <c r="R10" s="36">
        <v>295.101</v>
      </c>
      <c r="S10" s="183">
        <v>7.4576744921861463E-2</v>
      </c>
      <c r="T10" s="36">
        <v>1336.268</v>
      </c>
      <c r="U10" s="183">
        <v>0.33769630663144479</v>
      </c>
      <c r="V10" s="36">
        <v>255.92199999999997</v>
      </c>
      <c r="W10" s="36">
        <v>126.503</v>
      </c>
      <c r="X10" s="173">
        <v>3.1969332407718855E-2</v>
      </c>
      <c r="Y10" s="36">
        <v>93.840450000000004</v>
      </c>
      <c r="Z10" s="170">
        <v>2.3714983354860525E-2</v>
      </c>
    </row>
    <row r="11" spans="1:26" x14ac:dyDescent="0.2">
      <c r="A11" s="1" t="s">
        <v>31</v>
      </c>
      <c r="B11" s="1" t="s">
        <v>31</v>
      </c>
      <c r="C11" s="36">
        <v>28326.367522900768</v>
      </c>
      <c r="D11" s="36">
        <v>28484.287400000001</v>
      </c>
      <c r="E11" s="36">
        <v>2504.1</v>
      </c>
      <c r="F11" s="36">
        <v>2240.6999999999998</v>
      </c>
      <c r="G11" s="36">
        <v>2807.2000000000003</v>
      </c>
      <c r="H11" s="173">
        <v>12.712227161154997</v>
      </c>
      <c r="I11" s="173">
        <v>10.146867839840409</v>
      </c>
      <c r="J11" s="171">
        <f t="shared" si="0"/>
        <v>-0.10518749251227991</v>
      </c>
      <c r="K11" s="171">
        <v>0.25282277859597468</v>
      </c>
      <c r="L11" s="36">
        <v>1953.5000061035157</v>
      </c>
      <c r="M11" s="176">
        <v>0.87182577145691786</v>
      </c>
      <c r="N11" s="36">
        <v>755.5</v>
      </c>
      <c r="O11" s="183">
        <v>0.33717141964564645</v>
      </c>
      <c r="P11" s="36">
        <v>1087.3</v>
      </c>
      <c r="Q11" s="183">
        <v>0.48525014504395947</v>
      </c>
      <c r="R11" s="36">
        <v>305.2</v>
      </c>
      <c r="S11" s="183">
        <v>0.13620743517650735</v>
      </c>
      <c r="T11" s="36">
        <v>-131.1</v>
      </c>
      <c r="U11" s="183">
        <v>-5.8508501807470879E-2</v>
      </c>
      <c r="V11" s="36">
        <v>84.1</v>
      </c>
      <c r="W11" s="36">
        <v>1078</v>
      </c>
      <c r="X11" s="173">
        <v>0.48109965635738833</v>
      </c>
      <c r="Y11" s="36">
        <v>-301.367196788814</v>
      </c>
      <c r="Z11" s="170">
        <v>-0.13449689685759542</v>
      </c>
    </row>
    <row r="12" spans="1:26" x14ac:dyDescent="0.2">
      <c r="A12" s="1" t="s">
        <v>33</v>
      </c>
      <c r="B12" s="1" t="s">
        <v>33</v>
      </c>
      <c r="C12" s="36">
        <v>24973.05331183206</v>
      </c>
      <c r="D12" s="36">
        <v>25456.8783</v>
      </c>
      <c r="E12" s="36">
        <v>1156.69</v>
      </c>
      <c r="F12" s="36">
        <v>2428.232</v>
      </c>
      <c r="G12" s="36">
        <v>3119.846</v>
      </c>
      <c r="H12" s="173">
        <v>10.483709258423414</v>
      </c>
      <c r="I12" s="173">
        <v>8.1596586177651069</v>
      </c>
      <c r="J12" s="171">
        <f t="shared" si="0"/>
        <v>1.0992936741910104</v>
      </c>
      <c r="K12" s="171">
        <v>0.28482204336323713</v>
      </c>
      <c r="L12" s="36">
        <v>1715.5240270996094</v>
      </c>
      <c r="M12" s="176">
        <v>0.70649098895806062</v>
      </c>
      <c r="N12" s="36">
        <v>910.58399999999995</v>
      </c>
      <c r="O12" s="183">
        <v>0.37499876453320768</v>
      </c>
      <c r="P12" s="36">
        <v>683.36699999999996</v>
      </c>
      <c r="Q12" s="183">
        <v>0.28142574515120466</v>
      </c>
      <c r="R12" s="36">
        <v>222.90899999999999</v>
      </c>
      <c r="S12" s="183">
        <v>9.1798889068260364E-2</v>
      </c>
      <c r="T12" s="36">
        <v>-107.83699999999999</v>
      </c>
      <c r="U12" s="183">
        <v>-4.4409677493748537E-2</v>
      </c>
      <c r="V12" s="36">
        <v>288.99900000000002</v>
      </c>
      <c r="W12" s="36">
        <v>1134.355</v>
      </c>
      <c r="X12" s="173">
        <v>0.46715264439312226</v>
      </c>
      <c r="Y12" s="36">
        <v>-334.86065359999998</v>
      </c>
      <c r="Z12" s="170">
        <v>-0.137903072523548</v>
      </c>
    </row>
    <row r="13" spans="1:26" x14ac:dyDescent="0.2">
      <c r="A13" s="1" t="s">
        <v>35</v>
      </c>
      <c r="B13" s="1" t="s">
        <v>35</v>
      </c>
      <c r="C13" s="36">
        <v>23876.471419083959</v>
      </c>
      <c r="D13" s="36">
        <v>23118.2019</v>
      </c>
      <c r="E13" s="36">
        <v>2951.9</v>
      </c>
      <c r="F13" s="36">
        <v>3426.9</v>
      </c>
      <c r="G13" s="36">
        <v>3662.9560000000001</v>
      </c>
      <c r="H13" s="173">
        <v>6.7460976100849166</v>
      </c>
      <c r="I13" s="173">
        <v>6.3113512420023605</v>
      </c>
      <c r="J13" s="171">
        <f t="shared" si="0"/>
        <v>0.16091331007147938</v>
      </c>
      <c r="K13" s="171">
        <v>6.8883247249700963E-2</v>
      </c>
      <c r="L13" s="36">
        <v>2375.6999633789064</v>
      </c>
      <c r="M13" s="176">
        <v>0.69325044891269261</v>
      </c>
      <c r="N13" s="36">
        <v>0</v>
      </c>
      <c r="O13" s="183">
        <v>0</v>
      </c>
      <c r="P13" s="36" t="s">
        <v>480</v>
      </c>
      <c r="Q13" s="183" t="e">
        <v>#VALUE!</v>
      </c>
      <c r="R13" s="36" t="s">
        <v>480</v>
      </c>
      <c r="S13" s="183" t="e">
        <v>#VALUE!</v>
      </c>
      <c r="T13" s="36">
        <v>1437.8257196663981</v>
      </c>
      <c r="U13" s="183">
        <v>0.41957037546073656</v>
      </c>
      <c r="V13" s="36">
        <v>1005.9</v>
      </c>
      <c r="W13" s="36">
        <v>358.2</v>
      </c>
      <c r="X13" s="173">
        <v>0.10452595640374682</v>
      </c>
      <c r="Y13" s="36">
        <v>914.04665999999997</v>
      </c>
      <c r="Z13" s="170">
        <v>0.26672697189880062</v>
      </c>
    </row>
    <row r="14" spans="1:26" x14ac:dyDescent="0.2">
      <c r="A14" s="1" t="s">
        <v>37</v>
      </c>
      <c r="B14" s="1" t="s">
        <v>37</v>
      </c>
      <c r="C14" s="36">
        <v>23418.207872137402</v>
      </c>
      <c r="D14" s="36">
        <v>19172.8344</v>
      </c>
      <c r="E14" s="36">
        <v>2052.23</v>
      </c>
      <c r="F14" s="36">
        <v>3156.587</v>
      </c>
      <c r="G14" s="36">
        <v>3599.1820000000002</v>
      </c>
      <c r="H14" s="173">
        <v>6.0739128685507477</v>
      </c>
      <c r="I14" s="173">
        <v>5.3269977455988604</v>
      </c>
      <c r="J14" s="171">
        <f t="shared" si="0"/>
        <v>0.5381253563197107</v>
      </c>
      <c r="K14" s="171">
        <v>0.14021314793477901</v>
      </c>
      <c r="L14" s="36">
        <v>2690.5739580078125</v>
      </c>
      <c r="M14" s="176">
        <v>0.85236806652495634</v>
      </c>
      <c r="N14" s="36">
        <v>578.32999999999993</v>
      </c>
      <c r="O14" s="183">
        <v>0.18321370518221103</v>
      </c>
      <c r="P14" s="36">
        <v>1198.576</v>
      </c>
      <c r="Q14" s="183">
        <v>0.37970630937781852</v>
      </c>
      <c r="R14" s="36">
        <v>239.316</v>
      </c>
      <c r="S14" s="183">
        <v>7.5814796170674215E-2</v>
      </c>
      <c r="T14" s="36">
        <v>602.68600000000004</v>
      </c>
      <c r="U14" s="183">
        <v>0.19092963381018804</v>
      </c>
      <c r="V14" s="36">
        <v>941.41899999999998</v>
      </c>
      <c r="W14" s="36">
        <v>1724.1319999999998</v>
      </c>
      <c r="X14" s="173">
        <v>0.54620132440512481</v>
      </c>
      <c r="Y14" s="36">
        <v>417.021865536652</v>
      </c>
      <c r="Z14" s="170">
        <v>0.13211163371598883</v>
      </c>
    </row>
    <row r="15" spans="1:26" x14ac:dyDescent="0.2">
      <c r="A15" s="1" t="s">
        <v>39</v>
      </c>
      <c r="B15" s="1" t="s">
        <v>39</v>
      </c>
      <c r="C15" s="36">
        <v>36397.41588740459</v>
      </c>
      <c r="D15" s="36">
        <v>38637.037900000003</v>
      </c>
      <c r="E15" s="36">
        <v>11584</v>
      </c>
      <c r="F15" s="36">
        <v>10956</v>
      </c>
      <c r="G15" s="36">
        <v>8994.0679999999993</v>
      </c>
      <c r="H15" s="173">
        <v>3.5265642479006938</v>
      </c>
      <c r="I15" s="173">
        <v>4.2958356441156553</v>
      </c>
      <c r="J15" s="171">
        <f t="shared" si="0"/>
        <v>-5.4212707182320442E-2</v>
      </c>
      <c r="K15" s="171">
        <v>-0.17907374954362909</v>
      </c>
      <c r="L15" s="36">
        <v>5450</v>
      </c>
      <c r="M15" s="176">
        <v>0.49744432274552758</v>
      </c>
      <c r="N15" s="36">
        <v>0</v>
      </c>
      <c r="O15" s="183">
        <v>0</v>
      </c>
      <c r="P15" s="36" t="s">
        <v>480</v>
      </c>
      <c r="Q15" s="183" t="e">
        <v>#VALUE!</v>
      </c>
      <c r="R15" s="36" t="s">
        <v>480</v>
      </c>
      <c r="S15" s="183" t="e">
        <v>#VALUE!</v>
      </c>
      <c r="T15" s="36">
        <v>3054</v>
      </c>
      <c r="U15" s="183">
        <v>0.2787513691128149</v>
      </c>
      <c r="V15" s="36">
        <v>1975</v>
      </c>
      <c r="W15" s="36">
        <v>498</v>
      </c>
      <c r="X15" s="173">
        <v>4.5454545454545456E-2</v>
      </c>
      <c r="Y15" s="36">
        <v>958.78000000000009</v>
      </c>
      <c r="Z15" s="170">
        <v>8.7511865644395767E-2</v>
      </c>
    </row>
    <row r="16" spans="1:26" x14ac:dyDescent="0.2">
      <c r="A16" s="1" t="s">
        <v>43</v>
      </c>
      <c r="B16" s="1" t="s">
        <v>43</v>
      </c>
      <c r="C16" s="36">
        <v>15172.715456106864</v>
      </c>
      <c r="D16" s="36">
        <v>17761.393199999999</v>
      </c>
      <c r="E16" s="36">
        <v>4025</v>
      </c>
      <c r="F16" s="36">
        <v>4148</v>
      </c>
      <c r="G16" s="36">
        <v>4285.5</v>
      </c>
      <c r="H16" s="173">
        <v>4.2819173577627767</v>
      </c>
      <c r="I16" s="173">
        <v>4.1445323066153303</v>
      </c>
      <c r="J16" s="171">
        <f t="shared" si="0"/>
        <v>3.0559006211180125E-2</v>
      </c>
      <c r="K16" s="171">
        <v>3.3148505303760789E-2</v>
      </c>
      <c r="L16" s="36">
        <v>3546</v>
      </c>
      <c r="M16" s="176">
        <v>0.85486981677917073</v>
      </c>
      <c r="N16" s="36">
        <v>642</v>
      </c>
      <c r="O16" s="183">
        <v>0.15477338476374156</v>
      </c>
      <c r="P16" s="36">
        <v>1061</v>
      </c>
      <c r="Q16" s="183">
        <v>0.25578592092574737</v>
      </c>
      <c r="R16" s="36">
        <v>406</v>
      </c>
      <c r="S16" s="183">
        <v>9.7878495660559311E-2</v>
      </c>
      <c r="T16" s="36">
        <v>1440</v>
      </c>
      <c r="U16" s="183">
        <v>0.34715525554484089</v>
      </c>
      <c r="V16" s="36">
        <v>1064</v>
      </c>
      <c r="W16" s="36">
        <v>3405</v>
      </c>
      <c r="X16" s="173">
        <v>0.82087753134040498</v>
      </c>
      <c r="Y16" s="36">
        <v>788.04512350394702</v>
      </c>
      <c r="Z16" s="170">
        <v>0.18998194877144337</v>
      </c>
    </row>
    <row r="17" spans="1:26" x14ac:dyDescent="0.2">
      <c r="A17" s="1" t="s">
        <v>45</v>
      </c>
      <c r="B17" s="1" t="s">
        <v>45</v>
      </c>
      <c r="C17" s="36">
        <v>21912.990154580155</v>
      </c>
      <c r="D17" s="36">
        <v>21757.589</v>
      </c>
      <c r="E17" s="36">
        <v>2898.15</v>
      </c>
      <c r="F17" s="36">
        <v>3721.3010000000004</v>
      </c>
      <c r="G17" s="36">
        <v>4117.8980000000001</v>
      </c>
      <c r="H17" s="173">
        <v>5.8467694497166445</v>
      </c>
      <c r="I17" s="173">
        <v>5.2836638984258473</v>
      </c>
      <c r="J17" s="171">
        <f t="shared" si="0"/>
        <v>0.28402636164449746</v>
      </c>
      <c r="K17" s="171">
        <v>0.10657482423485765</v>
      </c>
      <c r="L17" s="36">
        <v>2202.0189868164061</v>
      </c>
      <c r="M17" s="176">
        <v>0.59173364014800356</v>
      </c>
      <c r="N17" s="36">
        <v>0</v>
      </c>
      <c r="O17" s="183">
        <v>0</v>
      </c>
      <c r="P17" s="36" t="s">
        <v>480</v>
      </c>
      <c r="Q17" s="183" t="e">
        <v>#VALUE!</v>
      </c>
      <c r="R17" s="36" t="s">
        <v>480</v>
      </c>
      <c r="S17" s="183" t="e">
        <v>#VALUE!</v>
      </c>
      <c r="T17" s="36">
        <v>1229.5550000000001</v>
      </c>
      <c r="U17" s="183">
        <v>0.33040998296026036</v>
      </c>
      <c r="V17" s="36">
        <v>611.91800000000001</v>
      </c>
      <c r="W17" s="36">
        <v>1335.855</v>
      </c>
      <c r="X17" s="173">
        <v>0.35897526160877602</v>
      </c>
      <c r="Y17" s="36">
        <v>446.25907235741499</v>
      </c>
      <c r="Z17" s="170">
        <v>0.11992017639997811</v>
      </c>
    </row>
    <row r="18" spans="1:26" x14ac:dyDescent="0.2">
      <c r="A18" s="1" t="s">
        <v>49</v>
      </c>
      <c r="B18" s="1" t="s">
        <v>49</v>
      </c>
      <c r="C18" s="36">
        <v>13007.661440839687</v>
      </c>
      <c r="D18" s="36">
        <v>12991.4501</v>
      </c>
      <c r="E18" s="36">
        <v>1741.3009999999999</v>
      </c>
      <c r="F18" s="36">
        <v>1896.9269999999999</v>
      </c>
      <c r="G18" s="36">
        <v>1960.394</v>
      </c>
      <c r="H18" s="173">
        <v>6.8486821580377111</v>
      </c>
      <c r="I18" s="173">
        <v>6.62695871340149</v>
      </c>
      <c r="J18" s="171">
        <f t="shared" si="0"/>
        <v>8.9373405287196173E-2</v>
      </c>
      <c r="K18" s="171">
        <v>3.3457797796119682E-2</v>
      </c>
      <c r="L18" s="36">
        <v>1698.6110100097656</v>
      </c>
      <c r="M18" s="176">
        <v>0.89545407388358411</v>
      </c>
      <c r="N18" s="36">
        <v>192.386</v>
      </c>
      <c r="O18" s="183">
        <v>0.1014198226921753</v>
      </c>
      <c r="P18" s="36">
        <v>433.42700000000002</v>
      </c>
      <c r="Q18" s="183">
        <v>0.22848902461718351</v>
      </c>
      <c r="R18" s="36">
        <v>91.965000000000003</v>
      </c>
      <c r="S18" s="183">
        <v>4.8481043287380066E-2</v>
      </c>
      <c r="T18" s="36">
        <v>949.65100000000007</v>
      </c>
      <c r="U18" s="183">
        <v>0.50062601249283711</v>
      </c>
      <c r="V18" s="36">
        <v>1109.6179999999999</v>
      </c>
      <c r="W18" s="36">
        <v>245.01399999999998</v>
      </c>
      <c r="X18" s="173">
        <v>0.1291636420378855</v>
      </c>
      <c r="Y18" s="36">
        <v>822.62414000000001</v>
      </c>
      <c r="Z18" s="170">
        <v>0.43366146404157885</v>
      </c>
    </row>
    <row r="19" spans="1:26" x14ac:dyDescent="0.2">
      <c r="A19" s="1" t="s">
        <v>51</v>
      </c>
      <c r="B19" s="1" t="s">
        <v>51</v>
      </c>
      <c r="C19" s="36">
        <v>13926.055916030537</v>
      </c>
      <c r="D19" s="36">
        <v>15390.5118</v>
      </c>
      <c r="E19" s="36">
        <v>457.05799999999999</v>
      </c>
      <c r="F19" s="36">
        <v>947.42399999999998</v>
      </c>
      <c r="G19" s="36">
        <v>1254.6490000000001</v>
      </c>
      <c r="H19" s="173">
        <v>16.244587217549903</v>
      </c>
      <c r="I19" s="173">
        <v>12.266786806509231</v>
      </c>
      <c r="J19" s="171">
        <f t="shared" si="0"/>
        <v>1.0728747773805511</v>
      </c>
      <c r="K19" s="171">
        <v>0.32427403147904221</v>
      </c>
      <c r="L19" s="36">
        <v>769.6390129394531</v>
      </c>
      <c r="M19" s="176">
        <v>0.81234907806795387</v>
      </c>
      <c r="N19" s="36">
        <v>415.77599999999995</v>
      </c>
      <c r="O19" s="183">
        <v>0.43884892086330929</v>
      </c>
      <c r="P19" s="36">
        <v>187.99</v>
      </c>
      <c r="Q19" s="183">
        <v>0.19842224811699938</v>
      </c>
      <c r="R19" s="36">
        <v>151.24199999999999</v>
      </c>
      <c r="S19" s="183">
        <v>0.15963496808187252</v>
      </c>
      <c r="T19" s="36">
        <v>43.517999999999994</v>
      </c>
      <c r="U19" s="183">
        <v>4.5932971932313299E-2</v>
      </c>
      <c r="V19" s="36">
        <v>292.77500000000003</v>
      </c>
      <c r="W19" s="36">
        <v>1410.3389999999999</v>
      </c>
      <c r="X19" s="173">
        <v>1.4886038352416657</v>
      </c>
      <c r="Y19" s="36">
        <v>-301.38798999999995</v>
      </c>
      <c r="Z19" s="170">
        <v>-0.31811310458675307</v>
      </c>
    </row>
    <row r="20" spans="1:26" x14ac:dyDescent="0.2">
      <c r="A20" s="1" t="s">
        <v>53</v>
      </c>
      <c r="B20" s="1" t="s">
        <v>53</v>
      </c>
      <c r="C20" s="36">
        <v>19042.672377099232</v>
      </c>
      <c r="D20" s="36">
        <v>20360.7772</v>
      </c>
      <c r="E20" s="36">
        <v>4170.0770000000002</v>
      </c>
      <c r="F20" s="36">
        <v>4283.41</v>
      </c>
      <c r="G20" s="36">
        <v>4236.25</v>
      </c>
      <c r="H20" s="173">
        <v>4.7534037600883412</v>
      </c>
      <c r="I20" s="173">
        <v>4.8063209678371202</v>
      </c>
      <c r="J20" s="171">
        <f t="shared" si="0"/>
        <v>2.7177675616061676E-2</v>
      </c>
      <c r="K20" s="171">
        <v>-1.1009919666807533E-2</v>
      </c>
      <c r="L20" s="36">
        <v>1488.7579999999998</v>
      </c>
      <c r="M20" s="176">
        <v>0.34756374010426272</v>
      </c>
      <c r="N20" s="36">
        <v>0</v>
      </c>
      <c r="O20" s="183">
        <v>0</v>
      </c>
      <c r="P20" s="36" t="s">
        <v>480</v>
      </c>
      <c r="Q20" s="183" t="e">
        <v>#VALUE!</v>
      </c>
      <c r="R20" s="36" t="s">
        <v>480</v>
      </c>
      <c r="S20" s="183" t="e">
        <v>#VALUE!</v>
      </c>
      <c r="T20" s="36">
        <v>1222.1279999999999</v>
      </c>
      <c r="U20" s="183">
        <v>0.28531660522807761</v>
      </c>
      <c r="V20" s="36">
        <v>851.66700000000003</v>
      </c>
      <c r="W20" s="36">
        <v>450.35699999999997</v>
      </c>
      <c r="X20" s="173">
        <v>0.10513983018202787</v>
      </c>
      <c r="Y20" s="36">
        <v>562.78363790922901</v>
      </c>
      <c r="Z20" s="170">
        <v>0.13138682449479014</v>
      </c>
    </row>
    <row r="21" spans="1:26" x14ac:dyDescent="0.2">
      <c r="A21" s="1" t="s">
        <v>55</v>
      </c>
      <c r="B21" s="1" t="s">
        <v>55</v>
      </c>
      <c r="C21" s="36">
        <v>18740.32745076334</v>
      </c>
      <c r="D21" s="36">
        <v>14085.412700000001</v>
      </c>
      <c r="E21" s="36">
        <v>2125.0859999999998</v>
      </c>
      <c r="F21" s="36">
        <v>2794.5149999999999</v>
      </c>
      <c r="G21" s="36">
        <v>3253.5360000000001</v>
      </c>
      <c r="H21" s="173">
        <v>5.0403782767313832</v>
      </c>
      <c r="I21" s="173">
        <v>4.3292629004258751</v>
      </c>
      <c r="J21" s="171">
        <f t="shared" si="0"/>
        <v>0.31501266301693209</v>
      </c>
      <c r="K21" s="171">
        <v>0.16425784080600758</v>
      </c>
      <c r="L21" s="36">
        <v>2459.358009765625</v>
      </c>
      <c r="M21" s="176">
        <v>0.88006613303762016</v>
      </c>
      <c r="N21" s="36">
        <v>341.4</v>
      </c>
      <c r="O21" s="183">
        <v>0.12216788959801611</v>
      </c>
      <c r="P21" s="36">
        <v>180.9</v>
      </c>
      <c r="Q21" s="183">
        <v>6.4733952045345974E-2</v>
      </c>
      <c r="R21" s="36">
        <v>193.1</v>
      </c>
      <c r="S21" s="183">
        <v>6.9099646987044266E-2</v>
      </c>
      <c r="T21" s="36">
        <v>707.22400000000005</v>
      </c>
      <c r="U21" s="183">
        <v>0.25307575733177318</v>
      </c>
      <c r="V21" s="36">
        <v>569.976</v>
      </c>
      <c r="W21" s="36">
        <v>488.964</v>
      </c>
      <c r="X21" s="173">
        <v>0.17497275913709534</v>
      </c>
      <c r="Y21" s="36">
        <v>288.48589500000003</v>
      </c>
      <c r="Z21" s="170">
        <v>0.10323290266826267</v>
      </c>
    </row>
    <row r="22" spans="1:26" x14ac:dyDescent="0.2">
      <c r="A22" s="1" t="s">
        <v>57</v>
      </c>
      <c r="B22" s="1" t="s">
        <v>57</v>
      </c>
      <c r="C22" s="36">
        <v>13289.346802671766</v>
      </c>
      <c r="D22" s="36">
        <v>12778.339900000001</v>
      </c>
      <c r="E22" s="36">
        <v>668.43499999999995</v>
      </c>
      <c r="F22" s="36">
        <v>1448.318</v>
      </c>
      <c r="G22" s="36">
        <v>1866.8810000000001</v>
      </c>
      <c r="H22" s="173">
        <v>8.8228827508875813</v>
      </c>
      <c r="I22" s="173">
        <v>6.8447533077898379</v>
      </c>
      <c r="J22" s="171">
        <f t="shared" si="0"/>
        <v>1.1667297493398761</v>
      </c>
      <c r="K22" s="171">
        <v>0.28899937720859659</v>
      </c>
      <c r="L22" s="36">
        <v>1148.2299877929688</v>
      </c>
      <c r="M22" s="176">
        <v>0.79280240098719257</v>
      </c>
      <c r="N22" s="36">
        <v>301.11399999999998</v>
      </c>
      <c r="O22" s="183">
        <v>0.20790599854451852</v>
      </c>
      <c r="P22" s="36">
        <v>808.41700000000003</v>
      </c>
      <c r="Q22" s="183">
        <v>0.55817645019947282</v>
      </c>
      <c r="R22" s="36">
        <v>159.143</v>
      </c>
      <c r="S22" s="183">
        <v>0.10988125535966549</v>
      </c>
      <c r="T22" s="36">
        <v>-257.30799999999999</v>
      </c>
      <c r="U22" s="183">
        <v>-0.17765987856258086</v>
      </c>
      <c r="V22" s="36">
        <v>293.40800000000002</v>
      </c>
      <c r="W22" s="36">
        <v>545.947</v>
      </c>
      <c r="X22" s="173">
        <v>0.37695243724099264</v>
      </c>
      <c r="Y22" s="36">
        <v>-319.97310999999996</v>
      </c>
      <c r="Z22" s="170">
        <v>-0.22092738611271831</v>
      </c>
    </row>
    <row r="23" spans="1:26" x14ac:dyDescent="0.2">
      <c r="A23" s="1" t="s">
        <v>59</v>
      </c>
      <c r="B23" s="1" t="s">
        <v>59</v>
      </c>
      <c r="C23" s="36">
        <v>8717.8563851145027</v>
      </c>
      <c r="D23" s="36">
        <v>12362.801600000001</v>
      </c>
      <c r="E23" s="36">
        <v>1275.443</v>
      </c>
      <c r="F23" s="36">
        <v>1631.1849999999999</v>
      </c>
      <c r="G23" s="36">
        <v>1909.7080000000001</v>
      </c>
      <c r="H23" s="173">
        <v>7.5790309498922568</v>
      </c>
      <c r="I23" s="173">
        <v>6.4736606852984853</v>
      </c>
      <c r="J23" s="171">
        <f t="shared" si="0"/>
        <v>0.27891642354852392</v>
      </c>
      <c r="K23" s="171">
        <v>0.17074887275201789</v>
      </c>
      <c r="L23" s="36">
        <v>1221.8169738769532</v>
      </c>
      <c r="M23" s="176">
        <v>0.74903642068615961</v>
      </c>
      <c r="N23" s="36">
        <v>210.614</v>
      </c>
      <c r="O23" s="183">
        <v>0.12911717555029012</v>
      </c>
      <c r="P23" s="36">
        <v>701.02599999999995</v>
      </c>
      <c r="Q23" s="183">
        <v>0.42976486419382226</v>
      </c>
      <c r="R23" s="36">
        <v>87.861999999999995</v>
      </c>
      <c r="S23" s="183">
        <v>5.386390875345224E-2</v>
      </c>
      <c r="T23" s="36">
        <v>213.77799999999999</v>
      </c>
      <c r="U23" s="183">
        <v>0.1310568696990225</v>
      </c>
      <c r="V23" s="36">
        <v>561.17100000000005</v>
      </c>
      <c r="W23" s="36">
        <v>811.00400000000002</v>
      </c>
      <c r="X23" s="173">
        <v>0.49718701434846446</v>
      </c>
      <c r="Y23" s="36">
        <v>136.69200000000001</v>
      </c>
      <c r="Z23" s="170">
        <v>8.3799201194223835E-2</v>
      </c>
    </row>
    <row r="24" spans="1:26" x14ac:dyDescent="0.2">
      <c r="A24" s="1" t="s">
        <v>61</v>
      </c>
      <c r="B24" s="1" t="s">
        <v>61</v>
      </c>
      <c r="C24" s="36">
        <v>14309.544987022909</v>
      </c>
      <c r="D24" s="36">
        <v>14433.059600000001</v>
      </c>
      <c r="E24" s="36">
        <v>2736.08</v>
      </c>
      <c r="F24" s="36">
        <v>2908.3389999999999</v>
      </c>
      <c r="G24" s="36">
        <v>2991.1260000000002</v>
      </c>
      <c r="H24" s="173">
        <v>4.9626469266478219</v>
      </c>
      <c r="I24" s="173">
        <v>4.8252930836079786</v>
      </c>
      <c r="J24" s="171">
        <f t="shared" si="0"/>
        <v>6.2958319932165732E-2</v>
      </c>
      <c r="K24" s="171">
        <v>2.8465388663426294E-2</v>
      </c>
      <c r="L24" s="36">
        <v>2463.42801171875</v>
      </c>
      <c r="M24" s="176">
        <v>0.84702230782544607</v>
      </c>
      <c r="N24" s="36">
        <v>415.80099999999999</v>
      </c>
      <c r="O24" s="183">
        <v>0.14296854665154235</v>
      </c>
      <c r="P24" s="36">
        <v>1006.112</v>
      </c>
      <c r="Q24" s="183">
        <v>0.34594041478658438</v>
      </c>
      <c r="R24" s="36">
        <v>302.565</v>
      </c>
      <c r="S24" s="183">
        <v>0.104033608186666</v>
      </c>
      <c r="T24" s="36">
        <v>891.87300000000005</v>
      </c>
      <c r="U24" s="183">
        <v>0.30666060593348987</v>
      </c>
      <c r="V24" s="36">
        <v>1009.174</v>
      </c>
      <c r="W24" s="36">
        <v>1115.1299999999999</v>
      </c>
      <c r="X24" s="173">
        <v>0.38342504089103779</v>
      </c>
      <c r="Y24" s="36">
        <v>590.64465502973098</v>
      </c>
      <c r="Z24" s="170">
        <v>0.2030865917039695</v>
      </c>
    </row>
    <row r="25" spans="1:26" x14ac:dyDescent="0.2">
      <c r="A25" s="1" t="s">
        <v>63</v>
      </c>
      <c r="B25" s="1" t="s">
        <v>63</v>
      </c>
      <c r="C25" s="36">
        <v>13073.854198854968</v>
      </c>
      <c r="D25" s="36">
        <v>13254.6572</v>
      </c>
      <c r="E25" s="36">
        <v>2422.5320000000002</v>
      </c>
      <c r="F25" s="36">
        <v>3022.62</v>
      </c>
      <c r="G25" s="36">
        <v>3239.1</v>
      </c>
      <c r="H25" s="173">
        <v>4.3851549979818829</v>
      </c>
      <c r="I25" s="173">
        <v>4.0920802692105829</v>
      </c>
      <c r="J25" s="171">
        <f t="shared" si="0"/>
        <v>0.24771107254723557</v>
      </c>
      <c r="K25" s="171">
        <v>7.1619985310756862E-2</v>
      </c>
      <c r="L25" s="36">
        <v>2310.4400556640626</v>
      </c>
      <c r="M25" s="176">
        <v>0.76438323562474364</v>
      </c>
      <c r="N25" s="36">
        <v>908.84100000000001</v>
      </c>
      <c r="O25" s="183">
        <v>0.30067987375191063</v>
      </c>
      <c r="P25" s="36">
        <v>549.24800000000005</v>
      </c>
      <c r="Q25" s="183">
        <v>0.18171255400943553</v>
      </c>
      <c r="R25" s="36">
        <v>196.84399999999999</v>
      </c>
      <c r="S25" s="183">
        <v>6.5123634462817021E-2</v>
      </c>
      <c r="T25" s="36">
        <v>650.30199999999991</v>
      </c>
      <c r="U25" s="183">
        <v>0.21514513898538351</v>
      </c>
      <c r="V25" s="36">
        <v>387.55500000000006</v>
      </c>
      <c r="W25" s="36">
        <v>1048.356</v>
      </c>
      <c r="X25" s="173">
        <v>0.34683685014986998</v>
      </c>
      <c r="Y25" s="36">
        <v>367.32709702556298</v>
      </c>
      <c r="Z25" s="170">
        <v>0.12152605918890333</v>
      </c>
    </row>
    <row r="26" spans="1:26" x14ac:dyDescent="0.2">
      <c r="A26" s="1" t="s">
        <v>65</v>
      </c>
      <c r="B26" s="1" t="s">
        <v>65</v>
      </c>
      <c r="C26" s="36">
        <v>13620.752501908401</v>
      </c>
      <c r="D26" s="36">
        <v>14343.2274</v>
      </c>
      <c r="E26" s="36">
        <v>2897</v>
      </c>
      <c r="F26" s="36">
        <v>4329.9000000000005</v>
      </c>
      <c r="G26" s="36">
        <v>4491.5709999999999</v>
      </c>
      <c r="H26" s="173">
        <v>3.3126001524284621</v>
      </c>
      <c r="I26" s="173">
        <v>3.1933653948696348</v>
      </c>
      <c r="J26" s="171">
        <f t="shared" si="0"/>
        <v>0.49461511908871264</v>
      </c>
      <c r="K26" s="171">
        <v>3.7338275710755209E-2</v>
      </c>
      <c r="L26" s="36">
        <v>1160.2999847412111</v>
      </c>
      <c r="M26" s="176">
        <v>0.26797385268509921</v>
      </c>
      <c r="N26" s="36">
        <v>0</v>
      </c>
      <c r="O26" s="183">
        <v>0</v>
      </c>
      <c r="P26" s="36" t="s">
        <v>480</v>
      </c>
      <c r="Q26" s="183" t="e">
        <v>#VALUE!</v>
      </c>
      <c r="R26" s="36" t="s">
        <v>480</v>
      </c>
      <c r="S26" s="183" t="e">
        <v>#VALUE!</v>
      </c>
      <c r="T26" s="36">
        <v>810.10000000000014</v>
      </c>
      <c r="U26" s="183">
        <v>0.1870943901706737</v>
      </c>
      <c r="V26" s="36">
        <v>595.70000000000005</v>
      </c>
      <c r="W26" s="36">
        <v>263.89999999999998</v>
      </c>
      <c r="X26" s="173">
        <v>6.0948289798840607E-2</v>
      </c>
      <c r="Y26" s="36">
        <v>445.40826848170406</v>
      </c>
      <c r="Z26" s="170">
        <v>0.102868026624565</v>
      </c>
    </row>
    <row r="27" spans="1:26" x14ac:dyDescent="0.2">
      <c r="A27" s="1" t="s">
        <v>67</v>
      </c>
      <c r="B27" s="1" t="s">
        <v>67</v>
      </c>
      <c r="C27" s="36">
        <v>11971.283748091606</v>
      </c>
      <c r="D27" s="36">
        <v>12773.614</v>
      </c>
      <c r="E27" s="36">
        <v>1816.0830000000001</v>
      </c>
      <c r="F27" s="36">
        <v>2069.8940000000002</v>
      </c>
      <c r="G27" s="36">
        <v>2201.5</v>
      </c>
      <c r="H27" s="173">
        <v>6.1711440295976496</v>
      </c>
      <c r="I27" s="173">
        <v>5.8022321144674081</v>
      </c>
      <c r="J27" s="171">
        <f t="shared" si="0"/>
        <v>0.13975737893036835</v>
      </c>
      <c r="K27" s="171">
        <v>6.3581033618146598E-2</v>
      </c>
      <c r="L27" s="36">
        <v>1826.9869919433593</v>
      </c>
      <c r="M27" s="176">
        <v>0.88264760994686642</v>
      </c>
      <c r="N27" s="36">
        <v>804.22299999999996</v>
      </c>
      <c r="O27" s="183">
        <v>0.38853342248443634</v>
      </c>
      <c r="P27" s="36">
        <v>419.161</v>
      </c>
      <c r="Q27" s="183">
        <v>0.20250360646487209</v>
      </c>
      <c r="R27" s="36">
        <v>134.18100000000001</v>
      </c>
      <c r="S27" s="183">
        <v>6.4825058674502167E-2</v>
      </c>
      <c r="T27" s="36">
        <v>518.21699999999998</v>
      </c>
      <c r="U27" s="183">
        <v>0.25035919713763116</v>
      </c>
      <c r="V27" s="36">
        <v>539.73699999999997</v>
      </c>
      <c r="W27" s="36">
        <v>688.08699999999999</v>
      </c>
      <c r="X27" s="173">
        <v>0.33242620153495778</v>
      </c>
      <c r="Y27" s="36">
        <v>347.59648759077601</v>
      </c>
      <c r="Z27" s="170">
        <v>0.16792960779188498</v>
      </c>
    </row>
    <row r="28" spans="1:26" x14ac:dyDescent="0.2">
      <c r="A28" s="1" t="s">
        <v>69</v>
      </c>
      <c r="B28" s="1" t="s">
        <v>69</v>
      </c>
      <c r="C28" s="36">
        <v>12980.783102671759</v>
      </c>
      <c r="D28" s="36">
        <v>11715.847599999999</v>
      </c>
      <c r="E28" s="36">
        <v>988.46500000000003</v>
      </c>
      <c r="F28" s="36">
        <v>1172.3630000000001</v>
      </c>
      <c r="G28" s="36">
        <v>1282.5710000000001</v>
      </c>
      <c r="H28" s="173">
        <v>9.9933617829972441</v>
      </c>
      <c r="I28" s="173">
        <v>9.1346581202911938</v>
      </c>
      <c r="J28" s="171">
        <f t="shared" si="0"/>
        <v>0.18604401774468496</v>
      </c>
      <c r="K28" s="171">
        <v>9.4005013805451121E-2</v>
      </c>
      <c r="L28" s="36">
        <v>1016.0799910888672</v>
      </c>
      <c r="M28" s="176">
        <v>0.86669401123104972</v>
      </c>
      <c r="N28" s="36">
        <v>202.74599999999998</v>
      </c>
      <c r="O28" s="183">
        <v>0.17293790404507817</v>
      </c>
      <c r="P28" s="36" t="s">
        <v>480</v>
      </c>
      <c r="Q28" s="183" t="e">
        <v>#VALUE!</v>
      </c>
      <c r="R28" s="36" t="s">
        <v>480</v>
      </c>
      <c r="S28" s="183" t="e">
        <v>#VALUE!</v>
      </c>
      <c r="T28" s="36">
        <v>497.34900000000005</v>
      </c>
      <c r="U28" s="183">
        <v>0.42422782022291733</v>
      </c>
      <c r="V28" s="36">
        <v>417.50700000000001</v>
      </c>
      <c r="W28" s="36">
        <v>881.50099999999998</v>
      </c>
      <c r="X28" s="173">
        <v>0.7519010750083378</v>
      </c>
      <c r="Y28" s="36">
        <v>334.11229267563596</v>
      </c>
      <c r="Z28" s="170">
        <v>0.28499047878143197</v>
      </c>
    </row>
    <row r="29" spans="1:26" x14ac:dyDescent="0.2">
      <c r="A29" s="1" t="s">
        <v>71</v>
      </c>
      <c r="B29" s="1" t="s">
        <v>71</v>
      </c>
      <c r="C29" s="36">
        <v>14511.056156106866</v>
      </c>
      <c r="D29" s="36">
        <v>18277.499500000002</v>
      </c>
      <c r="E29" s="36">
        <v>1481.4359999999999</v>
      </c>
      <c r="F29" s="36">
        <v>2174.3449999999998</v>
      </c>
      <c r="G29" s="36">
        <v>4355.393</v>
      </c>
      <c r="H29" s="173">
        <v>8.405979501872979</v>
      </c>
      <c r="I29" s="173">
        <v>4.1965213012924441</v>
      </c>
      <c r="J29" s="171">
        <f t="shared" si="0"/>
        <v>0.46772793424758136</v>
      </c>
      <c r="K29" s="171">
        <v>1.003082767454107</v>
      </c>
      <c r="L29" s="36">
        <v>895.99100952148433</v>
      </c>
      <c r="M29" s="176">
        <v>0.4120739852790079</v>
      </c>
      <c r="N29" s="36">
        <v>153.334</v>
      </c>
      <c r="O29" s="183">
        <v>7.0519627749966091E-2</v>
      </c>
      <c r="P29" s="36">
        <v>118.449</v>
      </c>
      <c r="Q29" s="183">
        <v>5.4475715675295321E-2</v>
      </c>
      <c r="R29" s="36">
        <v>120.17400000000001</v>
      </c>
      <c r="S29" s="183">
        <v>5.5269058038167826E-2</v>
      </c>
      <c r="T29" s="36">
        <v>748.41300000000001</v>
      </c>
      <c r="U29" s="183">
        <v>0.34420158714463439</v>
      </c>
      <c r="V29" s="36">
        <v>419.84499999999997</v>
      </c>
      <c r="W29" s="36">
        <v>64.057000000000002</v>
      </c>
      <c r="X29" s="173">
        <v>2.9460366225231051E-2</v>
      </c>
      <c r="Y29" s="36">
        <v>260.79930813918901</v>
      </c>
      <c r="Z29" s="170">
        <v>0.11994384890125027</v>
      </c>
    </row>
    <row r="30" spans="1:26" x14ac:dyDescent="0.2">
      <c r="A30" s="1" t="s">
        <v>73</v>
      </c>
      <c r="B30" s="1" t="s">
        <v>73</v>
      </c>
      <c r="C30" s="36">
        <v>18337.766692366386</v>
      </c>
      <c r="D30" s="36">
        <v>14628.111500000001</v>
      </c>
      <c r="E30" s="36">
        <v>3600</v>
      </c>
      <c r="F30" s="36">
        <v>4827</v>
      </c>
      <c r="G30" s="36">
        <v>4770.0380000000005</v>
      </c>
      <c r="H30" s="173">
        <v>3.0304767971825153</v>
      </c>
      <c r="I30" s="173">
        <v>3.066665611468923</v>
      </c>
      <c r="J30" s="171">
        <f t="shared" si="0"/>
        <v>0.34083333333333332</v>
      </c>
      <c r="K30" s="171">
        <v>-1.180070437124503E-2</v>
      </c>
      <c r="L30" s="36">
        <v>3803</v>
      </c>
      <c r="M30" s="176">
        <v>0.78785995442303713</v>
      </c>
      <c r="N30" s="36">
        <v>957</v>
      </c>
      <c r="O30" s="183">
        <v>0.19825978868862648</v>
      </c>
      <c r="P30" s="36">
        <v>1593</v>
      </c>
      <c r="Q30" s="183">
        <v>0.33001864512119328</v>
      </c>
      <c r="R30" s="36">
        <v>578</v>
      </c>
      <c r="S30" s="183">
        <v>0.11974311166355915</v>
      </c>
      <c r="T30" s="36">
        <v>1276</v>
      </c>
      <c r="U30" s="183">
        <v>0.26434638491816864</v>
      </c>
      <c r="V30" s="36">
        <v>966</v>
      </c>
      <c r="W30" s="36">
        <v>1774</v>
      </c>
      <c r="X30" s="173">
        <v>0.36751605552102756</v>
      </c>
      <c r="Y30" s="36">
        <v>412.36329172576399</v>
      </c>
      <c r="Z30" s="170">
        <v>8.5428483887666037E-2</v>
      </c>
    </row>
    <row r="31" spans="1:26" x14ac:dyDescent="0.2">
      <c r="A31" s="1" t="s">
        <v>75</v>
      </c>
      <c r="B31" s="1" t="s">
        <v>75</v>
      </c>
      <c r="C31" s="36">
        <v>9976.4073446564907</v>
      </c>
      <c r="D31" s="36">
        <v>11659.7503</v>
      </c>
      <c r="E31" s="36">
        <v>1354.646</v>
      </c>
      <c r="F31" s="36">
        <v>1536.6029999999998</v>
      </c>
      <c r="G31" s="36">
        <v>1642.25</v>
      </c>
      <c r="H31" s="173">
        <v>7.5880043836957238</v>
      </c>
      <c r="I31" s="173">
        <v>7.0998631755213886</v>
      </c>
      <c r="J31" s="171">
        <f t="shared" si="0"/>
        <v>0.13432070075872213</v>
      </c>
      <c r="K31" s="171">
        <v>6.8753607795897898E-2</v>
      </c>
      <c r="L31" s="36">
        <v>662.96098620605471</v>
      </c>
      <c r="M31" s="176">
        <v>0.43144584919205209</v>
      </c>
      <c r="N31" s="36">
        <v>90.339999999999989</v>
      </c>
      <c r="O31" s="183">
        <v>5.8792023704235905E-2</v>
      </c>
      <c r="P31" s="36" t="s">
        <v>480</v>
      </c>
      <c r="Q31" s="183" t="e">
        <v>#VALUE!</v>
      </c>
      <c r="R31" s="36" t="s">
        <v>480</v>
      </c>
      <c r="S31" s="183" t="e">
        <v>#VALUE!</v>
      </c>
      <c r="T31" s="36">
        <v>542.40800000000002</v>
      </c>
      <c r="U31" s="183">
        <v>0.35299163154048252</v>
      </c>
      <c r="V31" s="36">
        <v>359.726</v>
      </c>
      <c r="W31" s="36">
        <v>31.439999999999998</v>
      </c>
      <c r="X31" s="173">
        <v>2.046071756986027E-2</v>
      </c>
      <c r="Y31" s="36">
        <v>282.15797000000003</v>
      </c>
      <c r="Z31" s="170">
        <v>0.18362450808699454</v>
      </c>
    </row>
    <row r="32" spans="1:26" x14ac:dyDescent="0.2">
      <c r="A32" s="1" t="s">
        <v>77</v>
      </c>
      <c r="B32" s="1" t="s">
        <v>77</v>
      </c>
      <c r="C32" s="36">
        <v>15122.797655343511</v>
      </c>
      <c r="D32" s="36">
        <v>13353.356</v>
      </c>
      <c r="E32" s="36">
        <v>7138.1</v>
      </c>
      <c r="F32" s="36">
        <v>7841.5</v>
      </c>
      <c r="G32" s="36">
        <v>8247.7070000000003</v>
      </c>
      <c r="H32" s="173">
        <v>1.7029083721226805</v>
      </c>
      <c r="I32" s="173">
        <v>1.6190386006680402</v>
      </c>
      <c r="J32" s="171">
        <f t="shared" si="0"/>
        <v>9.8541628724730615E-2</v>
      </c>
      <c r="K32" s="171">
        <v>5.1802206210546542E-2</v>
      </c>
      <c r="L32" s="36">
        <v>3531.9999511718752</v>
      </c>
      <c r="M32" s="176">
        <v>0.45042401978854496</v>
      </c>
      <c r="N32" s="36">
        <v>0</v>
      </c>
      <c r="O32" s="183">
        <v>0</v>
      </c>
      <c r="P32" s="36" t="s">
        <v>480</v>
      </c>
      <c r="Q32" s="183" t="e">
        <v>#VALUE!</v>
      </c>
      <c r="R32" s="36">
        <v>166.3</v>
      </c>
      <c r="S32" s="183">
        <v>2.120767710259517E-2</v>
      </c>
      <c r="T32" s="36">
        <v>2272.1</v>
      </c>
      <c r="U32" s="183">
        <v>0.2897532359880125</v>
      </c>
      <c r="V32" s="36">
        <v>2657.3</v>
      </c>
      <c r="W32" s="36">
        <v>4190</v>
      </c>
      <c r="X32" s="173">
        <v>0.53433654275329978</v>
      </c>
      <c r="Y32" s="36">
        <v>884.5</v>
      </c>
      <c r="Z32" s="170">
        <v>0.11279729643563094</v>
      </c>
    </row>
    <row r="33" spans="1:26" x14ac:dyDescent="0.2">
      <c r="A33" s="1" t="s">
        <v>79</v>
      </c>
      <c r="B33" s="1" t="s">
        <v>79</v>
      </c>
      <c r="C33" s="36">
        <v>9922.402533587785</v>
      </c>
      <c r="D33" s="36">
        <v>10635.886500000001</v>
      </c>
      <c r="E33" s="36">
        <v>1140.5329999999999</v>
      </c>
      <c r="F33" s="36">
        <v>1235.683</v>
      </c>
      <c r="G33" s="36">
        <v>1329.231</v>
      </c>
      <c r="H33" s="173">
        <v>8.6072936991121516</v>
      </c>
      <c r="I33" s="173">
        <v>8.0015335934837513</v>
      </c>
      <c r="J33" s="171">
        <f t="shared" si="0"/>
        <v>8.3425907010143588E-2</v>
      </c>
      <c r="K33" s="171">
        <v>7.5705500520764524E-2</v>
      </c>
      <c r="L33" s="36">
        <v>904.73300866699219</v>
      </c>
      <c r="M33" s="176">
        <v>0.73217241692812174</v>
      </c>
      <c r="N33" s="36">
        <v>236.059</v>
      </c>
      <c r="O33" s="183">
        <v>0.19103524123905566</v>
      </c>
      <c r="P33" s="36">
        <v>372.94600000000003</v>
      </c>
      <c r="Q33" s="183">
        <v>0.30181365285433243</v>
      </c>
      <c r="R33" s="36">
        <v>145.06700000000001</v>
      </c>
      <c r="S33" s="183">
        <v>0.11739823239455427</v>
      </c>
      <c r="T33" s="36">
        <v>170.774</v>
      </c>
      <c r="U33" s="183">
        <v>0.1382021117066432</v>
      </c>
      <c r="V33" s="36">
        <v>211.76999999999998</v>
      </c>
      <c r="W33" s="36">
        <v>259.94600000000003</v>
      </c>
      <c r="X33" s="173">
        <v>0.21036625089120756</v>
      </c>
      <c r="Y33" s="36">
        <v>48.873303467433999</v>
      </c>
      <c r="Z33" s="170">
        <v>3.955165157037363E-2</v>
      </c>
    </row>
    <row r="34" spans="1:26" x14ac:dyDescent="0.2">
      <c r="A34" s="1" t="s">
        <v>81</v>
      </c>
      <c r="B34" s="1" t="s">
        <v>81</v>
      </c>
      <c r="C34" s="36">
        <v>9747.6225040816371</v>
      </c>
      <c r="D34" s="36">
        <v>10049.311299999999</v>
      </c>
      <c r="E34" s="36">
        <v>1138.385</v>
      </c>
      <c r="F34" s="36">
        <v>790.56539690225225</v>
      </c>
      <c r="G34" s="36">
        <v>1373.425</v>
      </c>
      <c r="H34" s="173">
        <v>12.711549657216436</v>
      </c>
      <c r="I34" s="173">
        <v>7.3169712943917578</v>
      </c>
      <c r="J34" s="171">
        <f t="shared" si="0"/>
        <v>-0.30553776015824852</v>
      </c>
      <c r="K34" s="171">
        <v>0.73726930799352219</v>
      </c>
      <c r="L34" s="36">
        <v>375.64298104046151</v>
      </c>
      <c r="M34" s="176">
        <v>0.47515737788724272</v>
      </c>
      <c r="N34" s="36">
        <v>0</v>
      </c>
      <c r="O34" s="183">
        <v>0</v>
      </c>
      <c r="P34" s="36">
        <v>76.995211344008382</v>
      </c>
      <c r="Q34" s="183">
        <v>9.7392589715798408E-2</v>
      </c>
      <c r="R34" s="36">
        <v>47.989678864420718</v>
      </c>
      <c r="S34" s="183">
        <v>6.0702984284998117E-2</v>
      </c>
      <c r="T34" s="36">
        <v>266.81505779650513</v>
      </c>
      <c r="U34" s="183">
        <v>0.3374990340356307</v>
      </c>
      <c r="V34" s="36">
        <v>346.06900000000002</v>
      </c>
      <c r="W34" s="36">
        <v>66.766999999999996</v>
      </c>
      <c r="X34" s="173">
        <v>8.445474626339515E-2</v>
      </c>
      <c r="Y34" s="36">
        <v>149.9999767353207</v>
      </c>
      <c r="Z34" s="170">
        <v>0.1897375945406666</v>
      </c>
    </row>
    <row r="35" spans="1:26" x14ac:dyDescent="0.2">
      <c r="A35" s="1" t="s">
        <v>83</v>
      </c>
      <c r="B35" s="1" t="s">
        <v>83</v>
      </c>
      <c r="C35" s="36">
        <v>12102.988356774194</v>
      </c>
      <c r="D35" s="36">
        <v>9553.6566000000003</v>
      </c>
      <c r="E35" s="36">
        <v>844.8</v>
      </c>
      <c r="F35" s="36">
        <v>1106.8</v>
      </c>
      <c r="G35" s="36">
        <v>1480.6469999999999</v>
      </c>
      <c r="H35" s="173">
        <v>8.6317822551499823</v>
      </c>
      <c r="I35" s="173">
        <v>6.4523526539411495</v>
      </c>
      <c r="J35" s="171">
        <f t="shared" si="0"/>
        <v>0.3101325757575758</v>
      </c>
      <c r="K35" s="171">
        <v>0.33777285869172391</v>
      </c>
      <c r="L35" s="36">
        <v>737.9</v>
      </c>
      <c r="M35" s="176">
        <v>0.66669678352005779</v>
      </c>
      <c r="N35" s="36">
        <v>380.29999999999995</v>
      </c>
      <c r="O35" s="183">
        <v>0.3436031803397181</v>
      </c>
      <c r="P35" s="36">
        <v>314</v>
      </c>
      <c r="Q35" s="183">
        <v>0.28370075894470548</v>
      </c>
      <c r="R35" s="36">
        <v>157.30000000000001</v>
      </c>
      <c r="S35" s="183">
        <v>0.14212143115287315</v>
      </c>
      <c r="T35" s="36">
        <v>68.100000000000009</v>
      </c>
      <c r="U35" s="183">
        <v>6.1528731478135174E-2</v>
      </c>
      <c r="V35" s="36">
        <v>305</v>
      </c>
      <c r="W35" s="36">
        <v>430</v>
      </c>
      <c r="X35" s="173">
        <v>0.38850740874593426</v>
      </c>
      <c r="Y35" s="36">
        <v>-50</v>
      </c>
      <c r="Z35" s="170">
        <v>-4.517528008673654E-2</v>
      </c>
    </row>
    <row r="36" spans="1:26" x14ac:dyDescent="0.2">
      <c r="A36" s="1" t="s">
        <v>85</v>
      </c>
      <c r="B36" s="1" t="s">
        <v>85</v>
      </c>
      <c r="C36" s="36">
        <v>14905.275229007637</v>
      </c>
      <c r="D36" s="36">
        <v>11155.011</v>
      </c>
      <c r="E36" s="36">
        <v>1824.2280000000001</v>
      </c>
      <c r="F36" s="36">
        <v>2815.241</v>
      </c>
      <c r="G36" s="36">
        <v>2896.0419999999999</v>
      </c>
      <c r="H36" s="173">
        <v>3.9623645009432589</v>
      </c>
      <c r="I36" s="173">
        <v>3.8518125773037823</v>
      </c>
      <c r="J36" s="171">
        <f t="shared" si="0"/>
        <v>0.54325062437370764</v>
      </c>
      <c r="K36" s="171">
        <v>2.8701272821758383E-2</v>
      </c>
      <c r="L36" s="36">
        <v>1863.8300090332032</v>
      </c>
      <c r="M36" s="176">
        <v>0.66204989520726754</v>
      </c>
      <c r="N36" s="36">
        <v>323.46100000000001</v>
      </c>
      <c r="O36" s="183">
        <v>0.11489638009676614</v>
      </c>
      <c r="P36" s="36">
        <v>529.38099999999997</v>
      </c>
      <c r="Q36" s="183">
        <v>0.18804109488317342</v>
      </c>
      <c r="R36" s="36">
        <v>205.31299999999999</v>
      </c>
      <c r="S36" s="183">
        <v>7.2929102694938019E-2</v>
      </c>
      <c r="T36" s="36">
        <v>991.54299999999989</v>
      </c>
      <c r="U36" s="183">
        <v>0.35220537069472913</v>
      </c>
      <c r="V36" s="36">
        <v>714.82</v>
      </c>
      <c r="W36" s="36">
        <v>682.94200000000001</v>
      </c>
      <c r="X36" s="173">
        <v>0.24258740193113129</v>
      </c>
      <c r="Y36" s="36">
        <v>279.654731196885</v>
      </c>
      <c r="Z36" s="170">
        <v>9.9335982673200984E-2</v>
      </c>
    </row>
    <row r="37" spans="1:26" x14ac:dyDescent="0.2">
      <c r="A37" s="1" t="s">
        <v>87</v>
      </c>
      <c r="B37" s="1" t="s">
        <v>87</v>
      </c>
      <c r="C37" s="36">
        <v>7647.6179377862582</v>
      </c>
      <c r="D37" s="36">
        <v>8730.4277999999995</v>
      </c>
      <c r="E37" s="36">
        <v>781.29100000000005</v>
      </c>
      <c r="F37" s="36">
        <v>1035.461</v>
      </c>
      <c r="G37" s="36">
        <v>1245.01</v>
      </c>
      <c r="H37" s="173">
        <v>8.4314404888257499</v>
      </c>
      <c r="I37" s="173">
        <v>7.0123354832491298</v>
      </c>
      <c r="J37" s="171">
        <f t="shared" si="0"/>
        <v>0.32532052717873361</v>
      </c>
      <c r="K37" s="171">
        <v>0.20237266299744738</v>
      </c>
      <c r="L37" s="36">
        <v>648.36900695800773</v>
      </c>
      <c r="M37" s="176">
        <v>0.62616458462270208</v>
      </c>
      <c r="N37" s="36">
        <v>150.583</v>
      </c>
      <c r="O37" s="183">
        <v>0.14542604694913666</v>
      </c>
      <c r="P37" s="36">
        <v>269.78100000000001</v>
      </c>
      <c r="Q37" s="183">
        <v>0.26054192287300054</v>
      </c>
      <c r="R37" s="36">
        <v>122.119</v>
      </c>
      <c r="S37" s="183">
        <v>0.11793684165796683</v>
      </c>
      <c r="T37" s="36">
        <v>114.41199999999999</v>
      </c>
      <c r="U37" s="183">
        <v>0.11049378006511108</v>
      </c>
      <c r="V37" s="36">
        <v>172.06</v>
      </c>
      <c r="W37" s="36">
        <v>155.685</v>
      </c>
      <c r="X37" s="173">
        <v>0.15035332088799094</v>
      </c>
      <c r="Y37" s="36">
        <v>46.960708818636007</v>
      </c>
      <c r="Z37" s="170">
        <v>4.5352465055309668E-2</v>
      </c>
    </row>
    <row r="38" spans="1:26" x14ac:dyDescent="0.2">
      <c r="A38" s="1" t="s">
        <v>89</v>
      </c>
      <c r="B38" s="1" t="s">
        <v>89</v>
      </c>
      <c r="C38" s="36">
        <v>6402.4442469465657</v>
      </c>
      <c r="D38" s="36">
        <v>7440.2691999999997</v>
      </c>
      <c r="E38" s="36">
        <v>826.94299999999998</v>
      </c>
      <c r="F38" s="36">
        <v>992.76900000000001</v>
      </c>
      <c r="G38" s="36">
        <v>1052.4590000000001</v>
      </c>
      <c r="H38" s="173">
        <v>7.494461652207109</v>
      </c>
      <c r="I38" s="173">
        <v>7.0694147705516315</v>
      </c>
      <c r="J38" s="171">
        <f t="shared" si="0"/>
        <v>0.20052893609353972</v>
      </c>
      <c r="K38" s="171">
        <v>6.0124762155143952E-2</v>
      </c>
      <c r="L38" s="36">
        <v>864.88000952148434</v>
      </c>
      <c r="M38" s="176">
        <v>0.87117950854779347</v>
      </c>
      <c r="N38" s="36">
        <v>334.14799999999997</v>
      </c>
      <c r="O38" s="183">
        <v>0.33658182316329377</v>
      </c>
      <c r="P38" s="36">
        <v>517.44600000000003</v>
      </c>
      <c r="Q38" s="183">
        <v>0.52121490497789513</v>
      </c>
      <c r="R38" s="36">
        <v>102.871</v>
      </c>
      <c r="S38" s="183">
        <v>0.10362027823189483</v>
      </c>
      <c r="T38" s="36">
        <v>-123.949</v>
      </c>
      <c r="U38" s="183">
        <v>-0.12485180339031537</v>
      </c>
      <c r="V38" s="36">
        <v>121.97600000000001</v>
      </c>
      <c r="W38" s="36">
        <v>627.87799999999993</v>
      </c>
      <c r="X38" s="173">
        <v>0.63245125502508637</v>
      </c>
      <c r="Y38" s="36">
        <v>-146.929</v>
      </c>
      <c r="Z38" s="170">
        <v>-0.14799918208566143</v>
      </c>
    </row>
    <row r="39" spans="1:26" x14ac:dyDescent="0.2">
      <c r="A39" s="1" t="s">
        <v>91</v>
      </c>
      <c r="B39" s="1" t="s">
        <v>91</v>
      </c>
      <c r="C39" s="36">
        <v>7897.8368847328229</v>
      </c>
      <c r="D39" s="36">
        <v>7952.1031999999996</v>
      </c>
      <c r="E39" s="36">
        <v>756.04300000000001</v>
      </c>
      <c r="F39" s="36">
        <v>891.15700000000004</v>
      </c>
      <c r="G39" s="36">
        <v>1005.667</v>
      </c>
      <c r="H39" s="173">
        <v>8.9233470645464266</v>
      </c>
      <c r="I39" s="173">
        <v>7.9072925729888714</v>
      </c>
      <c r="J39" s="171">
        <f t="shared" si="0"/>
        <v>0.17871205738297957</v>
      </c>
      <c r="K39" s="171">
        <v>0.12849587670859353</v>
      </c>
      <c r="L39" s="36">
        <v>422.93600115966797</v>
      </c>
      <c r="M39" s="176">
        <v>0.47459202044047005</v>
      </c>
      <c r="N39" s="36">
        <v>47.323999999999998</v>
      </c>
      <c r="O39" s="183">
        <v>5.3103998509802422E-2</v>
      </c>
      <c r="P39" s="36" t="s">
        <v>480</v>
      </c>
      <c r="Q39" s="183" t="e">
        <v>#VALUE!</v>
      </c>
      <c r="R39" s="36" t="s">
        <v>480</v>
      </c>
      <c r="S39" s="183" t="e">
        <v>#VALUE!</v>
      </c>
      <c r="T39" s="36">
        <v>222.82000000000002</v>
      </c>
      <c r="U39" s="183">
        <v>0.25003450570438207</v>
      </c>
      <c r="V39" s="36">
        <v>203.94400000000002</v>
      </c>
      <c r="W39" s="36">
        <v>185.92599999999999</v>
      </c>
      <c r="X39" s="173">
        <v>0.20863439326628189</v>
      </c>
      <c r="Y39" s="36">
        <v>145.27799871199099</v>
      </c>
      <c r="Z39" s="170">
        <v>0.16302177810642904</v>
      </c>
    </row>
    <row r="40" spans="1:26" x14ac:dyDescent="0.2">
      <c r="A40" s="1" t="s">
        <v>93</v>
      </c>
      <c r="B40" s="1" t="s">
        <v>93</v>
      </c>
      <c r="C40" s="36">
        <v>11314.070929770989</v>
      </c>
      <c r="D40" s="36">
        <v>10399.2865</v>
      </c>
      <c r="E40" s="36">
        <v>5422.9</v>
      </c>
      <c r="F40" s="36">
        <v>5643.5</v>
      </c>
      <c r="G40" s="36">
        <v>5758.5690000000004</v>
      </c>
      <c r="H40" s="173">
        <v>1.8427016036147781</v>
      </c>
      <c r="I40" s="173">
        <v>1.8058803324228641</v>
      </c>
      <c r="J40" s="171">
        <f t="shared" si="0"/>
        <v>4.0679341311844287E-2</v>
      </c>
      <c r="K40" s="171">
        <v>2.0389651811818954E-2</v>
      </c>
      <c r="L40" s="36">
        <v>2280.8999999999996</v>
      </c>
      <c r="M40" s="176">
        <v>0.4041640825728714</v>
      </c>
      <c r="N40" s="36">
        <v>0</v>
      </c>
      <c r="O40" s="183">
        <v>0</v>
      </c>
      <c r="P40" s="36" t="s">
        <v>480</v>
      </c>
      <c r="Q40" s="183" t="e">
        <v>#VALUE!</v>
      </c>
      <c r="R40" s="36" t="s">
        <v>480</v>
      </c>
      <c r="S40" s="183" t="e">
        <v>#VALUE!</v>
      </c>
      <c r="T40" s="36">
        <v>1359.4</v>
      </c>
      <c r="U40" s="183">
        <v>0.24087888721538053</v>
      </c>
      <c r="V40" s="36">
        <v>709.8</v>
      </c>
      <c r="W40" s="36">
        <v>838.19999999999993</v>
      </c>
      <c r="X40" s="173">
        <v>0.14852485159918488</v>
      </c>
      <c r="Y40" s="36">
        <v>852.35</v>
      </c>
      <c r="Z40" s="170">
        <v>0.15103216089306282</v>
      </c>
    </row>
    <row r="41" spans="1:26" x14ac:dyDescent="0.2">
      <c r="A41" s="1" t="s">
        <v>95</v>
      </c>
      <c r="B41" s="1" t="s">
        <v>95</v>
      </c>
      <c r="C41" s="36">
        <v>9138.938447709932</v>
      </c>
      <c r="D41" s="36">
        <v>9911.8019000000004</v>
      </c>
      <c r="E41" s="36">
        <v>1018.46</v>
      </c>
      <c r="F41" s="36">
        <v>1381.0119999999999</v>
      </c>
      <c r="G41" s="36">
        <v>1551.74</v>
      </c>
      <c r="H41" s="173">
        <v>7.1772018635609252</v>
      </c>
      <c r="I41" s="173">
        <v>6.3875403740317322</v>
      </c>
      <c r="J41" s="171">
        <f t="shared" si="0"/>
        <v>0.35598059815800315</v>
      </c>
      <c r="K41" s="171">
        <v>0.12362528348776114</v>
      </c>
      <c r="L41" s="36">
        <v>1037.137987915039</v>
      </c>
      <c r="M41" s="176">
        <v>0.75099853434657993</v>
      </c>
      <c r="N41" s="36">
        <v>0</v>
      </c>
      <c r="O41" s="183">
        <v>0</v>
      </c>
      <c r="P41" s="36">
        <v>0</v>
      </c>
      <c r="Q41" s="183">
        <v>0</v>
      </c>
      <c r="R41" s="36" t="s">
        <v>480</v>
      </c>
      <c r="S41" s="183" t="e">
        <v>#VALUE!</v>
      </c>
      <c r="T41" s="36">
        <v>541.74800000000005</v>
      </c>
      <c r="U41" s="183">
        <v>0.3922833400433885</v>
      </c>
      <c r="V41" s="36">
        <v>285.154</v>
      </c>
      <c r="W41" s="36">
        <v>508.072</v>
      </c>
      <c r="X41" s="173">
        <v>0.36789832383788124</v>
      </c>
      <c r="Y41" s="36">
        <v>160.82074499958901</v>
      </c>
      <c r="Z41" s="170">
        <v>0.11645137406451864</v>
      </c>
    </row>
    <row r="42" spans="1:26" x14ac:dyDescent="0.2">
      <c r="A42" s="1" t="s">
        <v>97</v>
      </c>
      <c r="B42" s="1" t="s">
        <v>97</v>
      </c>
      <c r="C42" s="36">
        <v>6354.783502671753</v>
      </c>
      <c r="D42" s="36">
        <v>7407.2659999999996</v>
      </c>
      <c r="E42" s="36">
        <v>329.14100000000002</v>
      </c>
      <c r="F42" s="36">
        <v>498.02800000000002</v>
      </c>
      <c r="G42" s="36">
        <v>621.76</v>
      </c>
      <c r="H42" s="173">
        <v>14.87319186873027</v>
      </c>
      <c r="I42" s="173">
        <v>11.913384585692228</v>
      </c>
      <c r="J42" s="171">
        <f t="shared" si="0"/>
        <v>0.5131144403158524</v>
      </c>
      <c r="K42" s="171">
        <v>0.24844386259407103</v>
      </c>
      <c r="L42" s="36">
        <v>416.48600439453128</v>
      </c>
      <c r="M42" s="176">
        <v>0.83627025868933325</v>
      </c>
      <c r="N42" s="36">
        <v>30.43</v>
      </c>
      <c r="O42" s="183">
        <v>6.1100982274089007E-2</v>
      </c>
      <c r="P42" s="36">
        <v>150.512</v>
      </c>
      <c r="Q42" s="183">
        <v>0.30221593966604288</v>
      </c>
      <c r="R42" s="36">
        <v>91.647000000000006</v>
      </c>
      <c r="S42" s="183">
        <v>0.18401977398861108</v>
      </c>
      <c r="T42" s="36">
        <v>148.13299999999998</v>
      </c>
      <c r="U42" s="183">
        <v>0.29743909980964922</v>
      </c>
      <c r="V42" s="36">
        <v>123.30200000000001</v>
      </c>
      <c r="W42" s="36">
        <v>46.076999999999998</v>
      </c>
      <c r="X42" s="173">
        <v>9.2518894519986822E-2</v>
      </c>
      <c r="Y42" s="36">
        <v>104.562799698118</v>
      </c>
      <c r="Z42" s="170">
        <v>0.20995365661793713</v>
      </c>
    </row>
    <row r="43" spans="1:26" x14ac:dyDescent="0.2">
      <c r="A43" s="1" t="s">
        <v>99</v>
      </c>
      <c r="B43" s="1" t="s">
        <v>99</v>
      </c>
      <c r="C43" s="36">
        <v>10535.284073664117</v>
      </c>
      <c r="D43" s="36">
        <v>9247.8755000000001</v>
      </c>
      <c r="E43" s="36">
        <v>2114.6</v>
      </c>
      <c r="F43" s="36">
        <v>2273.2000000000003</v>
      </c>
      <c r="G43" s="36">
        <v>2275</v>
      </c>
      <c r="H43" s="173">
        <v>4.0682190304416679</v>
      </c>
      <c r="I43" s="173">
        <v>4.0650002197802202</v>
      </c>
      <c r="J43" s="171">
        <f t="shared" si="0"/>
        <v>7.5002364513383324E-2</v>
      </c>
      <c r="K43" s="171">
        <v>7.9183529825788135E-4</v>
      </c>
      <c r="L43" s="36">
        <v>1091.2</v>
      </c>
      <c r="M43" s="176">
        <v>0.48002815414393801</v>
      </c>
      <c r="N43" s="36">
        <v>0</v>
      </c>
      <c r="O43" s="183">
        <v>0</v>
      </c>
      <c r="P43" s="36" t="s">
        <v>480</v>
      </c>
      <c r="Q43" s="183" t="e">
        <v>#VALUE!</v>
      </c>
      <c r="R43" s="36" t="s">
        <v>480</v>
      </c>
      <c r="S43" s="183" t="e">
        <v>#VALUE!</v>
      </c>
      <c r="T43" s="36">
        <v>767.59999999999991</v>
      </c>
      <c r="U43" s="183">
        <v>0.33767376385711761</v>
      </c>
      <c r="V43" s="36">
        <v>429.3</v>
      </c>
      <c r="W43" s="36">
        <v>804.4</v>
      </c>
      <c r="X43" s="173">
        <v>0.35386239662150265</v>
      </c>
      <c r="Y43" s="36">
        <v>426.99656571026196</v>
      </c>
      <c r="Z43" s="170">
        <v>0.18783941831350603</v>
      </c>
    </row>
    <row r="44" spans="1:26" x14ac:dyDescent="0.2">
      <c r="A44" s="1" t="s">
        <v>101</v>
      </c>
      <c r="B44" s="1" t="s">
        <v>101</v>
      </c>
      <c r="C44" s="36">
        <v>6168.6471576335853</v>
      </c>
      <c r="D44" s="36">
        <v>6390.3563999999997</v>
      </c>
      <c r="E44" s="36">
        <v>424.44600000000003</v>
      </c>
      <c r="F44" s="36">
        <v>661.06700000000001</v>
      </c>
      <c r="G44" s="36">
        <v>749.7</v>
      </c>
      <c r="H44" s="173">
        <v>9.6667303011646322</v>
      </c>
      <c r="I44" s="173">
        <v>8.5238847539015605</v>
      </c>
      <c r="J44" s="171">
        <f t="shared" si="0"/>
        <v>0.55748198828590667</v>
      </c>
      <c r="K44" s="171">
        <v>0.13407566857822273</v>
      </c>
      <c r="L44" s="36">
        <v>364.36000024414062</v>
      </c>
      <c r="M44" s="176">
        <v>0.55116954899297743</v>
      </c>
      <c r="N44" s="36">
        <v>171.65699999999998</v>
      </c>
      <c r="O44" s="183">
        <v>0.25966656934924898</v>
      </c>
      <c r="P44" s="36">
        <v>124.117</v>
      </c>
      <c r="Q44" s="183">
        <v>0.18775252735350578</v>
      </c>
      <c r="R44" s="36">
        <v>75.915999999999997</v>
      </c>
      <c r="S44" s="183">
        <v>0.11483858670906277</v>
      </c>
      <c r="T44" s="36">
        <v>28.280999999999985</v>
      </c>
      <c r="U44" s="183">
        <v>4.2780837645805925E-2</v>
      </c>
      <c r="V44" s="36">
        <v>131.27800000000002</v>
      </c>
      <c r="W44" s="36">
        <v>437.14</v>
      </c>
      <c r="X44" s="173">
        <v>0.66126428939880522</v>
      </c>
      <c r="Y44" s="36">
        <v>35.34196</v>
      </c>
      <c r="Z44" s="170">
        <v>5.3461994018760582E-2</v>
      </c>
    </row>
    <row r="45" spans="1:26" x14ac:dyDescent="0.2">
      <c r="A45" s="1" t="s">
        <v>105</v>
      </c>
      <c r="B45" s="1" t="s">
        <v>105</v>
      </c>
      <c r="C45" s="36">
        <v>6354.0801648854949</v>
      </c>
      <c r="D45" s="36">
        <v>6894.6152000000002</v>
      </c>
      <c r="E45" s="36">
        <v>472.34399999999999</v>
      </c>
      <c r="F45" s="36">
        <v>499.51400000000001</v>
      </c>
      <c r="G45" s="36">
        <v>548.56299999999999</v>
      </c>
      <c r="H45" s="173">
        <v>13.80264657246844</v>
      </c>
      <c r="I45" s="173">
        <v>12.568502068130735</v>
      </c>
      <c r="J45" s="171">
        <f t="shared" si="0"/>
        <v>5.7521636773199228E-2</v>
      </c>
      <c r="K45" s="171">
        <v>9.8193444027594667E-2</v>
      </c>
      <c r="L45" s="36">
        <v>448.87000836181642</v>
      </c>
      <c r="M45" s="176">
        <v>0.89861346901551586</v>
      </c>
      <c r="N45" s="36">
        <v>82.075999999999993</v>
      </c>
      <c r="O45" s="183">
        <v>0.16431171098307554</v>
      </c>
      <c r="P45" s="36">
        <v>101.077</v>
      </c>
      <c r="Q45" s="183">
        <v>0.20235068486568944</v>
      </c>
      <c r="R45" s="36">
        <v>56.076000000000001</v>
      </c>
      <c r="S45" s="183">
        <v>0.11226111780650792</v>
      </c>
      <c r="T45" s="36">
        <v>218.595</v>
      </c>
      <c r="U45" s="183">
        <v>0.43761536213199226</v>
      </c>
      <c r="V45" s="36">
        <v>199.48799999999997</v>
      </c>
      <c r="W45" s="36">
        <v>96.164999999999992</v>
      </c>
      <c r="X45" s="173">
        <v>0.19251712664710097</v>
      </c>
      <c r="Y45" s="36">
        <v>150.27254635458399</v>
      </c>
      <c r="Z45" s="170">
        <v>0.30083750676574428</v>
      </c>
    </row>
    <row r="46" spans="1:26" x14ac:dyDescent="0.2">
      <c r="A46" s="1" t="s">
        <v>107</v>
      </c>
      <c r="B46" s="1" t="s">
        <v>107</v>
      </c>
      <c r="C46" s="36">
        <v>7060.2896190839674</v>
      </c>
      <c r="D46" s="36">
        <v>6236.2366000000002</v>
      </c>
      <c r="E46" s="36">
        <v>503.41</v>
      </c>
      <c r="F46" s="36">
        <v>1155.4570000000001</v>
      </c>
      <c r="G46" s="36">
        <v>1366.1669999999999</v>
      </c>
      <c r="H46" s="173">
        <v>5.397203530724207</v>
      </c>
      <c r="I46" s="173">
        <v>4.5647688752546358</v>
      </c>
      <c r="J46" s="171">
        <f t="shared" si="0"/>
        <v>1.2952603245863212</v>
      </c>
      <c r="K46" s="171">
        <v>0.18236074557512727</v>
      </c>
      <c r="L46" s="36">
        <v>769.42700024414057</v>
      </c>
      <c r="M46" s="176">
        <v>0.66590708286343891</v>
      </c>
      <c r="N46" s="36">
        <v>313.77699999999999</v>
      </c>
      <c r="O46" s="183">
        <v>0.27156094947713327</v>
      </c>
      <c r="P46" s="36">
        <v>649.65700000000004</v>
      </c>
      <c r="Q46" s="183">
        <v>0.56225112661050991</v>
      </c>
      <c r="R46" s="36">
        <v>86.400999999999996</v>
      </c>
      <c r="S46" s="183">
        <v>7.4776473724249351E-2</v>
      </c>
      <c r="T46" s="36">
        <v>-222.005860759494</v>
      </c>
      <c r="U46" s="183">
        <v>-0.19213684348227064</v>
      </c>
      <c r="V46" s="36">
        <v>58.033000000000001</v>
      </c>
      <c r="W46" s="36">
        <v>305.97499999999997</v>
      </c>
      <c r="X46" s="173">
        <v>0.26480864281405536</v>
      </c>
      <c r="Y46" s="36">
        <v>-290.7982245</v>
      </c>
      <c r="Z46" s="170">
        <v>-0.25167377453250095</v>
      </c>
    </row>
    <row r="47" spans="1:26" x14ac:dyDescent="0.2">
      <c r="A47" s="1" t="s">
        <v>109</v>
      </c>
      <c r="B47" s="1" t="s">
        <v>109</v>
      </c>
      <c r="C47" s="36">
        <v>9377.5425572519089</v>
      </c>
      <c r="D47" s="36">
        <v>9733.1316000000006</v>
      </c>
      <c r="E47" s="36">
        <v>3373.3870000000002</v>
      </c>
      <c r="F47" s="36">
        <v>3755.2129999999997</v>
      </c>
      <c r="G47" s="36">
        <v>3945.0750000000003</v>
      </c>
      <c r="H47" s="173">
        <v>2.5918986752549058</v>
      </c>
      <c r="I47" s="173">
        <v>2.4671600920134598</v>
      </c>
      <c r="J47" s="171">
        <f t="shared" si="0"/>
        <v>0.11318772497789301</v>
      </c>
      <c r="K47" s="171">
        <v>5.0559582106261436E-2</v>
      </c>
      <c r="L47" s="36">
        <v>1077.0209764404296</v>
      </c>
      <c r="M47" s="176">
        <v>0.28680689389401604</v>
      </c>
      <c r="N47" s="36">
        <v>0</v>
      </c>
      <c r="O47" s="183">
        <v>0</v>
      </c>
      <c r="P47" s="36" t="s">
        <v>480</v>
      </c>
      <c r="Q47" s="183" t="e">
        <v>#VALUE!</v>
      </c>
      <c r="R47" s="36" t="s">
        <v>480</v>
      </c>
      <c r="S47" s="183" t="e">
        <v>#VALUE!</v>
      </c>
      <c r="T47" s="36">
        <v>972.27599999999995</v>
      </c>
      <c r="U47" s="183">
        <v>0.2589136754692743</v>
      </c>
      <c r="V47" s="36">
        <v>478.452</v>
      </c>
      <c r="W47" s="36">
        <v>361.38099999999997</v>
      </c>
      <c r="X47" s="173">
        <v>9.6234487897224469E-2</v>
      </c>
      <c r="Y47" s="36">
        <v>307.796316586464</v>
      </c>
      <c r="Z47" s="170">
        <v>8.1965075372945298E-2</v>
      </c>
    </row>
    <row r="48" spans="1:26" x14ac:dyDescent="0.2">
      <c r="A48" s="1" t="s">
        <v>113</v>
      </c>
      <c r="B48" s="1" t="s">
        <v>113</v>
      </c>
      <c r="C48" s="36">
        <v>4812.2582068702286</v>
      </c>
      <c r="D48" s="36">
        <v>5616.1094999999996</v>
      </c>
      <c r="E48" s="36">
        <v>311.99900000000002</v>
      </c>
      <c r="F48" s="36">
        <v>507.88499999999999</v>
      </c>
      <c r="G48" s="36">
        <v>667.96900000000005</v>
      </c>
      <c r="H48" s="173">
        <v>11.057836911899347</v>
      </c>
      <c r="I48" s="173">
        <v>8.4077397304365906</v>
      </c>
      <c r="J48" s="171">
        <f t="shared" si="0"/>
        <v>0.62784175590306368</v>
      </c>
      <c r="K48" s="171">
        <v>0.31519733798005456</v>
      </c>
      <c r="L48" s="36">
        <v>356.01800524902342</v>
      </c>
      <c r="M48" s="176">
        <v>0.70098153174246813</v>
      </c>
      <c r="N48" s="36">
        <v>115.291</v>
      </c>
      <c r="O48" s="183">
        <v>0.2270021756893785</v>
      </c>
      <c r="P48" s="36">
        <v>220.74199999999999</v>
      </c>
      <c r="Q48" s="183">
        <v>0.43462988668694685</v>
      </c>
      <c r="R48" s="36">
        <v>81.680000000000007</v>
      </c>
      <c r="S48" s="183">
        <v>0.1608238085393347</v>
      </c>
      <c r="T48" s="36">
        <v>-86.045139240506003</v>
      </c>
      <c r="U48" s="183">
        <v>-0.16941854797937722</v>
      </c>
      <c r="V48" s="36">
        <v>35.010000000000005</v>
      </c>
      <c r="W48" s="36">
        <v>109.36999999999999</v>
      </c>
      <c r="X48" s="173">
        <v>0.21534402473000777</v>
      </c>
      <c r="Y48" s="36">
        <v>-115.405</v>
      </c>
      <c r="Z48" s="170">
        <v>-0.22722663595105191</v>
      </c>
    </row>
    <row r="49" spans="1:26" x14ac:dyDescent="0.2">
      <c r="A49" s="1" t="s">
        <v>115</v>
      </c>
      <c r="B49" s="1" t="s">
        <v>115</v>
      </c>
      <c r="C49" s="36">
        <v>5141.3982832061047</v>
      </c>
      <c r="D49" s="36">
        <v>5688.8769000000002</v>
      </c>
      <c r="E49" s="36">
        <v>379.72399999999999</v>
      </c>
      <c r="F49" s="36">
        <v>581.47399999999993</v>
      </c>
      <c r="G49" s="36">
        <v>724.625</v>
      </c>
      <c r="H49" s="173">
        <v>9.7835447500662127</v>
      </c>
      <c r="I49" s="173">
        <v>7.8507875107814389</v>
      </c>
      <c r="J49" s="171">
        <f t="shared" si="0"/>
        <v>0.53130694925788191</v>
      </c>
      <c r="K49" s="171">
        <v>0.24618641590165691</v>
      </c>
      <c r="L49" s="36">
        <v>443.33000299072262</v>
      </c>
      <c r="M49" s="176">
        <v>0.762424464362504</v>
      </c>
      <c r="N49" s="36">
        <v>75.147999999999996</v>
      </c>
      <c r="O49" s="183">
        <v>0.12923707680824939</v>
      </c>
      <c r="P49" s="36">
        <v>260.06900000000002</v>
      </c>
      <c r="Q49" s="183">
        <v>0.44725817491409769</v>
      </c>
      <c r="R49" s="36">
        <v>72.313000000000002</v>
      </c>
      <c r="S49" s="183">
        <v>0.1243615363713597</v>
      </c>
      <c r="T49" s="36">
        <v>1.981681596884</v>
      </c>
      <c r="U49" s="183">
        <v>3.4080313081651117E-3</v>
      </c>
      <c r="V49" s="36">
        <v>27.823</v>
      </c>
      <c r="W49" s="36">
        <v>181.19199999999998</v>
      </c>
      <c r="X49" s="173">
        <v>0.31160808565817216</v>
      </c>
      <c r="Y49" s="36">
        <v>-22.126999999999999</v>
      </c>
      <c r="Z49" s="170">
        <v>-3.8053292150637866E-2</v>
      </c>
    </row>
    <row r="50" spans="1:26" x14ac:dyDescent="0.2">
      <c r="A50" s="1" t="s">
        <v>117</v>
      </c>
      <c r="B50" s="1" t="s">
        <v>117</v>
      </c>
      <c r="C50" s="36">
        <v>6026.6638511450374</v>
      </c>
      <c r="D50" s="36">
        <v>6521.5419000000002</v>
      </c>
      <c r="E50" s="36">
        <v>881.35599999999999</v>
      </c>
      <c r="F50" s="36">
        <v>1005.8890000000001</v>
      </c>
      <c r="G50" s="36">
        <v>1083.6669999999999</v>
      </c>
      <c r="H50" s="173">
        <v>6.4833613848048834</v>
      </c>
      <c r="I50" s="173">
        <v>6.0180312771358739</v>
      </c>
      <c r="J50" s="171">
        <f t="shared" si="0"/>
        <v>0.14129704682330424</v>
      </c>
      <c r="K50" s="171">
        <v>7.732264693221591E-2</v>
      </c>
      <c r="L50" s="36">
        <v>699.41901611328126</v>
      </c>
      <c r="M50" s="176">
        <v>0.69532425159563449</v>
      </c>
      <c r="N50" s="36">
        <v>110.86999999999999</v>
      </c>
      <c r="O50" s="183">
        <v>0.11022090906650732</v>
      </c>
      <c r="P50" s="36" t="s">
        <v>480</v>
      </c>
      <c r="Q50" s="183" t="e">
        <v>#VALUE!</v>
      </c>
      <c r="R50" s="36" t="s">
        <v>480</v>
      </c>
      <c r="S50" s="183" t="e">
        <v>#VALUE!</v>
      </c>
      <c r="T50" s="36">
        <v>228.197</v>
      </c>
      <c r="U50" s="183">
        <v>0.2268610154798392</v>
      </c>
      <c r="V50" s="36">
        <v>191.75299999999999</v>
      </c>
      <c r="W50" s="36">
        <v>90.022999999999996</v>
      </c>
      <c r="X50" s="173">
        <v>8.9495958301562081E-2</v>
      </c>
      <c r="Y50" s="36">
        <v>130.87135000000001</v>
      </c>
      <c r="Z50" s="170">
        <v>0.13010516070858713</v>
      </c>
    </row>
    <row r="51" spans="1:26" x14ac:dyDescent="0.2">
      <c r="A51" s="1" t="s">
        <v>119</v>
      </c>
      <c r="B51" s="1" t="s">
        <v>119</v>
      </c>
      <c r="C51" s="36">
        <v>4375.4770480916013</v>
      </c>
      <c r="D51" s="36">
        <v>5499.3319000000001</v>
      </c>
      <c r="E51" s="36">
        <v>1958.615</v>
      </c>
      <c r="F51" s="36">
        <v>2491.8389999999999</v>
      </c>
      <c r="G51" s="36">
        <v>2815.54</v>
      </c>
      <c r="H51" s="173">
        <v>2.2069370854216506</v>
      </c>
      <c r="I51" s="173">
        <v>1.9532068093509594</v>
      </c>
      <c r="J51" s="171">
        <f t="shared" si="0"/>
        <v>0.27224543874115126</v>
      </c>
      <c r="K51" s="171">
        <v>0.12990446011961443</v>
      </c>
      <c r="L51" s="36">
        <v>1021.3030059814453</v>
      </c>
      <c r="M51" s="176">
        <v>0.40985914659070882</v>
      </c>
      <c r="N51" s="36">
        <v>0</v>
      </c>
      <c r="O51" s="183">
        <v>0</v>
      </c>
      <c r="P51" s="36" t="s">
        <v>480</v>
      </c>
      <c r="Q51" s="183" t="e">
        <v>#VALUE!</v>
      </c>
      <c r="R51" s="36" t="s">
        <v>480</v>
      </c>
      <c r="S51" s="183" t="e">
        <v>#VALUE!</v>
      </c>
      <c r="T51" s="36">
        <v>464.61600000000004</v>
      </c>
      <c r="U51" s="183">
        <v>0.18645506391062988</v>
      </c>
      <c r="V51" s="36">
        <v>165.20499999999998</v>
      </c>
      <c r="W51" s="36">
        <v>819.14400000000001</v>
      </c>
      <c r="X51" s="173">
        <v>0.32873070852490871</v>
      </c>
      <c r="Y51" s="36">
        <v>221.308428571429</v>
      </c>
      <c r="Z51" s="170">
        <v>8.8813293544016694E-2</v>
      </c>
    </row>
    <row r="52" spans="1:26" x14ac:dyDescent="0.2">
      <c r="A52" s="1" t="s">
        <v>121</v>
      </c>
      <c r="B52" s="1" t="s">
        <v>121</v>
      </c>
      <c r="C52" s="36">
        <v>6804.4473362595427</v>
      </c>
      <c r="D52" s="36">
        <v>6190.1469999999999</v>
      </c>
      <c r="E52" s="36">
        <v>2570.7559999999999</v>
      </c>
      <c r="F52" s="36">
        <v>2860.71</v>
      </c>
      <c r="G52" s="36">
        <v>3102.7919999999999</v>
      </c>
      <c r="H52" s="173">
        <v>2.1638498834205495</v>
      </c>
      <c r="I52" s="173">
        <v>1.9950248034673288</v>
      </c>
      <c r="J52" s="171">
        <f t="shared" si="0"/>
        <v>0.11278938958034142</v>
      </c>
      <c r="K52" s="171">
        <v>8.4623048124416567E-2</v>
      </c>
      <c r="L52" s="36">
        <v>1068.4139918212891</v>
      </c>
      <c r="M52" s="176">
        <v>0.37347860909399733</v>
      </c>
      <c r="N52" s="36">
        <v>0</v>
      </c>
      <c r="O52" s="183">
        <v>0</v>
      </c>
      <c r="P52" s="36" t="s">
        <v>480</v>
      </c>
      <c r="Q52" s="183" t="e">
        <v>#VALUE!</v>
      </c>
      <c r="R52" s="36" t="s">
        <v>480</v>
      </c>
      <c r="S52" s="183" t="e">
        <v>#VALUE!</v>
      </c>
      <c r="T52" s="36">
        <v>407.05099999999999</v>
      </c>
      <c r="U52" s="183">
        <v>0.14229020068444545</v>
      </c>
      <c r="V52" s="36">
        <v>229.39300000000003</v>
      </c>
      <c r="W52" s="36">
        <v>504.46799999999996</v>
      </c>
      <c r="X52" s="173">
        <v>0.17634363497173777</v>
      </c>
      <c r="Y52" s="36">
        <v>271.84730999999999</v>
      </c>
      <c r="Z52" s="170">
        <v>9.5027916146690858E-2</v>
      </c>
    </row>
    <row r="53" spans="1:26" x14ac:dyDescent="0.2">
      <c r="A53" s="1" t="s">
        <v>123</v>
      </c>
      <c r="B53" s="1" t="s">
        <v>123</v>
      </c>
      <c r="C53" s="36">
        <v>5080.6718996183217</v>
      </c>
      <c r="D53" s="36">
        <v>5264.8521000000001</v>
      </c>
      <c r="E53" s="36">
        <v>568.12800000000004</v>
      </c>
      <c r="F53" s="36">
        <v>774.29099999999994</v>
      </c>
      <c r="G53" s="36">
        <v>940.42899999999997</v>
      </c>
      <c r="H53" s="173">
        <v>6.7995780656109917</v>
      </c>
      <c r="I53" s="173">
        <v>5.5983514970295474</v>
      </c>
      <c r="J53" s="171">
        <f t="shared" si="0"/>
        <v>0.36288125211219985</v>
      </c>
      <c r="K53" s="171">
        <v>0.21456790793125591</v>
      </c>
      <c r="L53" s="36">
        <v>470.14299932861331</v>
      </c>
      <c r="M53" s="176">
        <v>0.60719161055548021</v>
      </c>
      <c r="N53" s="36">
        <v>89.451999999999998</v>
      </c>
      <c r="O53" s="183">
        <v>0.11552762462691676</v>
      </c>
      <c r="P53" s="36">
        <v>165.07900000000001</v>
      </c>
      <c r="Q53" s="183">
        <v>0.21320020509085089</v>
      </c>
      <c r="R53" s="36">
        <v>112.97499999999999</v>
      </c>
      <c r="S53" s="183">
        <v>0.14590767553800832</v>
      </c>
      <c r="T53" s="36">
        <v>151.96100000000001</v>
      </c>
      <c r="U53" s="183">
        <v>0.19625825432557015</v>
      </c>
      <c r="V53" s="36">
        <v>117.538</v>
      </c>
      <c r="W53" s="36">
        <v>69.343000000000004</v>
      </c>
      <c r="X53" s="173">
        <v>8.955676870840551E-2</v>
      </c>
      <c r="Y53" s="36">
        <v>39.375608755979997</v>
      </c>
      <c r="Z53" s="170">
        <v>5.0853760092755822E-2</v>
      </c>
    </row>
    <row r="54" spans="1:26" x14ac:dyDescent="0.2">
      <c r="A54" s="1" t="s">
        <v>127</v>
      </c>
      <c r="B54" s="1" t="s">
        <v>127</v>
      </c>
      <c r="C54" s="36">
        <v>5361.3055721373994</v>
      </c>
      <c r="D54" s="36">
        <v>5177.2318999999998</v>
      </c>
      <c r="E54" s="36">
        <v>375.49599999999998</v>
      </c>
      <c r="F54" s="36">
        <v>614.04600000000005</v>
      </c>
      <c r="G54" s="36">
        <v>792.19399999999996</v>
      </c>
      <c r="H54" s="173">
        <v>8.4313421144344218</v>
      </c>
      <c r="I54" s="173">
        <v>6.5353081442171996</v>
      </c>
      <c r="J54" s="171">
        <f t="shared" si="0"/>
        <v>0.63529305238937317</v>
      </c>
      <c r="K54" s="171">
        <v>0.29012158698208257</v>
      </c>
      <c r="L54" s="36">
        <v>439.7080033569336</v>
      </c>
      <c r="M54" s="176">
        <v>0.71608316536046746</v>
      </c>
      <c r="N54" s="36">
        <v>129.803</v>
      </c>
      <c r="O54" s="183">
        <v>0.21138970044589492</v>
      </c>
      <c r="P54" s="36">
        <v>258.83699999999999</v>
      </c>
      <c r="Q54" s="183">
        <v>0.42152705171925225</v>
      </c>
      <c r="R54" s="36">
        <v>52.734999999999999</v>
      </c>
      <c r="S54" s="183">
        <v>8.5881188054315147E-2</v>
      </c>
      <c r="T54" s="36">
        <v>-23.048000000000005</v>
      </c>
      <c r="U54" s="183">
        <v>-3.7534647241411888E-2</v>
      </c>
      <c r="V54" s="36">
        <v>136.89599999999999</v>
      </c>
      <c r="W54" s="36">
        <v>286.072</v>
      </c>
      <c r="X54" s="173">
        <v>0.46588040635392136</v>
      </c>
      <c r="Y54" s="36">
        <v>-78.538188416806008</v>
      </c>
      <c r="Z54" s="170">
        <v>-0.12790277669230971</v>
      </c>
    </row>
    <row r="55" spans="1:26" x14ac:dyDescent="0.2">
      <c r="A55" s="1" t="s">
        <v>129</v>
      </c>
      <c r="B55" s="1" t="s">
        <v>129</v>
      </c>
      <c r="C55" s="36">
        <v>4080.378799999999</v>
      </c>
      <c r="D55" s="36">
        <v>4738.1673000000001</v>
      </c>
      <c r="E55" s="36">
        <v>270.96699999999998</v>
      </c>
      <c r="F55" s="36">
        <v>441.399</v>
      </c>
      <c r="G55" s="36">
        <v>558.06700000000001</v>
      </c>
      <c r="H55" s="173">
        <v>10.734431432785303</v>
      </c>
      <c r="I55" s="173">
        <v>8.490319800310715</v>
      </c>
      <c r="J55" s="171">
        <f t="shared" si="0"/>
        <v>0.62897696029405803</v>
      </c>
      <c r="K55" s="171">
        <v>0.26431414661111607</v>
      </c>
      <c r="L55" s="36">
        <v>354.10500488281252</v>
      </c>
      <c r="M55" s="176">
        <v>0.80223336455862504</v>
      </c>
      <c r="N55" s="36">
        <v>70.37299999999999</v>
      </c>
      <c r="O55" s="183">
        <v>0.15943171597579511</v>
      </c>
      <c r="P55" s="36">
        <v>212.85900000000001</v>
      </c>
      <c r="Q55" s="183">
        <v>0.48223715957670954</v>
      </c>
      <c r="R55" s="36">
        <v>56.786999999999999</v>
      </c>
      <c r="S55" s="183">
        <v>0.12865230777595779</v>
      </c>
      <c r="T55" s="36">
        <v>-24.503810126582</v>
      </c>
      <c r="U55" s="183">
        <v>-5.5513968374604379E-2</v>
      </c>
      <c r="V55" s="36">
        <v>43.858999999999995</v>
      </c>
      <c r="W55" s="36">
        <v>87.679999999999993</v>
      </c>
      <c r="X55" s="173">
        <v>0.19864113874295136</v>
      </c>
      <c r="Y55" s="36">
        <v>-55.844099999999997</v>
      </c>
      <c r="Z55" s="170">
        <v>-0.1265161452563327</v>
      </c>
    </row>
    <row r="56" spans="1:26" x14ac:dyDescent="0.2">
      <c r="A56" s="1" t="s">
        <v>131</v>
      </c>
      <c r="B56" s="1" t="s">
        <v>131</v>
      </c>
      <c r="C56" s="36">
        <v>5707.1968828244289</v>
      </c>
      <c r="D56" s="36">
        <v>3355.8386999999998</v>
      </c>
      <c r="E56" s="36">
        <v>2160</v>
      </c>
      <c r="F56" s="36">
        <v>882</v>
      </c>
      <c r="G56" s="36">
        <v>905.96699999999998</v>
      </c>
      <c r="H56" s="173">
        <v>3.8048057823129251</v>
      </c>
      <c r="I56" s="173">
        <v>3.7041511445781135</v>
      </c>
      <c r="J56" s="171">
        <f t="shared" si="0"/>
        <v>-0.59166666666666667</v>
      </c>
      <c r="K56" s="171">
        <v>2.7173469387755E-2</v>
      </c>
      <c r="L56" s="36">
        <v>675</v>
      </c>
      <c r="M56" s="176">
        <v>0.76530612244897955</v>
      </c>
      <c r="N56" s="36">
        <v>239</v>
      </c>
      <c r="O56" s="183">
        <v>0.27097505668934241</v>
      </c>
      <c r="P56" s="36">
        <v>0</v>
      </c>
      <c r="Q56" s="183">
        <v>0</v>
      </c>
      <c r="R56" s="36" t="s">
        <v>480</v>
      </c>
      <c r="S56" s="183" t="e">
        <v>#VALUE!</v>
      </c>
      <c r="T56" s="36">
        <v>74</v>
      </c>
      <c r="U56" s="183">
        <v>8.390022675736962E-2</v>
      </c>
      <c r="V56" s="36">
        <v>-159</v>
      </c>
      <c r="W56" s="36">
        <v>816</v>
      </c>
      <c r="X56" s="173">
        <v>0.92517006802721091</v>
      </c>
      <c r="Y56" s="36">
        <v>-68.715000000000003</v>
      </c>
      <c r="Z56" s="170">
        <v>-7.7908163265306127E-2</v>
      </c>
    </row>
    <row r="57" spans="1:26" x14ac:dyDescent="0.2">
      <c r="A57" s="1" t="s">
        <v>133</v>
      </c>
      <c r="B57" s="1" t="s">
        <v>133</v>
      </c>
      <c r="C57" s="36">
        <v>6223.6290761538476</v>
      </c>
      <c r="D57" s="36">
        <v>6274.3391000000001</v>
      </c>
      <c r="E57" s="36">
        <v>704.2</v>
      </c>
      <c r="F57" s="36">
        <v>750.7</v>
      </c>
      <c r="G57" s="36">
        <v>763.30000000000007</v>
      </c>
      <c r="H57" s="173">
        <v>8.3579846809644334</v>
      </c>
      <c r="I57" s="173">
        <v>8.2200171623214988</v>
      </c>
      <c r="J57" s="171">
        <f t="shared" si="0"/>
        <v>6.6032377165577957E-2</v>
      </c>
      <c r="K57" s="171">
        <v>1.6784334621020358E-2</v>
      </c>
      <c r="L57" s="36">
        <v>293.00000000000006</v>
      </c>
      <c r="M57" s="176">
        <v>0.39030238444118825</v>
      </c>
      <c r="N57" s="36">
        <v>0</v>
      </c>
      <c r="O57" s="183">
        <v>0</v>
      </c>
      <c r="P57" s="36" t="s">
        <v>480</v>
      </c>
      <c r="Q57" s="183" t="e">
        <v>#VALUE!</v>
      </c>
      <c r="R57" s="36" t="s">
        <v>480</v>
      </c>
      <c r="S57" s="183" t="e">
        <v>#VALUE!</v>
      </c>
      <c r="T57" s="36">
        <v>90.5</v>
      </c>
      <c r="U57" s="183">
        <v>0.12055414946050352</v>
      </c>
      <c r="V57" s="36">
        <v>-90.6</v>
      </c>
      <c r="W57" s="36">
        <v>99.6</v>
      </c>
      <c r="X57" s="173">
        <v>0.13267616890901823</v>
      </c>
      <c r="Y57" s="36">
        <v>-9.1999999999999993</v>
      </c>
      <c r="Z57" s="170">
        <v>-1.2255228453443451E-2</v>
      </c>
    </row>
    <row r="58" spans="1:26" x14ac:dyDescent="0.2">
      <c r="A58" s="1" t="s">
        <v>135</v>
      </c>
      <c r="B58" s="1" t="s">
        <v>135</v>
      </c>
      <c r="C58" s="36">
        <v>6339.9287721374076</v>
      </c>
      <c r="D58" s="36">
        <v>6727.3046000000004</v>
      </c>
      <c r="E58" s="36">
        <v>1948.903</v>
      </c>
      <c r="F58" s="36">
        <v>2007.8210000000001</v>
      </c>
      <c r="G58" s="36">
        <v>2103.1669999999999</v>
      </c>
      <c r="H58" s="173">
        <v>3.3505499743254004</v>
      </c>
      <c r="I58" s="173">
        <v>3.1986545053245892</v>
      </c>
      <c r="J58" s="171">
        <f t="shared" si="0"/>
        <v>3.0231366055673434E-2</v>
      </c>
      <c r="K58" s="171">
        <v>4.7487300909792252E-2</v>
      </c>
      <c r="L58" s="36">
        <v>1132.4420061035157</v>
      </c>
      <c r="M58" s="176">
        <v>0.56401542074891919</v>
      </c>
      <c r="N58" s="36">
        <v>266.09699999999998</v>
      </c>
      <c r="O58" s="183">
        <v>0.13253024049454606</v>
      </c>
      <c r="P58" s="36">
        <v>398.13</v>
      </c>
      <c r="Q58" s="183">
        <v>0.19828958856392076</v>
      </c>
      <c r="R58" s="36">
        <v>166.67699999999999</v>
      </c>
      <c r="S58" s="183">
        <v>8.3013874244765834E-2</v>
      </c>
      <c r="T58" s="36">
        <v>344.83600000000001</v>
      </c>
      <c r="U58" s="183">
        <v>0.17174638575849141</v>
      </c>
      <c r="V58" s="36">
        <v>395.58100000000002</v>
      </c>
      <c r="W58" s="36">
        <v>315.96299999999997</v>
      </c>
      <c r="X58" s="173">
        <v>0.15736611978856679</v>
      </c>
      <c r="Y58" s="36">
        <v>21.322419709094</v>
      </c>
      <c r="Z58" s="170">
        <v>1.0619681589690514E-2</v>
      </c>
    </row>
    <row r="59" spans="1:26" x14ac:dyDescent="0.2">
      <c r="A59" s="1" t="s">
        <v>137</v>
      </c>
      <c r="B59" s="1" t="s">
        <v>137</v>
      </c>
      <c r="C59" s="36">
        <v>4235.2462553435125</v>
      </c>
      <c r="D59" s="36">
        <v>4436.8191999999999</v>
      </c>
      <c r="E59" s="36">
        <v>181.309</v>
      </c>
      <c r="F59" s="36">
        <v>383.18099999999998</v>
      </c>
      <c r="G59" s="36">
        <v>489.97500000000002</v>
      </c>
      <c r="H59" s="173">
        <v>11.578912315589761</v>
      </c>
      <c r="I59" s="173">
        <v>9.0551950609724976</v>
      </c>
      <c r="J59" s="171">
        <f t="shared" si="0"/>
        <v>1.1134141162325091</v>
      </c>
      <c r="K59" s="171">
        <v>0.27870379794405276</v>
      </c>
      <c r="L59" s="36">
        <v>318.38299798583984</v>
      </c>
      <c r="M59" s="176">
        <v>0.83089453283393444</v>
      </c>
      <c r="N59" s="36">
        <v>74.331999999999994</v>
      </c>
      <c r="O59" s="183">
        <v>0.1939866538267816</v>
      </c>
      <c r="P59" s="36">
        <v>207.02099999999999</v>
      </c>
      <c r="Q59" s="183">
        <v>0.54026948100245054</v>
      </c>
      <c r="R59" s="36">
        <v>57.787999999999997</v>
      </c>
      <c r="S59" s="183">
        <v>0.1508112354213805</v>
      </c>
      <c r="T59" s="36">
        <v>-2.2589999999999986</v>
      </c>
      <c r="U59" s="183">
        <v>-5.8953862534937762E-3</v>
      </c>
      <c r="V59" s="36">
        <v>49.615000000000009</v>
      </c>
      <c r="W59" s="36">
        <v>132.47900000000001</v>
      </c>
      <c r="X59" s="173">
        <v>0.34573478330084223</v>
      </c>
      <c r="Y59" s="36">
        <v>-33.405200000000001</v>
      </c>
      <c r="Z59" s="170">
        <v>-8.7178644035064382E-2</v>
      </c>
    </row>
    <row r="60" spans="1:26" x14ac:dyDescent="0.2">
      <c r="A60" s="1" t="s">
        <v>139</v>
      </c>
      <c r="B60" s="1" t="s">
        <v>139</v>
      </c>
      <c r="C60" s="36">
        <v>5589.3034400000024</v>
      </c>
      <c r="D60" s="36">
        <v>4485.9957999999997</v>
      </c>
      <c r="E60" s="36">
        <v>280.87400000000002</v>
      </c>
      <c r="F60" s="36">
        <v>509.43599999999998</v>
      </c>
      <c r="G60" s="36">
        <v>735.4</v>
      </c>
      <c r="H60" s="173">
        <v>8.8058083841738704</v>
      </c>
      <c r="I60" s="173">
        <v>6.1000758770737011</v>
      </c>
      <c r="J60" s="171">
        <f t="shared" si="0"/>
        <v>0.81375278594672318</v>
      </c>
      <c r="K60" s="171">
        <v>0.44355718873420802</v>
      </c>
      <c r="L60" s="36">
        <v>281.04199999999997</v>
      </c>
      <c r="M60" s="176">
        <v>0.55167283034571557</v>
      </c>
      <c r="N60" s="36">
        <v>160.947</v>
      </c>
      <c r="O60" s="183">
        <v>0.31593173627305493</v>
      </c>
      <c r="P60" s="36">
        <v>221.18700000000001</v>
      </c>
      <c r="Q60" s="183">
        <v>0.43418015216828026</v>
      </c>
      <c r="R60" s="36">
        <v>67.203999999999994</v>
      </c>
      <c r="S60" s="183">
        <v>0.13191843528922179</v>
      </c>
      <c r="T60" s="36">
        <v>-146.059</v>
      </c>
      <c r="U60" s="183">
        <v>-0.2867072605783651</v>
      </c>
      <c r="V60" s="36">
        <v>-129.36799999999999</v>
      </c>
      <c r="W60" s="36">
        <v>73.012</v>
      </c>
      <c r="X60" s="173">
        <v>0.14331927857473756</v>
      </c>
      <c r="Y60" s="36">
        <v>-163.51499999999999</v>
      </c>
      <c r="Z60" s="170">
        <v>-0.32097260499846886</v>
      </c>
    </row>
    <row r="61" spans="1:26" x14ac:dyDescent="0.2">
      <c r="A61" s="1" t="s">
        <v>147</v>
      </c>
      <c r="B61" s="1" t="s">
        <v>147</v>
      </c>
      <c r="C61" s="36">
        <v>4240.147043893131</v>
      </c>
      <c r="D61" s="36">
        <v>3887.6603</v>
      </c>
      <c r="E61" s="36">
        <v>750.26599999999996</v>
      </c>
      <c r="F61" s="36">
        <v>851.31600000000003</v>
      </c>
      <c r="G61" s="36">
        <v>927.80000000000007</v>
      </c>
      <c r="H61" s="173">
        <v>4.5666477547702611</v>
      </c>
      <c r="I61" s="173">
        <v>4.1901921750377236</v>
      </c>
      <c r="J61" s="171">
        <f t="shared" si="0"/>
        <v>0.1346855648529989</v>
      </c>
      <c r="K61" s="171">
        <v>8.9842079791757845E-2</v>
      </c>
      <c r="L61" s="36">
        <v>558.17699633789061</v>
      </c>
      <c r="M61" s="176">
        <v>0.65566369754343934</v>
      </c>
      <c r="N61" s="36">
        <v>162.886</v>
      </c>
      <c r="O61" s="183">
        <v>0.19133435762983428</v>
      </c>
      <c r="P61" s="36">
        <v>307.20999999999998</v>
      </c>
      <c r="Q61" s="183">
        <v>0.36086482575212958</v>
      </c>
      <c r="R61" s="36">
        <v>52.152999999999999</v>
      </c>
      <c r="S61" s="183">
        <v>6.1261623181051453E-2</v>
      </c>
      <c r="T61" s="36">
        <v>16.656999999999996</v>
      </c>
      <c r="U61" s="183">
        <v>1.9566177541594419E-2</v>
      </c>
      <c r="V61" s="36">
        <v>106.762</v>
      </c>
      <c r="W61" s="36">
        <v>162.279</v>
      </c>
      <c r="X61" s="173">
        <v>0.19062134389580365</v>
      </c>
      <c r="Y61" s="36">
        <v>16.697999999999997</v>
      </c>
      <c r="Z61" s="170">
        <v>1.9614338271570129E-2</v>
      </c>
    </row>
    <row r="62" spans="1:26" x14ac:dyDescent="0.2">
      <c r="A62" s="1" t="s">
        <v>149</v>
      </c>
      <c r="B62" s="1" t="s">
        <v>149</v>
      </c>
      <c r="C62" s="36">
        <v>5376.201162595421</v>
      </c>
      <c r="D62" s="36">
        <v>5314.2241999999997</v>
      </c>
      <c r="E62" s="36">
        <v>6408</v>
      </c>
      <c r="F62" s="36">
        <v>5780</v>
      </c>
      <c r="G62" s="36">
        <v>5298.5830000000005</v>
      </c>
      <c r="H62" s="173">
        <v>0.91941595155709332</v>
      </c>
      <c r="I62" s="173">
        <v>1.0029519590426343</v>
      </c>
      <c r="J62" s="171">
        <f t="shared" si="0"/>
        <v>-9.8002496878901377E-2</v>
      </c>
      <c r="K62" s="171">
        <v>-8.3290138408304459E-2</v>
      </c>
      <c r="L62" s="36">
        <v>1057</v>
      </c>
      <c r="M62" s="176">
        <v>0.1828719723183391</v>
      </c>
      <c r="N62" s="36">
        <v>13</v>
      </c>
      <c r="O62" s="183">
        <v>2.249134948096886E-3</v>
      </c>
      <c r="P62" s="36" t="s">
        <v>480</v>
      </c>
      <c r="Q62" s="183" t="e">
        <v>#VALUE!</v>
      </c>
      <c r="R62" s="36" t="s">
        <v>480</v>
      </c>
      <c r="S62" s="183" t="e">
        <v>#VALUE!</v>
      </c>
      <c r="T62" s="36">
        <v>689</v>
      </c>
      <c r="U62" s="183">
        <v>0.11920415224913494</v>
      </c>
      <c r="V62" s="36">
        <v>76</v>
      </c>
      <c r="W62" s="36">
        <v>658</v>
      </c>
      <c r="X62" s="173">
        <v>0.11384083044982699</v>
      </c>
      <c r="Y62" s="36">
        <v>34.552340425531995</v>
      </c>
      <c r="Z62" s="170">
        <v>5.9779135684311412E-3</v>
      </c>
    </row>
    <row r="63" spans="1:26" x14ac:dyDescent="0.2">
      <c r="A63" s="1" t="s">
        <v>151</v>
      </c>
      <c r="B63" s="1" t="s">
        <v>151</v>
      </c>
      <c r="C63" s="36">
        <v>4096.3865832061019</v>
      </c>
      <c r="D63" s="36">
        <v>3967.4378999999999</v>
      </c>
      <c r="E63" s="36">
        <v>2403.36</v>
      </c>
      <c r="F63" s="36">
        <v>2454.6930000000002</v>
      </c>
      <c r="G63" s="36">
        <v>2523.6790000000001</v>
      </c>
      <c r="H63" s="173">
        <v>1.6162664333177303</v>
      </c>
      <c r="I63" s="173">
        <v>1.5720849997166835</v>
      </c>
      <c r="J63" s="171">
        <f t="shared" si="0"/>
        <v>2.1358847613341357E-2</v>
      </c>
      <c r="K63" s="171">
        <v>2.8103718061688321E-2</v>
      </c>
      <c r="L63" s="36">
        <v>618.02799414062497</v>
      </c>
      <c r="M63" s="176">
        <v>0.25177404838023532</v>
      </c>
      <c r="N63" s="36">
        <v>0</v>
      </c>
      <c r="O63" s="183">
        <v>0</v>
      </c>
      <c r="P63" s="36" t="s">
        <v>480</v>
      </c>
      <c r="Q63" s="183" t="e">
        <v>#VALUE!</v>
      </c>
      <c r="R63" s="36" t="s">
        <v>480</v>
      </c>
      <c r="S63" s="183" t="e">
        <v>#VALUE!</v>
      </c>
      <c r="T63" s="36">
        <v>376.36900000000003</v>
      </c>
      <c r="U63" s="183">
        <v>0.1533263019041485</v>
      </c>
      <c r="V63" s="36">
        <v>297.005</v>
      </c>
      <c r="W63" s="36">
        <v>349.245</v>
      </c>
      <c r="X63" s="173">
        <v>0.14227644760464953</v>
      </c>
      <c r="Y63" s="36">
        <v>229.65975</v>
      </c>
      <c r="Z63" s="170">
        <v>9.3559459370275627E-2</v>
      </c>
    </row>
    <row r="64" spans="1:26" x14ac:dyDescent="0.2">
      <c r="A64" s="1" t="s">
        <v>153</v>
      </c>
      <c r="B64" s="1" t="s">
        <v>153</v>
      </c>
      <c r="C64" s="36">
        <v>5453.3515240458028</v>
      </c>
      <c r="D64" s="36">
        <v>4064.2968000000001</v>
      </c>
      <c r="E64" s="36">
        <v>336.06799999999998</v>
      </c>
      <c r="F64" s="36">
        <v>1130.17</v>
      </c>
      <c r="G64" s="36">
        <v>1221.8890000000001</v>
      </c>
      <c r="H64" s="173">
        <v>3.5961818133555128</v>
      </c>
      <c r="I64" s="173">
        <v>3.3262405995961988</v>
      </c>
      <c r="J64" s="171">
        <f t="shared" si="0"/>
        <v>2.3629205994025022</v>
      </c>
      <c r="K64" s="171">
        <v>8.1155047470734543E-2</v>
      </c>
      <c r="L64" s="36">
        <v>883.36700305175782</v>
      </c>
      <c r="M64" s="176">
        <v>0.78162312134613177</v>
      </c>
      <c r="N64" s="36">
        <v>156.73099999999999</v>
      </c>
      <c r="O64" s="183">
        <v>0.13867913676703503</v>
      </c>
      <c r="P64" s="36">
        <v>346.96100000000001</v>
      </c>
      <c r="Q64" s="183">
        <v>0.30699894706106162</v>
      </c>
      <c r="R64" s="36">
        <v>160.36600000000001</v>
      </c>
      <c r="S64" s="183">
        <v>0.1418954670536291</v>
      </c>
      <c r="T64" s="36">
        <v>389.65500000000003</v>
      </c>
      <c r="U64" s="183">
        <v>0.34477556473804827</v>
      </c>
      <c r="V64" s="36">
        <v>328.89800000000002</v>
      </c>
      <c r="W64" s="36">
        <v>252.40199999999999</v>
      </c>
      <c r="X64" s="173">
        <v>0.22333100330038841</v>
      </c>
      <c r="Y64" s="36">
        <v>85.247472264912005</v>
      </c>
      <c r="Z64" s="170">
        <v>7.5428893232798611E-2</v>
      </c>
    </row>
    <row r="65" spans="1:26" x14ac:dyDescent="0.2">
      <c r="A65" s="1" t="s">
        <v>155</v>
      </c>
      <c r="B65" s="1" t="s">
        <v>155</v>
      </c>
      <c r="C65" s="36">
        <v>2649.549464885496</v>
      </c>
      <c r="D65" s="36">
        <v>3256.0626999999999</v>
      </c>
      <c r="E65" s="36">
        <v>83.677999999999997</v>
      </c>
      <c r="F65" s="36">
        <v>219.095</v>
      </c>
      <c r="G65" s="36">
        <v>265.79300000000001</v>
      </c>
      <c r="H65" s="173">
        <v>14.861419475569958</v>
      </c>
      <c r="I65" s="173">
        <v>12.250370401026363</v>
      </c>
      <c r="J65" s="171">
        <f t="shared" si="0"/>
        <v>1.6183106670809533</v>
      </c>
      <c r="K65" s="171">
        <v>0.21314041853990284</v>
      </c>
      <c r="L65" s="36">
        <v>150.86900170898437</v>
      </c>
      <c r="M65" s="176">
        <v>0.68860084305431146</v>
      </c>
      <c r="N65" s="36">
        <v>44.536000000000001</v>
      </c>
      <c r="O65" s="183">
        <v>0.20327255300212238</v>
      </c>
      <c r="P65" s="36">
        <v>88.721999999999994</v>
      </c>
      <c r="Q65" s="183">
        <v>0.40494762545927565</v>
      </c>
      <c r="R65" s="36">
        <v>38.578000000000003</v>
      </c>
      <c r="S65" s="183">
        <v>0.17607886989662019</v>
      </c>
      <c r="T65" s="36">
        <v>-34.963000000000001</v>
      </c>
      <c r="U65" s="183">
        <v>-0.15957917798215387</v>
      </c>
      <c r="V65" s="36">
        <v>20.446999999999996</v>
      </c>
      <c r="W65" s="36">
        <v>412.90299999999996</v>
      </c>
      <c r="X65" s="173">
        <v>1.8845843127410482</v>
      </c>
      <c r="Y65" s="36">
        <v>-49.332999999999998</v>
      </c>
      <c r="Z65" s="170">
        <v>-0.22516716492845568</v>
      </c>
    </row>
    <row r="66" spans="1:26" x14ac:dyDescent="0.2">
      <c r="A66" s="1" t="s">
        <v>157</v>
      </c>
      <c r="B66" s="1" t="s">
        <v>157</v>
      </c>
      <c r="C66" s="36">
        <v>4575.1710572519114</v>
      </c>
      <c r="D66" s="36">
        <v>4272.2191999999995</v>
      </c>
      <c r="E66" s="36">
        <v>874.255</v>
      </c>
      <c r="F66" s="36">
        <v>1158.5079999999998</v>
      </c>
      <c r="G66" s="36">
        <v>1252.3330000000001</v>
      </c>
      <c r="H66" s="173">
        <v>3.6876907194425934</v>
      </c>
      <c r="I66" s="173">
        <v>3.4114083075348165</v>
      </c>
      <c r="J66" s="171">
        <f t="shared" si="0"/>
        <v>0.3251374027028725</v>
      </c>
      <c r="K66" s="171">
        <v>8.0987787740784078E-2</v>
      </c>
      <c r="L66" s="36">
        <v>974.26899780273436</v>
      </c>
      <c r="M66" s="176">
        <v>0.84096872684757851</v>
      </c>
      <c r="N66" s="36">
        <v>46.003999999999998</v>
      </c>
      <c r="O66" s="183">
        <v>3.9709695573962374E-2</v>
      </c>
      <c r="P66" s="36">
        <v>330.29599999999999</v>
      </c>
      <c r="Q66" s="183">
        <v>0.28510463458172064</v>
      </c>
      <c r="R66" s="36">
        <v>323.517</v>
      </c>
      <c r="S66" s="183">
        <v>0.27925314283544012</v>
      </c>
      <c r="T66" s="36">
        <v>412.85069230769199</v>
      </c>
      <c r="U66" s="183">
        <v>0.35636412722889443</v>
      </c>
      <c r="V66" s="36">
        <v>324.49900000000002</v>
      </c>
      <c r="W66" s="36">
        <v>350.94499999999999</v>
      </c>
      <c r="X66" s="173">
        <v>0.30292842172863721</v>
      </c>
      <c r="Y66" s="36">
        <v>150.78399999999999</v>
      </c>
      <c r="Z66" s="170">
        <v>0.1301536113691058</v>
      </c>
    </row>
    <row r="67" spans="1:26" x14ac:dyDescent="0.2">
      <c r="A67" s="1" t="s">
        <v>159</v>
      </c>
      <c r="B67" s="1" t="s">
        <v>159</v>
      </c>
      <c r="C67" s="36">
        <v>5590.2326538167936</v>
      </c>
      <c r="D67" s="36">
        <v>5315.9659000000001</v>
      </c>
      <c r="E67" s="36">
        <v>1952.557</v>
      </c>
      <c r="F67" s="36">
        <v>1870.5889999999999</v>
      </c>
      <c r="G67" s="36">
        <v>1850.3410000000001</v>
      </c>
      <c r="H67" s="173">
        <v>2.8418674011233898</v>
      </c>
      <c r="I67" s="173">
        <v>2.8729655236521268</v>
      </c>
      <c r="J67" s="171">
        <f t="shared" ref="J67:J130" si="1">(F67-E67)/E67</f>
        <v>-4.1979824404614091E-2</v>
      </c>
      <c r="K67" s="171">
        <v>-1.0824398090654719E-2</v>
      </c>
      <c r="L67" s="36">
        <v>918.13100402832038</v>
      </c>
      <c r="M67" s="176">
        <v>0.49082454992963198</v>
      </c>
      <c r="N67" s="36">
        <v>0</v>
      </c>
      <c r="O67" s="183">
        <v>0</v>
      </c>
      <c r="P67" s="36" t="s">
        <v>480</v>
      </c>
      <c r="Q67" s="183" t="e">
        <v>#VALUE!</v>
      </c>
      <c r="R67" s="36" t="s">
        <v>480</v>
      </c>
      <c r="S67" s="183" t="e">
        <v>#VALUE!</v>
      </c>
      <c r="T67" s="36">
        <v>460.75</v>
      </c>
      <c r="U67" s="183">
        <v>0.24631279238785217</v>
      </c>
      <c r="V67" s="36">
        <v>310.55</v>
      </c>
      <c r="W67" s="36">
        <v>118.80399999999999</v>
      </c>
      <c r="X67" s="173">
        <v>6.3511546363204316E-2</v>
      </c>
      <c r="Y67" s="36">
        <v>156.14600000000002</v>
      </c>
      <c r="Z67" s="170">
        <v>8.3474242604869381E-2</v>
      </c>
    </row>
    <row r="68" spans="1:26" x14ac:dyDescent="0.2">
      <c r="A68" s="1" t="s">
        <v>161</v>
      </c>
      <c r="B68" s="1" t="s">
        <v>161</v>
      </c>
      <c r="C68" s="36">
        <v>3965.9728984732819</v>
      </c>
      <c r="D68" s="36">
        <v>3162.8121999999998</v>
      </c>
      <c r="E68" s="36">
        <v>205.864</v>
      </c>
      <c r="F68" s="36">
        <v>346.63900000000001</v>
      </c>
      <c r="G68" s="36">
        <v>473.83300000000003</v>
      </c>
      <c r="H68" s="173">
        <v>9.1242249141037206</v>
      </c>
      <c r="I68" s="173">
        <v>6.6749513014078792</v>
      </c>
      <c r="J68" s="171">
        <f t="shared" si="1"/>
        <v>0.68382524385030896</v>
      </c>
      <c r="K68" s="171">
        <v>0.3669350534706135</v>
      </c>
      <c r="L68" s="36">
        <v>287.72500283813474</v>
      </c>
      <c r="M68" s="176">
        <v>0.83004221347896434</v>
      </c>
      <c r="N68" s="36">
        <v>45.925999999999995</v>
      </c>
      <c r="O68" s="183">
        <v>0.13248941982869786</v>
      </c>
      <c r="P68" s="36">
        <v>150.923</v>
      </c>
      <c r="Q68" s="183">
        <v>0.4353895551279573</v>
      </c>
      <c r="R68" s="36">
        <v>62.664999999999999</v>
      </c>
      <c r="S68" s="183">
        <v>0.18077885061980908</v>
      </c>
      <c r="T68" s="36">
        <v>-26.742999999999999</v>
      </c>
      <c r="U68" s="183">
        <v>-7.7149426348448957E-2</v>
      </c>
      <c r="V68" s="36" t="s">
        <v>480</v>
      </c>
      <c r="W68" s="36">
        <v>223.36999999999998</v>
      </c>
      <c r="X68" s="173">
        <v>0.64438796557802203</v>
      </c>
      <c r="Y68" s="36">
        <v>-47.448000000000008</v>
      </c>
      <c r="Z68" s="170">
        <v>-0.13688015485851276</v>
      </c>
    </row>
    <row r="69" spans="1:26" x14ac:dyDescent="0.2">
      <c r="A69" s="1" t="s">
        <v>163</v>
      </c>
      <c r="B69" s="1" t="s">
        <v>163</v>
      </c>
      <c r="C69" s="36">
        <v>5132.1628770992384</v>
      </c>
      <c r="D69" s="36">
        <v>3579.8489</v>
      </c>
      <c r="E69" s="36">
        <v>730.81500000000005</v>
      </c>
      <c r="F69" s="36">
        <v>833.04499999999996</v>
      </c>
      <c r="G69" s="36">
        <v>871.04500000000007</v>
      </c>
      <c r="H69" s="173">
        <v>4.2973055477195112</v>
      </c>
      <c r="I69" s="173">
        <v>4.1098323278361049</v>
      </c>
      <c r="J69" s="171">
        <f t="shared" si="1"/>
        <v>0.13988492299692795</v>
      </c>
      <c r="K69" s="171">
        <v>4.5615783060939163E-2</v>
      </c>
      <c r="L69" s="36">
        <v>461.10500335693359</v>
      </c>
      <c r="M69" s="176">
        <v>0.55351752109061769</v>
      </c>
      <c r="N69" s="36">
        <v>89.911000000000001</v>
      </c>
      <c r="O69" s="183">
        <v>0.10793054396821301</v>
      </c>
      <c r="P69" s="36">
        <v>173.52500000000001</v>
      </c>
      <c r="Q69" s="183">
        <v>0.20830207251709093</v>
      </c>
      <c r="R69" s="36">
        <v>94.87</v>
      </c>
      <c r="S69" s="183">
        <v>0.11388340365766557</v>
      </c>
      <c r="T69" s="36">
        <v>162.346</v>
      </c>
      <c r="U69" s="183">
        <v>0.19488262938976889</v>
      </c>
      <c r="V69" s="36">
        <v>149.40600000000001</v>
      </c>
      <c r="W69" s="36">
        <v>29.83</v>
      </c>
      <c r="X69" s="173">
        <v>3.580838970283718E-2</v>
      </c>
      <c r="Y69" s="36">
        <v>80.155496400630994</v>
      </c>
      <c r="Z69" s="170">
        <v>9.621988776192282E-2</v>
      </c>
    </row>
    <row r="70" spans="1:26" x14ac:dyDescent="0.2">
      <c r="A70" s="1" t="s">
        <v>165</v>
      </c>
      <c r="B70" s="1" t="s">
        <v>165</v>
      </c>
      <c r="C70" s="36">
        <v>2956.6010438931294</v>
      </c>
      <c r="D70" s="36">
        <v>3196.73</v>
      </c>
      <c r="E70" s="36">
        <v>714.11400000000003</v>
      </c>
      <c r="F70" s="36">
        <v>793.64200000000005</v>
      </c>
      <c r="G70" s="36">
        <v>853.05899999999997</v>
      </c>
      <c r="H70" s="173">
        <v>4.0279244294026775</v>
      </c>
      <c r="I70" s="173">
        <v>3.7473726905173033</v>
      </c>
      <c r="J70" s="171">
        <f t="shared" si="1"/>
        <v>0.11136597237976012</v>
      </c>
      <c r="K70" s="171">
        <v>7.4866249518044548E-2</v>
      </c>
      <c r="L70" s="36">
        <v>520.84100958251952</v>
      </c>
      <c r="M70" s="176">
        <v>0.65626694351170867</v>
      </c>
      <c r="N70" s="36">
        <v>243.273</v>
      </c>
      <c r="O70" s="183">
        <v>0.30652737632332966</v>
      </c>
      <c r="P70" s="36">
        <v>371.935</v>
      </c>
      <c r="Q70" s="183">
        <v>0.46864329256768161</v>
      </c>
      <c r="R70" s="36">
        <v>125.59699999999999</v>
      </c>
      <c r="S70" s="183">
        <v>0.15825397345402586</v>
      </c>
      <c r="T70" s="36">
        <v>-128.273</v>
      </c>
      <c r="U70" s="183">
        <v>-0.1616257708135406</v>
      </c>
      <c r="V70" s="36">
        <v>11.232999999999997</v>
      </c>
      <c r="W70" s="36">
        <v>180.89099999999999</v>
      </c>
      <c r="X70" s="173">
        <v>0.22792518541105433</v>
      </c>
      <c r="Y70" s="36">
        <v>-257.473708220025</v>
      </c>
      <c r="Z70" s="170">
        <v>-0.32442046693600513</v>
      </c>
    </row>
    <row r="71" spans="1:26" x14ac:dyDescent="0.2">
      <c r="A71" s="1" t="s">
        <v>167</v>
      </c>
      <c r="B71" s="1" t="s">
        <v>167</v>
      </c>
      <c r="C71" s="36">
        <v>2922.0393603053431</v>
      </c>
      <c r="D71" s="36">
        <v>3202.2395999999999</v>
      </c>
      <c r="E71" s="36">
        <v>230.70099999999999</v>
      </c>
      <c r="F71" s="36">
        <v>377.52699999999999</v>
      </c>
      <c r="G71" s="36">
        <v>452.61400000000003</v>
      </c>
      <c r="H71" s="173">
        <v>8.482147237151251</v>
      </c>
      <c r="I71" s="173">
        <v>7.0749901682228113</v>
      </c>
      <c r="J71" s="171">
        <f t="shared" si="1"/>
        <v>0.63643417237029742</v>
      </c>
      <c r="K71" s="171">
        <v>0.19889173489578238</v>
      </c>
      <c r="L71" s="36">
        <v>228.32999908447266</v>
      </c>
      <c r="M71" s="176">
        <v>0.60480442215913743</v>
      </c>
      <c r="N71" s="36">
        <v>37.644999999999996</v>
      </c>
      <c r="O71" s="183">
        <v>9.9714722390716423E-2</v>
      </c>
      <c r="P71" s="36">
        <v>95.483999999999995</v>
      </c>
      <c r="Q71" s="183">
        <v>0.25291965872639571</v>
      </c>
      <c r="R71" s="36">
        <v>79.251999999999995</v>
      </c>
      <c r="S71" s="183">
        <v>0.20992405841171624</v>
      </c>
      <c r="T71" s="36">
        <v>46.511999999999993</v>
      </c>
      <c r="U71" s="183">
        <v>0.12320178424324617</v>
      </c>
      <c r="V71" s="36">
        <v>58.707999999999998</v>
      </c>
      <c r="W71" s="36">
        <v>137.19299999999998</v>
      </c>
      <c r="X71" s="173">
        <v>0.36339917409880612</v>
      </c>
      <c r="Y71" s="36">
        <v>3.8283299999999998</v>
      </c>
      <c r="Z71" s="170">
        <v>1.0140546239076941E-2</v>
      </c>
    </row>
    <row r="72" spans="1:26" x14ac:dyDescent="0.2">
      <c r="A72" s="1" t="s">
        <v>169</v>
      </c>
      <c r="B72" s="1" t="s">
        <v>169</v>
      </c>
      <c r="C72" s="36">
        <v>3952.9119525862075</v>
      </c>
      <c r="D72" s="36">
        <v>3692.9135000000001</v>
      </c>
      <c r="E72" s="36">
        <v>131.84100000000001</v>
      </c>
      <c r="F72" s="36">
        <v>166.82400000000001</v>
      </c>
      <c r="G72" s="36">
        <v>257.7</v>
      </c>
      <c r="H72" s="173">
        <v>22.136584064642975</v>
      </c>
      <c r="I72" s="173">
        <v>14.330281334885527</v>
      </c>
      <c r="J72" s="171">
        <f t="shared" si="1"/>
        <v>0.26534234418731656</v>
      </c>
      <c r="K72" s="171">
        <v>0.54474176377499628</v>
      </c>
      <c r="L72" s="36">
        <v>116.99600000000001</v>
      </c>
      <c r="M72" s="176">
        <v>0.70131395962211673</v>
      </c>
      <c r="N72" s="36">
        <v>0</v>
      </c>
      <c r="O72" s="183">
        <v>0</v>
      </c>
      <c r="P72" s="36">
        <v>103.47799999999999</v>
      </c>
      <c r="Q72" s="183">
        <v>0.62028245336402432</v>
      </c>
      <c r="R72" s="36">
        <v>46.970999999999997</v>
      </c>
      <c r="S72" s="183">
        <v>0.28156020716443675</v>
      </c>
      <c r="T72" s="36">
        <v>-66.082999999999998</v>
      </c>
      <c r="U72" s="183">
        <v>-0.39612405888840929</v>
      </c>
      <c r="V72" s="36">
        <v>-18.09</v>
      </c>
      <c r="W72" s="36">
        <v>28.266999999999999</v>
      </c>
      <c r="X72" s="173">
        <v>0.16944204670790772</v>
      </c>
      <c r="Y72" s="36">
        <v>-95.293880000000001</v>
      </c>
      <c r="Z72" s="170">
        <v>-0.57122404450199005</v>
      </c>
    </row>
    <row r="73" spans="1:26" x14ac:dyDescent="0.2">
      <c r="A73" s="1" t="s">
        <v>171</v>
      </c>
      <c r="B73" s="1" t="s">
        <v>171</v>
      </c>
      <c r="C73" s="36">
        <v>3082.1623286259528</v>
      </c>
      <c r="D73" s="36">
        <v>2833.0971</v>
      </c>
      <c r="E73" s="36">
        <v>604.55700000000002</v>
      </c>
      <c r="F73" s="36">
        <v>558.87699999999995</v>
      </c>
      <c r="G73" s="36">
        <v>561.4</v>
      </c>
      <c r="H73" s="173">
        <v>5.0692676563895098</v>
      </c>
      <c r="I73" s="173">
        <v>5.0464857499109375</v>
      </c>
      <c r="J73" s="171">
        <f t="shared" si="1"/>
        <v>-7.5559459240402582E-2</v>
      </c>
      <c r="K73" s="171">
        <v>4.5144101474923204E-3</v>
      </c>
      <c r="L73" s="36">
        <v>322.08900360107418</v>
      </c>
      <c r="M73" s="176">
        <v>0.57631465170524854</v>
      </c>
      <c r="N73" s="36">
        <v>57.704000000000001</v>
      </c>
      <c r="O73" s="183">
        <v>0.10324991008755058</v>
      </c>
      <c r="P73" s="36">
        <v>47.481999999999999</v>
      </c>
      <c r="Q73" s="183">
        <v>8.4959660175673718E-2</v>
      </c>
      <c r="R73" s="36">
        <v>46.054000000000002</v>
      </c>
      <c r="S73" s="183">
        <v>8.2404536239637713E-2</v>
      </c>
      <c r="T73" s="36">
        <v>152.07</v>
      </c>
      <c r="U73" s="183">
        <v>0.27209922755812105</v>
      </c>
      <c r="V73" s="36">
        <v>142.90699999999998</v>
      </c>
      <c r="W73" s="36">
        <v>125.52199999999999</v>
      </c>
      <c r="X73" s="173">
        <v>0.2245968254195467</v>
      </c>
      <c r="Y73" s="36">
        <v>105.80647999999999</v>
      </c>
      <c r="Z73" s="170">
        <v>0.18931979666366661</v>
      </c>
    </row>
    <row r="74" spans="1:26" x14ac:dyDescent="0.2">
      <c r="A74" s="1" t="s">
        <v>173</v>
      </c>
      <c r="B74" s="1" t="s">
        <v>173</v>
      </c>
      <c r="C74" s="36">
        <v>2580.8778683206092</v>
      </c>
      <c r="D74" s="36">
        <v>2532.3746999999998</v>
      </c>
      <c r="E74" s="36">
        <v>197.92500000000001</v>
      </c>
      <c r="F74" s="36">
        <v>255.43600000000001</v>
      </c>
      <c r="G74" s="36">
        <v>303.84500000000003</v>
      </c>
      <c r="H74" s="173">
        <v>9.9139302995662302</v>
      </c>
      <c r="I74" s="173">
        <v>8.3344293965673266</v>
      </c>
      <c r="J74" s="171">
        <f t="shared" si="1"/>
        <v>0.2905696602248326</v>
      </c>
      <c r="K74" s="171">
        <v>0.18951518188509064</v>
      </c>
      <c r="L74" s="36">
        <v>196.15400054931641</v>
      </c>
      <c r="M74" s="176">
        <v>0.76791838483736197</v>
      </c>
      <c r="N74" s="36">
        <v>42.815999999999995</v>
      </c>
      <c r="O74" s="183">
        <v>0.16761928623999747</v>
      </c>
      <c r="P74" s="36">
        <v>63.854999999999997</v>
      </c>
      <c r="Q74" s="183">
        <v>0.24998434050016441</v>
      </c>
      <c r="R74" s="36">
        <v>35.334000000000003</v>
      </c>
      <c r="S74" s="183">
        <v>0.13832819179755398</v>
      </c>
      <c r="T74" s="36">
        <v>67.129000000000005</v>
      </c>
      <c r="U74" s="183">
        <v>0.2628016411155828</v>
      </c>
      <c r="V74" s="36">
        <v>93.984999999999999</v>
      </c>
      <c r="W74" s="36">
        <v>86.590999999999994</v>
      </c>
      <c r="X74" s="173">
        <v>0.33899293756557414</v>
      </c>
      <c r="Y74" s="36">
        <v>42.557038674647998</v>
      </c>
      <c r="Z74" s="170">
        <v>0.166605485032055</v>
      </c>
    </row>
    <row r="75" spans="1:26" x14ac:dyDescent="0.2">
      <c r="A75" s="1" t="s">
        <v>175</v>
      </c>
      <c r="B75" s="1" t="s">
        <v>175</v>
      </c>
      <c r="C75" s="36">
        <v>3508.5873923664121</v>
      </c>
      <c r="D75" s="36">
        <v>3540.5491000000002</v>
      </c>
      <c r="E75" s="36">
        <v>1005.701</v>
      </c>
      <c r="F75" s="36">
        <v>996.43500000000006</v>
      </c>
      <c r="G75" s="36">
        <v>1060</v>
      </c>
      <c r="H75" s="173">
        <v>3.553216316167136</v>
      </c>
      <c r="I75" s="173">
        <v>3.3401406603773585</v>
      </c>
      <c r="J75" s="171">
        <f t="shared" si="1"/>
        <v>-9.2134739848125456E-3</v>
      </c>
      <c r="K75" s="171">
        <v>6.3792419977218628E-2</v>
      </c>
      <c r="L75" s="36">
        <v>549.45199468994144</v>
      </c>
      <c r="M75" s="176">
        <v>0.55141779914388933</v>
      </c>
      <c r="N75" s="36">
        <v>136.92099999999999</v>
      </c>
      <c r="O75" s="183">
        <v>0.13741086975066108</v>
      </c>
      <c r="P75" s="36">
        <v>107.88500000000001</v>
      </c>
      <c r="Q75" s="183">
        <v>0.10827098606532287</v>
      </c>
      <c r="R75" s="36">
        <v>153.03200000000001</v>
      </c>
      <c r="S75" s="183">
        <v>0.15357951095656014</v>
      </c>
      <c r="T75" s="36">
        <v>214.69400000000002</v>
      </c>
      <c r="U75" s="183">
        <v>0.21546212246659341</v>
      </c>
      <c r="V75" s="36">
        <v>138.00200000000001</v>
      </c>
      <c r="W75" s="36">
        <v>69.709999999999994</v>
      </c>
      <c r="X75" s="173">
        <v>6.9959405279822556E-2</v>
      </c>
      <c r="Y75" s="36">
        <v>48.026550000000007</v>
      </c>
      <c r="Z75" s="170">
        <v>4.819837721477066E-2</v>
      </c>
    </row>
    <row r="76" spans="1:26" x14ac:dyDescent="0.2">
      <c r="A76" s="1" t="s">
        <v>177</v>
      </c>
      <c r="B76" s="1" t="s">
        <v>177</v>
      </c>
      <c r="C76" s="36">
        <v>3201.905522137406</v>
      </c>
      <c r="D76" s="36">
        <v>3342.4558000000002</v>
      </c>
      <c r="E76" s="36">
        <v>1130.2660000000001</v>
      </c>
      <c r="F76" s="36">
        <v>1198.9859999999999</v>
      </c>
      <c r="G76" s="36">
        <v>1271.2</v>
      </c>
      <c r="H76" s="173">
        <v>2.7877354698053192</v>
      </c>
      <c r="I76" s="173">
        <v>2.6293705160478287</v>
      </c>
      <c r="J76" s="171">
        <f t="shared" si="1"/>
        <v>6.0799847115634548E-2</v>
      </c>
      <c r="K76" s="171">
        <v>6.0229227030174082E-2</v>
      </c>
      <c r="L76" s="36">
        <v>770.49898681640627</v>
      </c>
      <c r="M76" s="176">
        <v>0.64262550756756653</v>
      </c>
      <c r="N76" s="36">
        <v>190.643</v>
      </c>
      <c r="O76" s="183">
        <v>0.15900352464499171</v>
      </c>
      <c r="P76" s="36" t="s">
        <v>480</v>
      </c>
      <c r="Q76" s="183" t="e">
        <v>#VALUE!</v>
      </c>
      <c r="R76" s="36" t="s">
        <v>480</v>
      </c>
      <c r="S76" s="183" t="e">
        <v>#VALUE!</v>
      </c>
      <c r="T76" s="36">
        <v>212.02799999999999</v>
      </c>
      <c r="U76" s="183">
        <v>0.17683942931777352</v>
      </c>
      <c r="V76" s="36">
        <v>144.71100000000001</v>
      </c>
      <c r="W76" s="36">
        <v>337.94200000000001</v>
      </c>
      <c r="X76" s="173">
        <v>0.28185650207758894</v>
      </c>
      <c r="Y76" s="36">
        <v>54.014695631445996</v>
      </c>
      <c r="Z76" s="170">
        <v>4.5050313874762507E-2</v>
      </c>
    </row>
    <row r="77" spans="1:26" x14ac:dyDescent="0.2">
      <c r="A77" s="1" t="s">
        <v>179</v>
      </c>
      <c r="B77" s="1" t="s">
        <v>179</v>
      </c>
      <c r="C77" s="36">
        <v>2555.6058732824413</v>
      </c>
      <c r="D77" s="36">
        <v>2710.8598999999999</v>
      </c>
      <c r="E77" s="36">
        <v>423.12400000000002</v>
      </c>
      <c r="F77" s="36">
        <v>519.38200000000006</v>
      </c>
      <c r="G77" s="36">
        <v>532.57500000000005</v>
      </c>
      <c r="H77" s="173">
        <v>5.2193951657931921</v>
      </c>
      <c r="I77" s="173">
        <v>5.0900997981504945</v>
      </c>
      <c r="J77" s="171">
        <f t="shared" si="1"/>
        <v>0.22749359525812771</v>
      </c>
      <c r="K77" s="171">
        <v>2.540134236457936E-2</v>
      </c>
      <c r="L77" s="36">
        <v>372.4000010986328</v>
      </c>
      <c r="M77" s="176">
        <v>0.71700598229941115</v>
      </c>
      <c r="N77" s="36">
        <v>61.974999999999994</v>
      </c>
      <c r="O77" s="183">
        <v>0.11932450489235281</v>
      </c>
      <c r="P77" s="36">
        <v>240.27099999999999</v>
      </c>
      <c r="Q77" s="183">
        <v>0.46260940887439295</v>
      </c>
      <c r="R77" s="36">
        <v>84.588999999999999</v>
      </c>
      <c r="S77" s="183">
        <v>0.16286471229268629</v>
      </c>
      <c r="T77" s="36">
        <v>15.740000000000002</v>
      </c>
      <c r="U77" s="183">
        <v>3.0305247390167545E-2</v>
      </c>
      <c r="V77" s="36">
        <v>86.269000000000005</v>
      </c>
      <c r="W77" s="36">
        <v>393.57599999999996</v>
      </c>
      <c r="X77" s="173">
        <v>0.7577775125052465</v>
      </c>
      <c r="Y77" s="36">
        <v>-40.478999999999999</v>
      </c>
      <c r="Z77" s="170">
        <v>-7.793685572468817E-2</v>
      </c>
    </row>
    <row r="78" spans="1:26" x14ac:dyDescent="0.2">
      <c r="A78" s="1" t="s">
        <v>181</v>
      </c>
      <c r="B78" s="1" t="s">
        <v>181</v>
      </c>
      <c r="C78" s="36">
        <v>1951.6009679389313</v>
      </c>
      <c r="D78" s="36">
        <v>2781.2797</v>
      </c>
      <c r="E78" s="36">
        <v>343.274</v>
      </c>
      <c r="F78" s="36">
        <v>394.09599999999995</v>
      </c>
      <c r="G78" s="36">
        <v>427.56700000000001</v>
      </c>
      <c r="H78" s="173">
        <v>7.0573659717429269</v>
      </c>
      <c r="I78" s="173">
        <v>6.5048979458190175</v>
      </c>
      <c r="J78" s="171">
        <f t="shared" si="1"/>
        <v>0.14805082820137833</v>
      </c>
      <c r="K78" s="171">
        <v>8.4931082781860345E-2</v>
      </c>
      <c r="L78" s="36">
        <v>220.96600073242186</v>
      </c>
      <c r="M78" s="176">
        <v>0.56069079800967758</v>
      </c>
      <c r="N78" s="36">
        <v>57.309999999999995</v>
      </c>
      <c r="O78" s="183">
        <v>0.14542142016158499</v>
      </c>
      <c r="P78" s="36">
        <v>85.912000000000006</v>
      </c>
      <c r="Q78" s="183">
        <v>0.2179976452437985</v>
      </c>
      <c r="R78" s="36">
        <v>49.837000000000003</v>
      </c>
      <c r="S78" s="183">
        <v>0.12645903536194231</v>
      </c>
      <c r="T78" s="36">
        <v>54.477999999999994</v>
      </c>
      <c r="U78" s="183">
        <v>0.13823535382241892</v>
      </c>
      <c r="V78" s="36">
        <v>56.217000000000006</v>
      </c>
      <c r="W78" s="36">
        <v>124.613</v>
      </c>
      <c r="X78" s="173">
        <v>0.31619960618732496</v>
      </c>
      <c r="Y78" s="36">
        <v>4.2689791113369981</v>
      </c>
      <c r="Z78" s="170">
        <v>1.0832333013623581E-2</v>
      </c>
    </row>
    <row r="79" spans="1:26" x14ac:dyDescent="0.2">
      <c r="A79" s="1" t="s">
        <v>183</v>
      </c>
      <c r="B79" s="1" t="s">
        <v>183</v>
      </c>
      <c r="C79" s="36">
        <v>3051.3667637404578</v>
      </c>
      <c r="D79" s="36">
        <v>2538.9832999999999</v>
      </c>
      <c r="E79" s="36">
        <v>360.28500000000003</v>
      </c>
      <c r="F79" s="36">
        <v>462.851</v>
      </c>
      <c r="G79" s="36">
        <v>534.75</v>
      </c>
      <c r="H79" s="173">
        <v>5.4855305487078994</v>
      </c>
      <c r="I79" s="173">
        <v>4.7479818606825619</v>
      </c>
      <c r="J79" s="171">
        <f t="shared" si="1"/>
        <v>0.28468018374342524</v>
      </c>
      <c r="K79" s="171">
        <v>0.15533940728225715</v>
      </c>
      <c r="L79" s="36">
        <v>273.98900335693361</v>
      </c>
      <c r="M79" s="176">
        <v>0.59195940671389624</v>
      </c>
      <c r="N79" s="36">
        <v>69.265999999999991</v>
      </c>
      <c r="O79" s="183">
        <v>0.14965075153775187</v>
      </c>
      <c r="P79" s="36">
        <v>65.042000000000002</v>
      </c>
      <c r="Q79" s="183">
        <v>0.14052470449453497</v>
      </c>
      <c r="R79" s="36">
        <v>79.686000000000007</v>
      </c>
      <c r="S79" s="183">
        <v>0.17216339599568761</v>
      </c>
      <c r="T79" s="36">
        <v>85.867999999999995</v>
      </c>
      <c r="U79" s="183">
        <v>0.1855197460953957</v>
      </c>
      <c r="V79" s="36">
        <v>30.468</v>
      </c>
      <c r="W79" s="36">
        <v>137.69800000000001</v>
      </c>
      <c r="X79" s="173">
        <v>0.29749962730986862</v>
      </c>
      <c r="Y79" s="36">
        <v>19.337490000000003</v>
      </c>
      <c r="Z79" s="170">
        <v>4.177908225325213E-2</v>
      </c>
    </row>
    <row r="80" spans="1:26" x14ac:dyDescent="0.2">
      <c r="A80" s="1" t="s">
        <v>185</v>
      </c>
      <c r="B80" s="1" t="s">
        <v>185</v>
      </c>
      <c r="C80" s="36">
        <v>3119.1040530534374</v>
      </c>
      <c r="D80" s="36">
        <v>2584.7898</v>
      </c>
      <c r="E80" s="36">
        <v>302.70400000000001</v>
      </c>
      <c r="F80" s="36">
        <v>554.70800000000008</v>
      </c>
      <c r="G80" s="36">
        <v>668.68299999999999</v>
      </c>
      <c r="H80" s="173">
        <v>4.6597305248887695</v>
      </c>
      <c r="I80" s="173">
        <v>3.8654935148642928</v>
      </c>
      <c r="J80" s="171">
        <f t="shared" si="1"/>
        <v>0.83250964638723002</v>
      </c>
      <c r="K80" s="171">
        <v>0.20546846268667451</v>
      </c>
      <c r="L80" s="36">
        <v>403.28800524902346</v>
      </c>
      <c r="M80" s="176">
        <v>0.72702756269789404</v>
      </c>
      <c r="N80" s="36">
        <v>136.791</v>
      </c>
      <c r="O80" s="183">
        <v>0.24660001297980194</v>
      </c>
      <c r="P80" s="36">
        <v>303.31900000000002</v>
      </c>
      <c r="Q80" s="183">
        <v>0.54680841091168686</v>
      </c>
      <c r="R80" s="36">
        <v>84.805000000000007</v>
      </c>
      <c r="S80" s="183">
        <v>0.15288223714098229</v>
      </c>
      <c r="T80" s="36">
        <v>-104.10600000000001</v>
      </c>
      <c r="U80" s="183">
        <v>-0.18767712021459937</v>
      </c>
      <c r="V80" s="36">
        <v>53.064000000000007</v>
      </c>
      <c r="W80" s="36">
        <v>208.07599999999999</v>
      </c>
      <c r="X80" s="173">
        <v>0.37510906639168706</v>
      </c>
      <c r="Y80" s="36">
        <v>-150.31100000000001</v>
      </c>
      <c r="Z80" s="170">
        <v>-0.27097319670889908</v>
      </c>
    </row>
    <row r="81" spans="1:26" x14ac:dyDescent="0.2">
      <c r="A81" s="1" t="s">
        <v>187</v>
      </c>
      <c r="B81" s="1" t="s">
        <v>187</v>
      </c>
      <c r="C81" s="36">
        <v>3306.1258507692314</v>
      </c>
      <c r="D81" s="36">
        <v>2961.8824</v>
      </c>
      <c r="E81" s="36">
        <v>124.371</v>
      </c>
      <c r="F81" s="36">
        <v>187.727</v>
      </c>
      <c r="G81" s="36">
        <v>294.17700000000002</v>
      </c>
      <c r="H81" s="173">
        <v>15.777604713227186</v>
      </c>
      <c r="I81" s="173">
        <v>10.068368363264293</v>
      </c>
      <c r="J81" s="171">
        <f t="shared" si="1"/>
        <v>0.50941135795322068</v>
      </c>
      <c r="K81" s="171">
        <v>0.56704682863946054</v>
      </c>
      <c r="L81" s="36">
        <v>162.13900000000001</v>
      </c>
      <c r="M81" s="176">
        <v>0.86369568575644429</v>
      </c>
      <c r="N81" s="36">
        <v>57.672999999999995</v>
      </c>
      <c r="O81" s="183">
        <v>0.30721739547321375</v>
      </c>
      <c r="P81" s="36">
        <v>116.29900000000001</v>
      </c>
      <c r="Q81" s="183">
        <v>0.61951131163870943</v>
      </c>
      <c r="R81" s="36">
        <v>28.927</v>
      </c>
      <c r="S81" s="183">
        <v>0.15409078076142482</v>
      </c>
      <c r="T81" s="36">
        <v>-36.067999999999998</v>
      </c>
      <c r="U81" s="183">
        <v>-0.19213006120590004</v>
      </c>
      <c r="V81" s="36">
        <v>-9.0210000000000008</v>
      </c>
      <c r="W81" s="36">
        <v>27.209999999999997</v>
      </c>
      <c r="X81" s="173">
        <v>0.14494452050051404</v>
      </c>
      <c r="Y81" s="36">
        <v>-41.021999999999998</v>
      </c>
      <c r="Z81" s="170">
        <v>-0.21851944579096239</v>
      </c>
    </row>
    <row r="82" spans="1:26" x14ac:dyDescent="0.2">
      <c r="A82" s="1" t="s">
        <v>189</v>
      </c>
      <c r="B82" s="1" t="s">
        <v>189</v>
      </c>
      <c r="C82" s="36">
        <v>2011.1780591603051</v>
      </c>
      <c r="D82" s="36">
        <v>2363.1176</v>
      </c>
      <c r="E82" s="36">
        <v>85.79</v>
      </c>
      <c r="F82" s="36">
        <v>162.35999999999999</v>
      </c>
      <c r="G82" s="36">
        <v>224.28800000000001</v>
      </c>
      <c r="H82" s="173">
        <v>14.554801675289482</v>
      </c>
      <c r="I82" s="173">
        <v>10.536085746896847</v>
      </c>
      <c r="J82" s="171">
        <f t="shared" si="1"/>
        <v>0.89252826669774998</v>
      </c>
      <c r="K82" s="171">
        <v>0.3814239960581427</v>
      </c>
      <c r="L82" s="36">
        <v>140.40400271606444</v>
      </c>
      <c r="M82" s="176">
        <v>0.86476966442513215</v>
      </c>
      <c r="N82" s="36">
        <v>29.341999999999999</v>
      </c>
      <c r="O82" s="183">
        <v>0.1807218526730722</v>
      </c>
      <c r="P82" s="36">
        <v>66.42</v>
      </c>
      <c r="Q82" s="183">
        <v>0.40909090909090912</v>
      </c>
      <c r="R82" s="36">
        <v>32.241</v>
      </c>
      <c r="S82" s="183">
        <v>0.19857723577235775</v>
      </c>
      <c r="T82" s="36">
        <v>-13.546000000000001</v>
      </c>
      <c r="U82" s="183">
        <v>-8.3431879773343209E-2</v>
      </c>
      <c r="V82" s="36">
        <v>16.873000000000001</v>
      </c>
      <c r="W82" s="36">
        <v>119.71599999999999</v>
      </c>
      <c r="X82" s="173">
        <v>0.73734910076373494</v>
      </c>
      <c r="Y82" s="36">
        <v>-19.666589999999999</v>
      </c>
      <c r="Z82" s="170">
        <v>-0.12112952697708795</v>
      </c>
    </row>
    <row r="83" spans="1:26" x14ac:dyDescent="0.2">
      <c r="A83" s="1" t="s">
        <v>191</v>
      </c>
      <c r="B83" s="1" t="s">
        <v>191</v>
      </c>
      <c r="C83" s="36">
        <v>2337.3717137404601</v>
      </c>
      <c r="D83" s="36">
        <v>2249.4695999999999</v>
      </c>
      <c r="E83" s="36">
        <v>595.12599999999998</v>
      </c>
      <c r="F83" s="36">
        <v>709.59799999999996</v>
      </c>
      <c r="G83" s="36">
        <v>761.19500000000005</v>
      </c>
      <c r="H83" s="173">
        <v>3.1700619223842232</v>
      </c>
      <c r="I83" s="173">
        <v>2.955181786533017</v>
      </c>
      <c r="J83" s="171">
        <f t="shared" si="1"/>
        <v>0.19234918319817987</v>
      </c>
      <c r="K83" s="171">
        <v>7.2713000882189682E-2</v>
      </c>
      <c r="L83" s="36">
        <v>605.50099267578128</v>
      </c>
      <c r="M83" s="176">
        <v>0.85330143641298495</v>
      </c>
      <c r="N83" s="36">
        <v>94.164000000000001</v>
      </c>
      <c r="O83" s="183">
        <v>0.13270048675447227</v>
      </c>
      <c r="P83" s="36">
        <v>410.72699999999998</v>
      </c>
      <c r="Q83" s="183">
        <v>0.57881645664164783</v>
      </c>
      <c r="R83" s="36">
        <v>87.575000000000003</v>
      </c>
      <c r="S83" s="183">
        <v>0.12341494761822892</v>
      </c>
      <c r="T83" s="36">
        <v>20.122</v>
      </c>
      <c r="U83" s="183">
        <v>2.8356900667701995E-2</v>
      </c>
      <c r="V83" s="36">
        <v>88.67</v>
      </c>
      <c r="W83" s="36">
        <v>330.78399999999999</v>
      </c>
      <c r="X83" s="173">
        <v>0.46615689446700809</v>
      </c>
      <c r="Y83" s="36">
        <v>-7.6881895614599998</v>
      </c>
      <c r="Z83" s="170">
        <v>-1.0834570505356555E-2</v>
      </c>
    </row>
    <row r="84" spans="1:26" x14ac:dyDescent="0.2">
      <c r="A84" s="1" t="s">
        <v>193</v>
      </c>
      <c r="B84" s="1" t="s">
        <v>193</v>
      </c>
      <c r="C84" s="36">
        <v>3762.6492681818163</v>
      </c>
      <c r="D84" s="36">
        <v>2665.1181000000001</v>
      </c>
      <c r="E84" s="36">
        <v>263.86500000000001</v>
      </c>
      <c r="F84" s="36">
        <v>325.887</v>
      </c>
      <c r="G84" s="36">
        <v>515.72500000000002</v>
      </c>
      <c r="H84" s="173">
        <v>8.1780436163455441</v>
      </c>
      <c r="I84" s="173">
        <v>5.1677116680401376</v>
      </c>
      <c r="J84" s="171">
        <f t="shared" si="1"/>
        <v>0.23505201523506333</v>
      </c>
      <c r="K84" s="171">
        <v>0.58252707226738099</v>
      </c>
      <c r="L84" s="36">
        <v>236.179</v>
      </c>
      <c r="M84" s="176">
        <v>0.72472666906013439</v>
      </c>
      <c r="N84" s="36">
        <v>0</v>
      </c>
      <c r="O84" s="183">
        <v>0</v>
      </c>
      <c r="P84" s="36">
        <v>2.198</v>
      </c>
      <c r="Q84" s="183">
        <v>6.7446691644649833E-3</v>
      </c>
      <c r="R84" s="36">
        <v>14.875999999999999</v>
      </c>
      <c r="S84" s="183">
        <v>4.5647724518007776E-2</v>
      </c>
      <c r="T84" s="36">
        <v>150.26899999999998</v>
      </c>
      <c r="U84" s="183">
        <v>0.46110768456550882</v>
      </c>
      <c r="V84" s="36">
        <v>156.25900000000001</v>
      </c>
      <c r="W84" s="36">
        <v>224.61399999999998</v>
      </c>
      <c r="X84" s="173">
        <v>0.68923890796503073</v>
      </c>
      <c r="Y84" s="36">
        <v>138.66800000000001</v>
      </c>
      <c r="Z84" s="170">
        <v>0.42550945573158794</v>
      </c>
    </row>
    <row r="85" spans="1:26" x14ac:dyDescent="0.2">
      <c r="A85" s="1" t="s">
        <v>195</v>
      </c>
      <c r="B85" s="1" t="s">
        <v>195</v>
      </c>
      <c r="C85" s="36">
        <v>1669.5866912213744</v>
      </c>
      <c r="D85" s="36">
        <v>2121.9027000000001</v>
      </c>
      <c r="E85" s="36">
        <v>216.613</v>
      </c>
      <c r="F85" s="36">
        <v>294.68199999999996</v>
      </c>
      <c r="G85" s="36">
        <v>349.25299999999999</v>
      </c>
      <c r="H85" s="173">
        <v>7.2006525678528055</v>
      </c>
      <c r="I85" s="173">
        <v>6.0755460940922488</v>
      </c>
      <c r="J85" s="171">
        <f t="shared" si="1"/>
        <v>0.36040773176125146</v>
      </c>
      <c r="K85" s="171">
        <v>0.1851860649785193</v>
      </c>
      <c r="L85" s="36">
        <v>249.10499847412109</v>
      </c>
      <c r="M85" s="176">
        <v>0.84533496607909919</v>
      </c>
      <c r="N85" s="36">
        <v>42.388999999999996</v>
      </c>
      <c r="O85" s="183">
        <v>0.14384658716854101</v>
      </c>
      <c r="P85" s="36">
        <v>126.739</v>
      </c>
      <c r="Q85" s="183">
        <v>0.43008734839589802</v>
      </c>
      <c r="R85" s="36">
        <v>30.399000000000001</v>
      </c>
      <c r="S85" s="183">
        <v>0.10315865916479461</v>
      </c>
      <c r="T85" s="36">
        <v>33.942999999999998</v>
      </c>
      <c r="U85" s="183">
        <v>0.11518518267148996</v>
      </c>
      <c r="V85" s="36">
        <v>115.262</v>
      </c>
      <c r="W85" s="36">
        <v>161.261</v>
      </c>
      <c r="X85" s="173">
        <v>0.54723736095180575</v>
      </c>
      <c r="Y85" s="36">
        <v>27.055742028858003</v>
      </c>
      <c r="Z85" s="170">
        <v>9.1813351439375343E-2</v>
      </c>
    </row>
    <row r="86" spans="1:26" x14ac:dyDescent="0.2">
      <c r="A86" s="1" t="s">
        <v>197</v>
      </c>
      <c r="B86" s="1" t="s">
        <v>197</v>
      </c>
      <c r="C86" s="36">
        <v>1983.5226906250011</v>
      </c>
      <c r="D86" s="36">
        <v>2344.0949000000001</v>
      </c>
      <c r="E86" s="36">
        <v>313.24</v>
      </c>
      <c r="F86" s="36">
        <v>362.10199999999998</v>
      </c>
      <c r="G86" s="36">
        <v>403.58300000000003</v>
      </c>
      <c r="H86" s="173">
        <v>6.473576229902072</v>
      </c>
      <c r="I86" s="173">
        <v>5.8082102070701689</v>
      </c>
      <c r="J86" s="171">
        <f t="shared" si="1"/>
        <v>0.15598901800536319</v>
      </c>
      <c r="K86" s="171">
        <v>0.11455611954642619</v>
      </c>
      <c r="L86" s="36">
        <v>250.68500076293947</v>
      </c>
      <c r="M86" s="176">
        <v>0.69230493276187233</v>
      </c>
      <c r="N86" s="36">
        <v>93.233999999999995</v>
      </c>
      <c r="O86" s="183">
        <v>0.25747993659245183</v>
      </c>
      <c r="P86" s="36">
        <v>79.957999999999998</v>
      </c>
      <c r="Q86" s="183">
        <v>0.22081623409978404</v>
      </c>
      <c r="R86" s="36">
        <v>87.978999999999999</v>
      </c>
      <c r="S86" s="183">
        <v>0.24296745116017035</v>
      </c>
      <c r="T86" s="36">
        <v>-3.4740000000000002</v>
      </c>
      <c r="U86" s="183">
        <v>-9.5939818062313938E-3</v>
      </c>
      <c r="V86" s="36">
        <v>32.57</v>
      </c>
      <c r="W86" s="36">
        <v>39.213000000000001</v>
      </c>
      <c r="X86" s="173">
        <v>0.1082926910097155</v>
      </c>
      <c r="Y86" s="36">
        <v>-84.54</v>
      </c>
      <c r="Z86" s="170">
        <v>-0.23347012720172772</v>
      </c>
    </row>
    <row r="87" spans="1:26" x14ac:dyDescent="0.2">
      <c r="A87" s="1" t="s">
        <v>199</v>
      </c>
      <c r="B87" s="1" t="s">
        <v>199</v>
      </c>
      <c r="C87" s="36">
        <v>2791.3310515267171</v>
      </c>
      <c r="D87" s="36">
        <v>2777.4384</v>
      </c>
      <c r="E87" s="36">
        <v>578.16399999999999</v>
      </c>
      <c r="F87" s="36">
        <v>757.60300000000007</v>
      </c>
      <c r="G87" s="36">
        <v>863.7</v>
      </c>
      <c r="H87" s="173">
        <v>3.6660868555166752</v>
      </c>
      <c r="I87" s="173">
        <v>3.215744355679055</v>
      </c>
      <c r="J87" s="171">
        <f t="shared" si="1"/>
        <v>0.31036003625268971</v>
      </c>
      <c r="K87" s="171">
        <v>0.14004300405357428</v>
      </c>
      <c r="L87" s="36">
        <v>512.96599737548831</v>
      </c>
      <c r="M87" s="176">
        <v>0.67709076835161464</v>
      </c>
      <c r="N87" s="36">
        <v>0</v>
      </c>
      <c r="O87" s="183">
        <v>0</v>
      </c>
      <c r="P87" s="36" t="s">
        <v>480</v>
      </c>
      <c r="Q87" s="183" t="e">
        <v>#VALUE!</v>
      </c>
      <c r="R87" s="36">
        <v>121.01</v>
      </c>
      <c r="S87" s="183">
        <v>0.15972745620067502</v>
      </c>
      <c r="T87" s="36">
        <v>106.039</v>
      </c>
      <c r="U87" s="183">
        <v>0.13996644680657283</v>
      </c>
      <c r="V87" s="36">
        <v>99.716999999999999</v>
      </c>
      <c r="W87" s="36">
        <v>60.114999999999995</v>
      </c>
      <c r="X87" s="173">
        <v>7.9348946611879828E-2</v>
      </c>
      <c r="Y87" s="36">
        <v>32.882268060742</v>
      </c>
      <c r="Z87" s="170">
        <v>4.3403033067110346E-2</v>
      </c>
    </row>
    <row r="88" spans="1:26" x14ac:dyDescent="0.2">
      <c r="A88" s="1" t="s">
        <v>201</v>
      </c>
      <c r="B88" s="1" t="s">
        <v>201</v>
      </c>
      <c r="C88" s="36">
        <v>2656.1782007692309</v>
      </c>
      <c r="D88" s="36">
        <v>2499.6136000000001</v>
      </c>
      <c r="E88" s="36">
        <v>40.750999999999998</v>
      </c>
      <c r="F88" s="36">
        <v>111.253</v>
      </c>
      <c r="G88" s="36">
        <v>195.833</v>
      </c>
      <c r="H88" s="173">
        <v>22.467830979838748</v>
      </c>
      <c r="I88" s="173">
        <v>12.764006066393305</v>
      </c>
      <c r="J88" s="171">
        <f t="shared" si="1"/>
        <v>1.7300679737920546</v>
      </c>
      <c r="K88" s="171">
        <v>0.76024916182035529</v>
      </c>
      <c r="L88" s="36">
        <v>89.570999999999998</v>
      </c>
      <c r="M88" s="176">
        <v>0.80511087341464949</v>
      </c>
      <c r="N88" s="36">
        <v>37.589999999999996</v>
      </c>
      <c r="O88" s="183">
        <v>0.3378785291183159</v>
      </c>
      <c r="P88" s="36">
        <v>72.924999999999997</v>
      </c>
      <c r="Q88" s="183">
        <v>0.65548794189819592</v>
      </c>
      <c r="R88" s="36">
        <v>28.033999999999999</v>
      </c>
      <c r="S88" s="183">
        <v>0.25198421615596883</v>
      </c>
      <c r="T88" s="36">
        <v>-44.902000000000001</v>
      </c>
      <c r="U88" s="183">
        <v>-0.40360259948046345</v>
      </c>
      <c r="V88" s="36">
        <v>-19.587</v>
      </c>
      <c r="W88" s="36">
        <v>58.157999999999994</v>
      </c>
      <c r="X88" s="173">
        <v>0.52275444257682935</v>
      </c>
      <c r="Y88" s="36">
        <v>-49.106000000000002</v>
      </c>
      <c r="Z88" s="170">
        <v>-0.44139034453003517</v>
      </c>
    </row>
    <row r="89" spans="1:26" x14ac:dyDescent="0.2">
      <c r="A89" s="1" t="s">
        <v>203</v>
      </c>
      <c r="B89" s="1" t="s">
        <v>203</v>
      </c>
      <c r="C89" s="36">
        <v>2272.1635217557255</v>
      </c>
      <c r="D89" s="36">
        <v>2436.4575</v>
      </c>
      <c r="E89" s="36">
        <v>562.17899999999997</v>
      </c>
      <c r="F89" s="36">
        <v>777.6</v>
      </c>
      <c r="G89" s="36">
        <v>824</v>
      </c>
      <c r="H89" s="173">
        <v>3.1333043981481481</v>
      </c>
      <c r="I89" s="173">
        <v>2.9568658980582523</v>
      </c>
      <c r="J89" s="171">
        <f t="shared" si="1"/>
        <v>0.38318934005005534</v>
      </c>
      <c r="K89" s="171">
        <v>5.967078189300401E-2</v>
      </c>
      <c r="L89" s="36">
        <v>266.30000152587888</v>
      </c>
      <c r="M89" s="176">
        <v>0.34246399373184011</v>
      </c>
      <c r="N89" s="36">
        <v>0</v>
      </c>
      <c r="O89" s="183">
        <v>0</v>
      </c>
      <c r="P89" s="36">
        <v>41.767000000000003</v>
      </c>
      <c r="Q89" s="183">
        <v>5.3712705761316877E-2</v>
      </c>
      <c r="R89" s="36">
        <v>117.626</v>
      </c>
      <c r="S89" s="183">
        <v>0.15126800411522634</v>
      </c>
      <c r="T89" s="36">
        <v>119.85900000000001</v>
      </c>
      <c r="U89" s="183">
        <v>0.15413966049382716</v>
      </c>
      <c r="V89" s="36" t="s">
        <v>480</v>
      </c>
      <c r="W89" s="36">
        <v>99.828999999999994</v>
      </c>
      <c r="X89" s="173">
        <v>0.12838091563786008</v>
      </c>
      <c r="Y89" s="36">
        <v>92.1</v>
      </c>
      <c r="Z89" s="170">
        <v>0.11844135802469134</v>
      </c>
    </row>
    <row r="90" spans="1:26" x14ac:dyDescent="0.2">
      <c r="A90" s="1" t="s">
        <v>205</v>
      </c>
      <c r="B90" s="1" t="s">
        <v>205</v>
      </c>
      <c r="C90" s="36">
        <v>3018.5605171755715</v>
      </c>
      <c r="D90" s="36">
        <v>2399.3838999999998</v>
      </c>
      <c r="E90" s="36">
        <v>184.99299999999999</v>
      </c>
      <c r="F90" s="36">
        <v>259.76499999999999</v>
      </c>
      <c r="G90" s="36">
        <v>290.03199999999998</v>
      </c>
      <c r="H90" s="173">
        <v>9.2367482147325468</v>
      </c>
      <c r="I90" s="173">
        <v>8.2728247227892098</v>
      </c>
      <c r="J90" s="171">
        <f t="shared" si="1"/>
        <v>0.40418826658305984</v>
      </c>
      <c r="K90" s="171">
        <v>0.11651685176986892</v>
      </c>
      <c r="L90" s="36">
        <v>189.24499960327148</v>
      </c>
      <c r="M90" s="176">
        <v>0.72852385657525642</v>
      </c>
      <c r="N90" s="36">
        <v>41.803999999999995</v>
      </c>
      <c r="O90" s="183">
        <v>0.16093007141069812</v>
      </c>
      <c r="P90" s="36">
        <v>33.128</v>
      </c>
      <c r="Q90" s="183">
        <v>0.12753065270532982</v>
      </c>
      <c r="R90" s="36">
        <v>25.448</v>
      </c>
      <c r="S90" s="183">
        <v>9.7965468789097843E-2</v>
      </c>
      <c r="T90" s="36">
        <v>83.233999999999995</v>
      </c>
      <c r="U90" s="183">
        <v>0.3204203799588089</v>
      </c>
      <c r="V90" s="36">
        <v>71.663000000000011</v>
      </c>
      <c r="W90" s="36">
        <v>35.144999999999996</v>
      </c>
      <c r="X90" s="173">
        <v>0.13529536311666313</v>
      </c>
      <c r="Y90" s="36">
        <v>31.351610000000001</v>
      </c>
      <c r="Z90" s="170">
        <v>0.12069220256770544</v>
      </c>
    </row>
    <row r="91" spans="1:26" x14ac:dyDescent="0.2">
      <c r="A91" s="1" t="s">
        <v>207</v>
      </c>
      <c r="B91" s="1" t="s">
        <v>207</v>
      </c>
      <c r="C91" s="36">
        <v>2123.2849221374036</v>
      </c>
      <c r="D91" s="36">
        <v>2165.1192999999998</v>
      </c>
      <c r="E91" s="36">
        <v>123.123</v>
      </c>
      <c r="F91" s="36">
        <v>202.84200000000001</v>
      </c>
      <c r="G91" s="36">
        <v>246.78800000000001</v>
      </c>
      <c r="H91" s="173">
        <v>10.673920095443743</v>
      </c>
      <c r="I91" s="173">
        <v>8.7731952120848646</v>
      </c>
      <c r="J91" s="171">
        <f t="shared" si="1"/>
        <v>0.64747447674276948</v>
      </c>
      <c r="K91" s="171">
        <v>0.21665138383569471</v>
      </c>
      <c r="L91" s="36">
        <v>157.49099987792968</v>
      </c>
      <c r="M91" s="176">
        <v>0.77642204217040689</v>
      </c>
      <c r="N91" s="36">
        <v>23.873999999999999</v>
      </c>
      <c r="O91" s="183">
        <v>0.11769751826544797</v>
      </c>
      <c r="P91" s="36">
        <v>109.77500000000001</v>
      </c>
      <c r="Q91" s="183">
        <v>0.54118476449650466</v>
      </c>
      <c r="R91" s="36">
        <v>36.956000000000003</v>
      </c>
      <c r="S91" s="183">
        <v>0.18219106496682147</v>
      </c>
      <c r="T91" s="36">
        <v>-13.472000000000001</v>
      </c>
      <c r="U91" s="183">
        <v>-6.6416225436546669E-2</v>
      </c>
      <c r="V91" s="36">
        <v>9.2060000000000013</v>
      </c>
      <c r="W91" s="36">
        <v>31.103999999999999</v>
      </c>
      <c r="X91" s="173">
        <v>0.15334102404827402</v>
      </c>
      <c r="Y91" s="36">
        <v>-33.920332731689001</v>
      </c>
      <c r="Z91" s="170">
        <v>-0.16722539085440391</v>
      </c>
    </row>
    <row r="92" spans="1:26" x14ac:dyDescent="0.2">
      <c r="A92" s="1" t="s">
        <v>211</v>
      </c>
      <c r="B92" s="1" t="s">
        <v>211</v>
      </c>
      <c r="C92" s="36">
        <v>3092.9214680851078</v>
      </c>
      <c r="D92" s="36">
        <v>2527.3155999999999</v>
      </c>
      <c r="E92" s="36">
        <v>167.42599999999999</v>
      </c>
      <c r="F92" s="36">
        <v>213.15899999999999</v>
      </c>
      <c r="G92" s="36">
        <v>282.81</v>
      </c>
      <c r="H92" s="173">
        <v>11.85648084293884</v>
      </c>
      <c r="I92" s="173">
        <v>8.9364435486722531</v>
      </c>
      <c r="J92" s="171">
        <f t="shared" si="1"/>
        <v>0.27315351259660992</v>
      </c>
      <c r="K92" s="171">
        <v>0.32675608348697449</v>
      </c>
      <c r="L92" s="36">
        <v>155.18199999999999</v>
      </c>
      <c r="M92" s="176">
        <v>0.72801054611815585</v>
      </c>
      <c r="N92" s="36">
        <v>41.263999999999996</v>
      </c>
      <c r="O92" s="183">
        <v>0.19358319376615576</v>
      </c>
      <c r="P92" s="36">
        <v>133.79400000000001</v>
      </c>
      <c r="Q92" s="183">
        <v>0.62767230095843951</v>
      </c>
      <c r="R92" s="36">
        <v>34.286000000000001</v>
      </c>
      <c r="S92" s="183">
        <v>0.16084706721273792</v>
      </c>
      <c r="T92" s="36">
        <v>-43.302999999999997</v>
      </c>
      <c r="U92" s="183">
        <v>-0.20314882317894153</v>
      </c>
      <c r="V92" s="36">
        <v>-17.495999999999999</v>
      </c>
      <c r="W92" s="36">
        <v>14.074999999999999</v>
      </c>
      <c r="X92" s="173">
        <v>6.6030521817047369E-2</v>
      </c>
      <c r="Y92" s="36">
        <v>-55.233550000000001</v>
      </c>
      <c r="Z92" s="170">
        <v>-0.25911901444461649</v>
      </c>
    </row>
    <row r="93" spans="1:26" x14ac:dyDescent="0.2">
      <c r="A93" s="1" t="s">
        <v>213</v>
      </c>
      <c r="B93" s="1" t="s">
        <v>213</v>
      </c>
      <c r="C93" s="36">
        <v>2017.6214480916042</v>
      </c>
      <c r="D93" s="36">
        <v>2086.6887999999999</v>
      </c>
      <c r="E93" s="36">
        <v>261.10599999999999</v>
      </c>
      <c r="F93" s="36">
        <v>375.99900000000002</v>
      </c>
      <c r="G93" s="36">
        <v>410.81200000000001</v>
      </c>
      <c r="H93" s="173">
        <v>5.5497190152101465</v>
      </c>
      <c r="I93" s="173">
        <v>5.0794251385061777</v>
      </c>
      <c r="J93" s="171">
        <f t="shared" si="1"/>
        <v>0.44002435792360201</v>
      </c>
      <c r="K93" s="171">
        <v>9.2588012202160064E-2</v>
      </c>
      <c r="L93" s="36">
        <v>251.41600036621094</v>
      </c>
      <c r="M93" s="176">
        <v>0.66866135379671465</v>
      </c>
      <c r="N93" s="36">
        <v>72.754999999999995</v>
      </c>
      <c r="O93" s="183">
        <v>0.19349785504748682</v>
      </c>
      <c r="P93" s="36">
        <v>43.49</v>
      </c>
      <c r="Q93" s="183">
        <v>0.11566520123723734</v>
      </c>
      <c r="R93" s="36">
        <v>55.396000000000001</v>
      </c>
      <c r="S93" s="183">
        <v>0.14733017906962517</v>
      </c>
      <c r="T93" s="36">
        <v>78.801000000000002</v>
      </c>
      <c r="U93" s="183">
        <v>0.2095776850470347</v>
      </c>
      <c r="V93" s="36">
        <v>41.491</v>
      </c>
      <c r="W93" s="36">
        <v>96.328999999999994</v>
      </c>
      <c r="X93" s="173">
        <v>0.25619483030539969</v>
      </c>
      <c r="Y93" s="36">
        <v>54.195191958732003</v>
      </c>
      <c r="Z93" s="170">
        <v>0.14413653216825575</v>
      </c>
    </row>
    <row r="94" spans="1:26" x14ac:dyDescent="0.2">
      <c r="A94" s="1" t="s">
        <v>215</v>
      </c>
      <c r="B94" s="1" t="s">
        <v>215</v>
      </c>
      <c r="C94" s="36">
        <v>1908.6270732824426</v>
      </c>
      <c r="D94" s="36">
        <v>1642.0148999999999</v>
      </c>
      <c r="E94" s="36">
        <v>166.048</v>
      </c>
      <c r="F94" s="36">
        <v>411.06400000000002</v>
      </c>
      <c r="G94" s="36">
        <v>487.03300000000002</v>
      </c>
      <c r="H94" s="173">
        <v>3.9945480509117797</v>
      </c>
      <c r="I94" s="173">
        <v>3.3714653832491841</v>
      </c>
      <c r="J94" s="171">
        <f t="shared" si="1"/>
        <v>1.4755733281942571</v>
      </c>
      <c r="K94" s="171">
        <v>0.18481063775957018</v>
      </c>
      <c r="L94" s="36">
        <v>279.62800469970705</v>
      </c>
      <c r="M94" s="176">
        <v>0.68025418110004043</v>
      </c>
      <c r="N94" s="36">
        <v>215.69499999999999</v>
      </c>
      <c r="O94" s="183">
        <v>0.52472364400677263</v>
      </c>
      <c r="P94" s="36">
        <v>298.46699999999998</v>
      </c>
      <c r="Q94" s="183">
        <v>0.72608401611427897</v>
      </c>
      <c r="R94" s="36">
        <v>85.539000000000001</v>
      </c>
      <c r="S94" s="183">
        <v>0.20809168402000661</v>
      </c>
      <c r="T94" s="36">
        <v>-176.494</v>
      </c>
      <c r="U94" s="183">
        <v>-0.42935893194247121</v>
      </c>
      <c r="V94" s="36">
        <v>-42.265000000000001</v>
      </c>
      <c r="W94" s="36">
        <v>43.247</v>
      </c>
      <c r="X94" s="173">
        <v>0.10520746161181713</v>
      </c>
      <c r="Y94" s="36">
        <v>-184.54894999999999</v>
      </c>
      <c r="Z94" s="170">
        <v>-0.44895429908724671</v>
      </c>
    </row>
    <row r="95" spans="1:26" x14ac:dyDescent="0.2">
      <c r="A95" s="1" t="s">
        <v>217</v>
      </c>
      <c r="B95" s="1" t="s">
        <v>217</v>
      </c>
      <c r="C95" s="36">
        <v>1810.0561675572512</v>
      </c>
      <c r="D95" s="36">
        <v>2066.1927000000001</v>
      </c>
      <c r="E95" s="36">
        <v>162.09</v>
      </c>
      <c r="F95" s="36">
        <v>225.50900000000001</v>
      </c>
      <c r="G95" s="36">
        <v>266.108</v>
      </c>
      <c r="H95" s="173">
        <v>9.1623513917404615</v>
      </c>
      <c r="I95" s="173">
        <v>7.7644892299367179</v>
      </c>
      <c r="J95" s="171">
        <f t="shared" si="1"/>
        <v>0.39125794311802092</v>
      </c>
      <c r="K95" s="171">
        <v>0.18003272596659103</v>
      </c>
      <c r="L95" s="36">
        <v>133.13299966430662</v>
      </c>
      <c r="M95" s="176">
        <v>0.59036668010725346</v>
      </c>
      <c r="N95" s="36">
        <v>27.119999999999997</v>
      </c>
      <c r="O95" s="183">
        <v>0.12026127560319098</v>
      </c>
      <c r="P95" s="36">
        <v>66.569999999999993</v>
      </c>
      <c r="Q95" s="183">
        <v>0.29519886124278849</v>
      </c>
      <c r="R95" s="36">
        <v>29.151</v>
      </c>
      <c r="S95" s="183">
        <v>0.12926756803497863</v>
      </c>
      <c r="T95" s="36">
        <v>10.643000000000001</v>
      </c>
      <c r="U95" s="183">
        <v>4.7195455613744906E-2</v>
      </c>
      <c r="V95" s="36">
        <v>20.688000000000002</v>
      </c>
      <c r="W95" s="36">
        <v>68.947000000000003</v>
      </c>
      <c r="X95" s="173">
        <v>0.30573946050933665</v>
      </c>
      <c r="Y95" s="36">
        <v>-2.3560000000000003</v>
      </c>
      <c r="Z95" s="170">
        <v>-1.0447476597386358E-2</v>
      </c>
    </row>
    <row r="96" spans="1:26" x14ac:dyDescent="0.2">
      <c r="A96" s="1" t="s">
        <v>219</v>
      </c>
      <c r="B96" s="1" t="s">
        <v>219</v>
      </c>
      <c r="C96" s="36">
        <v>2040.6020759541989</v>
      </c>
      <c r="D96" s="36">
        <v>2059.2656000000002</v>
      </c>
      <c r="E96" s="36">
        <v>150.22399999999999</v>
      </c>
      <c r="F96" s="36">
        <v>215.20100000000002</v>
      </c>
      <c r="G96" s="36">
        <v>265.75200000000001</v>
      </c>
      <c r="H96" s="173">
        <v>9.5690336011449766</v>
      </c>
      <c r="I96" s="173">
        <v>7.7488244679249831</v>
      </c>
      <c r="J96" s="171">
        <f t="shared" si="1"/>
        <v>0.43253408243689451</v>
      </c>
      <c r="K96" s="171">
        <v>0.2349013248079701</v>
      </c>
      <c r="L96" s="36">
        <v>106.53599938964844</v>
      </c>
      <c r="M96" s="176">
        <v>0.49505345881129004</v>
      </c>
      <c r="N96" s="36">
        <v>40.338000000000001</v>
      </c>
      <c r="O96" s="183">
        <v>0.18744336689885269</v>
      </c>
      <c r="P96" s="36">
        <v>41.17</v>
      </c>
      <c r="Q96" s="183">
        <v>0.19130951993717502</v>
      </c>
      <c r="R96" s="36">
        <v>37.179000000000002</v>
      </c>
      <c r="S96" s="183">
        <v>0.17276406708147266</v>
      </c>
      <c r="T96" s="36">
        <v>-7.5960000000000001</v>
      </c>
      <c r="U96" s="183">
        <v>-3.5297233748913803E-2</v>
      </c>
      <c r="V96" s="36">
        <v>-8.8409999999999993</v>
      </c>
      <c r="W96" s="36">
        <v>57.960999999999999</v>
      </c>
      <c r="X96" s="173">
        <v>0.26933425030552827</v>
      </c>
      <c r="Y96" s="36">
        <v>-24.3462</v>
      </c>
      <c r="Z96" s="170">
        <v>-0.11313237392019553</v>
      </c>
    </row>
    <row r="97" spans="1:26" x14ac:dyDescent="0.2">
      <c r="A97" s="1" t="s">
        <v>221</v>
      </c>
      <c r="B97" s="1" t="s">
        <v>221</v>
      </c>
      <c r="C97" s="36">
        <v>1885.8246385496186</v>
      </c>
      <c r="D97" s="36">
        <v>1943.9061999999999</v>
      </c>
      <c r="E97" s="36">
        <v>685.98800000000006</v>
      </c>
      <c r="F97" s="36">
        <v>807.30500000000006</v>
      </c>
      <c r="G97" s="36">
        <v>961.45699999999999</v>
      </c>
      <c r="H97" s="173">
        <v>2.4078956528201854</v>
      </c>
      <c r="I97" s="173">
        <v>2.0218337377542626</v>
      </c>
      <c r="J97" s="171">
        <f t="shared" si="1"/>
        <v>0.17685003236208213</v>
      </c>
      <c r="K97" s="171">
        <v>0.19094642049782906</v>
      </c>
      <c r="L97" s="36">
        <v>275.29600018310543</v>
      </c>
      <c r="M97" s="176">
        <v>0.34100618747945993</v>
      </c>
      <c r="N97" s="36">
        <v>0</v>
      </c>
      <c r="O97" s="183">
        <v>0</v>
      </c>
      <c r="P97" s="36">
        <v>53.383000000000003</v>
      </c>
      <c r="Q97" s="183">
        <v>6.6124946581527427E-2</v>
      </c>
      <c r="R97" s="36">
        <v>102.56699999999999</v>
      </c>
      <c r="S97" s="183">
        <v>0.1270486371321867</v>
      </c>
      <c r="T97" s="36">
        <v>101.57077215189899</v>
      </c>
      <c r="U97" s="183">
        <v>0.12581462043700831</v>
      </c>
      <c r="V97" s="36">
        <v>49.341999999999999</v>
      </c>
      <c r="W97" s="36">
        <v>86.795000000000002</v>
      </c>
      <c r="X97" s="173">
        <v>0.1075120307690402</v>
      </c>
      <c r="Y97" s="36">
        <v>66.466239999999999</v>
      </c>
      <c r="Z97" s="170">
        <v>8.233101492001163E-2</v>
      </c>
    </row>
    <row r="98" spans="1:26" x14ac:dyDescent="0.2">
      <c r="A98" s="1" t="s">
        <v>223</v>
      </c>
      <c r="B98" s="1" t="s">
        <v>223</v>
      </c>
      <c r="C98" s="36">
        <v>2029.2796954198475</v>
      </c>
      <c r="D98" s="36">
        <v>1905.4384</v>
      </c>
      <c r="E98" s="36">
        <v>141.84100000000001</v>
      </c>
      <c r="F98" s="36">
        <v>282.14300000000003</v>
      </c>
      <c r="G98" s="36">
        <v>349.18299999999999</v>
      </c>
      <c r="H98" s="173">
        <v>6.7534491374941066</v>
      </c>
      <c r="I98" s="173">
        <v>5.4568475555797393</v>
      </c>
      <c r="J98" s="171">
        <f t="shared" si="1"/>
        <v>0.98914982268878537</v>
      </c>
      <c r="K98" s="171">
        <v>0.23761000627341433</v>
      </c>
      <c r="L98" s="36">
        <v>206.71999600219726</v>
      </c>
      <c r="M98" s="176">
        <v>0.73267809586697963</v>
      </c>
      <c r="N98" s="36">
        <v>38.372999999999998</v>
      </c>
      <c r="O98" s="183">
        <v>0.13600550075670845</v>
      </c>
      <c r="P98" s="36">
        <v>121.246</v>
      </c>
      <c r="Q98" s="183">
        <v>0.42973244064180216</v>
      </c>
      <c r="R98" s="36">
        <v>36.988999999999997</v>
      </c>
      <c r="S98" s="183">
        <v>0.13110018678471552</v>
      </c>
      <c r="T98" s="36">
        <v>17.619</v>
      </c>
      <c r="U98" s="183">
        <v>6.2447056988831899E-2</v>
      </c>
      <c r="V98" s="36">
        <v>19.605</v>
      </c>
      <c r="W98" s="36">
        <v>78.338999999999999</v>
      </c>
      <c r="X98" s="173">
        <v>0.27765707460401284</v>
      </c>
      <c r="Y98" s="36">
        <v>-11.200076829023001</v>
      </c>
      <c r="Z98" s="170">
        <v>-3.9696454737572787E-2</v>
      </c>
    </row>
    <row r="99" spans="1:26" x14ac:dyDescent="0.2">
      <c r="A99" s="1" t="s">
        <v>225</v>
      </c>
      <c r="B99" s="1" t="s">
        <v>225</v>
      </c>
      <c r="C99" s="36">
        <v>1843.2035790076334</v>
      </c>
      <c r="D99" s="36">
        <v>2014.3187</v>
      </c>
      <c r="E99" s="36">
        <v>105.586</v>
      </c>
      <c r="F99" s="36">
        <v>165.38</v>
      </c>
      <c r="G99" s="36">
        <v>205.85</v>
      </c>
      <c r="H99" s="173">
        <v>12.179941347200387</v>
      </c>
      <c r="I99" s="173">
        <v>9.7853713869322334</v>
      </c>
      <c r="J99" s="171">
        <f t="shared" si="1"/>
        <v>0.56630613907146776</v>
      </c>
      <c r="K99" s="171">
        <v>0.24470915467408383</v>
      </c>
      <c r="L99" s="36">
        <v>102.44899972534179</v>
      </c>
      <c r="M99" s="176">
        <v>0.6194763558189732</v>
      </c>
      <c r="N99" s="36">
        <v>16.577999999999999</v>
      </c>
      <c r="O99" s="183">
        <v>0.10024186721489901</v>
      </c>
      <c r="P99" s="36">
        <v>28.709</v>
      </c>
      <c r="Q99" s="183">
        <v>0.17359414681339944</v>
      </c>
      <c r="R99" s="36">
        <v>21.199000000000002</v>
      </c>
      <c r="S99" s="183">
        <v>0.12818357721610837</v>
      </c>
      <c r="T99" s="36">
        <v>31.149000000000001</v>
      </c>
      <c r="U99" s="183">
        <v>0.18834804692223969</v>
      </c>
      <c r="V99" s="36">
        <v>30.143000000000001</v>
      </c>
      <c r="W99" s="36">
        <v>16.109000000000002</v>
      </c>
      <c r="X99" s="173">
        <v>9.7405974120208016E-2</v>
      </c>
      <c r="Y99" s="36">
        <v>18.071339999999999</v>
      </c>
      <c r="Z99" s="170">
        <v>0.1092716168823316</v>
      </c>
    </row>
    <row r="100" spans="1:26" x14ac:dyDescent="0.2">
      <c r="A100" s="1" t="s">
        <v>227</v>
      </c>
      <c r="B100" s="1" t="s">
        <v>227</v>
      </c>
      <c r="C100" s="36">
        <v>2905.7240099999999</v>
      </c>
      <c r="D100" s="36">
        <v>2202.7654000000002</v>
      </c>
      <c r="E100" s="36">
        <v>92.183999999999997</v>
      </c>
      <c r="F100" s="36">
        <v>167.92599999999999</v>
      </c>
      <c r="G100" s="36">
        <v>255.9</v>
      </c>
      <c r="H100" s="173">
        <v>13.117476745709421</v>
      </c>
      <c r="I100" s="173">
        <v>8.6079148104728418</v>
      </c>
      <c r="J100" s="171">
        <f t="shared" si="1"/>
        <v>0.82163933003558087</v>
      </c>
      <c r="K100" s="171">
        <v>0.52388552100329933</v>
      </c>
      <c r="L100" s="36">
        <v>88.019999999999982</v>
      </c>
      <c r="M100" s="176">
        <v>0.52415945118683227</v>
      </c>
      <c r="N100" s="36">
        <v>38.638999999999996</v>
      </c>
      <c r="O100" s="183">
        <v>0.23009539916391744</v>
      </c>
      <c r="P100" s="36">
        <v>73.087000000000003</v>
      </c>
      <c r="Q100" s="183">
        <v>0.43523337660636235</v>
      </c>
      <c r="R100" s="36">
        <v>22.571999999999999</v>
      </c>
      <c r="S100" s="183">
        <v>0.13441635005895455</v>
      </c>
      <c r="T100" s="36">
        <v>-39.728000000000002</v>
      </c>
      <c r="U100" s="183">
        <v>-0.23658039850886703</v>
      </c>
      <c r="V100" s="36">
        <v>-29.518000000000001</v>
      </c>
      <c r="W100" s="36">
        <v>48.207999999999998</v>
      </c>
      <c r="X100" s="173">
        <v>0.28707883234281767</v>
      </c>
      <c r="Y100" s="36">
        <v>-47.155000000000001</v>
      </c>
      <c r="Z100" s="170">
        <v>-0.28080821314150284</v>
      </c>
    </row>
    <row r="101" spans="1:26" x14ac:dyDescent="0.2">
      <c r="A101" s="1" t="s">
        <v>229</v>
      </c>
      <c r="B101" s="1" t="s">
        <v>229</v>
      </c>
      <c r="C101" s="36">
        <v>1229.6130232824446</v>
      </c>
      <c r="D101" s="36">
        <v>1544.9141</v>
      </c>
      <c r="E101" s="36">
        <v>264.45499999999998</v>
      </c>
      <c r="F101" s="36">
        <v>344.017</v>
      </c>
      <c r="G101" s="36">
        <v>369.76900000000001</v>
      </c>
      <c r="H101" s="173">
        <v>4.4908074310281174</v>
      </c>
      <c r="I101" s="173">
        <v>4.1780519729885413</v>
      </c>
      <c r="J101" s="171">
        <f t="shared" si="1"/>
        <v>0.30085269705620998</v>
      </c>
      <c r="K101" s="171">
        <v>7.4856765799364622E-2</v>
      </c>
      <c r="L101" s="36">
        <v>274.43599694824218</v>
      </c>
      <c r="M101" s="176">
        <v>0.79773963771628198</v>
      </c>
      <c r="N101" s="36">
        <v>63.451999999999998</v>
      </c>
      <c r="O101" s="183">
        <v>0.1844443733885244</v>
      </c>
      <c r="P101" s="36">
        <v>152.178</v>
      </c>
      <c r="Q101" s="183">
        <v>0.44235604635817416</v>
      </c>
      <c r="R101" s="36">
        <v>54.435000000000002</v>
      </c>
      <c r="S101" s="183">
        <v>0.15823345939299513</v>
      </c>
      <c r="T101" s="36">
        <v>7.0558987341769992</v>
      </c>
      <c r="U101" s="183">
        <v>2.0510319938192006E-2</v>
      </c>
      <c r="V101" s="36">
        <v>76.452000000000012</v>
      </c>
      <c r="W101" s="36">
        <v>192.53799999999998</v>
      </c>
      <c r="X101" s="173">
        <v>0.55967582997351872</v>
      </c>
      <c r="Y101" s="36">
        <v>-22.831899999999997</v>
      </c>
      <c r="Z101" s="170">
        <v>-6.636852248580738E-2</v>
      </c>
    </row>
    <row r="102" spans="1:26" x14ac:dyDescent="0.2">
      <c r="A102" s="1" t="s">
        <v>237</v>
      </c>
      <c r="B102" s="1" t="s">
        <v>237</v>
      </c>
      <c r="C102" s="36">
        <v>4117.3955767175567</v>
      </c>
      <c r="D102" s="36">
        <v>3979.5682000000002</v>
      </c>
      <c r="E102" s="36">
        <v>2351.3560000000002</v>
      </c>
      <c r="F102" s="36">
        <v>2524.2550000000001</v>
      </c>
      <c r="G102" s="36">
        <v>2627.6289999999999</v>
      </c>
      <c r="H102" s="173">
        <v>1.5765317687793032</v>
      </c>
      <c r="I102" s="173">
        <v>1.5145091639649282</v>
      </c>
      <c r="J102" s="171">
        <f t="shared" si="1"/>
        <v>7.3531613247845018E-2</v>
      </c>
      <c r="K102" s="171">
        <v>4.0952280970028676E-2</v>
      </c>
      <c r="L102" s="36">
        <v>920.60099450683606</v>
      </c>
      <c r="M102" s="176">
        <v>0.36470205843182879</v>
      </c>
      <c r="N102" s="36">
        <v>0</v>
      </c>
      <c r="O102" s="183">
        <v>0</v>
      </c>
      <c r="P102" s="36" t="s">
        <v>480</v>
      </c>
      <c r="Q102" s="183" t="e">
        <v>#VALUE!</v>
      </c>
      <c r="R102" s="36" t="s">
        <v>480</v>
      </c>
      <c r="S102" s="183" t="e">
        <v>#VALUE!</v>
      </c>
      <c r="T102" s="36">
        <v>545.98500000000001</v>
      </c>
      <c r="U102" s="183">
        <v>0.21629550104882431</v>
      </c>
      <c r="V102" s="36">
        <v>181.19699999999997</v>
      </c>
      <c r="W102" s="36">
        <v>122.039</v>
      </c>
      <c r="X102" s="173">
        <v>4.8346541850961967E-2</v>
      </c>
      <c r="Y102" s="36">
        <v>163.409500215957</v>
      </c>
      <c r="Z102" s="170">
        <v>6.4735733995161734E-2</v>
      </c>
    </row>
    <row r="103" spans="1:26" x14ac:dyDescent="0.2">
      <c r="A103" s="1" t="s">
        <v>239</v>
      </c>
      <c r="B103" s="1" t="s">
        <v>239</v>
      </c>
      <c r="C103" s="36">
        <v>1927.454666412214</v>
      </c>
      <c r="D103" s="36">
        <v>2334.0005999999998</v>
      </c>
      <c r="E103" s="36">
        <v>389.50700000000001</v>
      </c>
      <c r="F103" s="36">
        <v>425.97399999999993</v>
      </c>
      <c r="G103" s="36">
        <v>456</v>
      </c>
      <c r="H103" s="173">
        <v>5.4792090597078698</v>
      </c>
      <c r="I103" s="173">
        <v>5.1184223684210526</v>
      </c>
      <c r="J103" s="171">
        <f t="shared" si="1"/>
        <v>9.3623477883580858E-2</v>
      </c>
      <c r="K103" s="171">
        <v>7.048787015169955E-2</v>
      </c>
      <c r="L103" s="36">
        <v>215.97600213623048</v>
      </c>
      <c r="M103" s="176">
        <v>0.50701686519888656</v>
      </c>
      <c r="N103" s="36">
        <v>0</v>
      </c>
      <c r="O103" s="183">
        <v>0</v>
      </c>
      <c r="P103" s="36" t="s">
        <v>480</v>
      </c>
      <c r="Q103" s="183" t="e">
        <v>#VALUE!</v>
      </c>
      <c r="R103" s="36" t="s">
        <v>480</v>
      </c>
      <c r="S103" s="183" t="e">
        <v>#VALUE!</v>
      </c>
      <c r="T103" s="36">
        <v>171.22300000000001</v>
      </c>
      <c r="U103" s="183">
        <v>0.40195645743636943</v>
      </c>
      <c r="V103" s="36">
        <v>153.16899999999998</v>
      </c>
      <c r="W103" s="36">
        <v>50.422999999999995</v>
      </c>
      <c r="X103" s="173">
        <v>0.11837107429091917</v>
      </c>
      <c r="Y103" s="36">
        <v>66.721209999999999</v>
      </c>
      <c r="Z103" s="170">
        <v>0.15663211839220237</v>
      </c>
    </row>
    <row r="104" spans="1:26" x14ac:dyDescent="0.2">
      <c r="A104" s="1" t="s">
        <v>241</v>
      </c>
      <c r="B104" s="1" t="s">
        <v>241</v>
      </c>
      <c r="C104" s="36">
        <v>1656.0305847328243</v>
      </c>
      <c r="D104" s="36">
        <v>1637.1987999999999</v>
      </c>
      <c r="E104" s="36">
        <v>164.45599999999999</v>
      </c>
      <c r="F104" s="36">
        <v>242.52799999999999</v>
      </c>
      <c r="G104" s="36">
        <v>285.279</v>
      </c>
      <c r="H104" s="173">
        <v>6.7505558121124158</v>
      </c>
      <c r="I104" s="173">
        <v>5.7389390736787496</v>
      </c>
      <c r="J104" s="171">
        <f t="shared" si="1"/>
        <v>0.47472880284088148</v>
      </c>
      <c r="K104" s="171">
        <v>0.1762724303997889</v>
      </c>
      <c r="L104" s="36">
        <v>218.322998046875</v>
      </c>
      <c r="M104" s="176">
        <v>0.90019708259201003</v>
      </c>
      <c r="N104" s="36">
        <v>47.369</v>
      </c>
      <c r="O104" s="183">
        <v>0.19531353080881383</v>
      </c>
      <c r="P104" s="36">
        <v>135.89599999999999</v>
      </c>
      <c r="Q104" s="183">
        <v>0.56033117825570655</v>
      </c>
      <c r="R104" s="36">
        <v>26.823</v>
      </c>
      <c r="S104" s="183">
        <v>0.11059753925319964</v>
      </c>
      <c r="T104" s="36">
        <v>-20.379999999999995</v>
      </c>
      <c r="U104" s="183">
        <v>-8.4031534503232599E-2</v>
      </c>
      <c r="V104" s="36">
        <v>16.852999999999998</v>
      </c>
      <c r="W104" s="36">
        <v>56.689</v>
      </c>
      <c r="X104" s="173">
        <v>0.23374208338830982</v>
      </c>
      <c r="Y104" s="36">
        <v>-25.522279999999999</v>
      </c>
      <c r="Z104" s="170">
        <v>-0.10523436469191186</v>
      </c>
    </row>
    <row r="105" spans="1:26" x14ac:dyDescent="0.2">
      <c r="A105" s="1" t="s">
        <v>243</v>
      </c>
      <c r="B105" s="1" t="s">
        <v>243</v>
      </c>
      <c r="C105" s="36">
        <v>1422.6755366412217</v>
      </c>
      <c r="D105" s="36">
        <v>1797.1029000000001</v>
      </c>
      <c r="E105" s="36">
        <v>89.724000000000004</v>
      </c>
      <c r="F105" s="36">
        <v>198.54300000000001</v>
      </c>
      <c r="G105" s="36">
        <v>249.18700000000001</v>
      </c>
      <c r="H105" s="173">
        <v>9.0514543449026164</v>
      </c>
      <c r="I105" s="173">
        <v>7.2118645836259514</v>
      </c>
      <c r="J105" s="171">
        <f t="shared" si="1"/>
        <v>1.2128193125585127</v>
      </c>
      <c r="K105" s="171">
        <v>0.25507824501493381</v>
      </c>
      <c r="L105" s="36">
        <v>147.79099822998046</v>
      </c>
      <c r="M105" s="176">
        <v>0.74437778330125193</v>
      </c>
      <c r="N105" s="36">
        <v>25.686999999999998</v>
      </c>
      <c r="O105" s="183">
        <v>0.12937751519821902</v>
      </c>
      <c r="P105" s="36">
        <v>126.98</v>
      </c>
      <c r="Q105" s="183">
        <v>0.63955918868960371</v>
      </c>
      <c r="R105" s="36">
        <v>40.079000000000001</v>
      </c>
      <c r="S105" s="183">
        <v>0.20186559082919064</v>
      </c>
      <c r="T105" s="36">
        <v>-68.009</v>
      </c>
      <c r="U105" s="183">
        <v>-0.34254040686400428</v>
      </c>
      <c r="V105" s="36">
        <v>-32.906999999999996</v>
      </c>
      <c r="W105" s="36">
        <v>34.366999999999997</v>
      </c>
      <c r="X105" s="173">
        <v>0.17309600439199566</v>
      </c>
      <c r="Y105" s="36">
        <v>-73.292000000000002</v>
      </c>
      <c r="Z105" s="170">
        <v>-0.36914925230302753</v>
      </c>
    </row>
    <row r="106" spans="1:26" x14ac:dyDescent="0.2">
      <c r="A106" s="1" t="s">
        <v>245</v>
      </c>
      <c r="B106" s="1" t="s">
        <v>245</v>
      </c>
      <c r="C106" s="36">
        <v>1435.8789629770999</v>
      </c>
      <c r="D106" s="36">
        <v>1708.3059000000001</v>
      </c>
      <c r="E106" s="36">
        <v>105.98399999999999</v>
      </c>
      <c r="F106" s="36">
        <v>176.48500000000001</v>
      </c>
      <c r="G106" s="36">
        <v>232.17500000000001</v>
      </c>
      <c r="H106" s="173">
        <v>9.679609598549451</v>
      </c>
      <c r="I106" s="173">
        <v>7.357837407128244</v>
      </c>
      <c r="J106" s="171">
        <f t="shared" si="1"/>
        <v>0.66520418176328522</v>
      </c>
      <c r="K106" s="171">
        <v>0.31555089667677128</v>
      </c>
      <c r="L106" s="36">
        <v>135.33699801635743</v>
      </c>
      <c r="M106" s="176">
        <v>0.76684702958527584</v>
      </c>
      <c r="N106" s="36">
        <v>26.834999999999997</v>
      </c>
      <c r="O106" s="183">
        <v>0.15205258237243957</v>
      </c>
      <c r="P106" s="36">
        <v>86.891999999999996</v>
      </c>
      <c r="Q106" s="183">
        <v>0.49234779159701952</v>
      </c>
      <c r="R106" s="36">
        <v>29.446000000000002</v>
      </c>
      <c r="S106" s="183">
        <v>0.16684704082499929</v>
      </c>
      <c r="T106" s="36">
        <v>-30.723999999999997</v>
      </c>
      <c r="U106" s="183">
        <v>-0.17408844944329543</v>
      </c>
      <c r="V106" s="36">
        <v>-5.52</v>
      </c>
      <c r="W106" s="36">
        <v>87.024000000000001</v>
      </c>
      <c r="X106" s="173">
        <v>0.49309573051534122</v>
      </c>
      <c r="Y106" s="36">
        <v>-34.695</v>
      </c>
      <c r="Z106" s="170">
        <v>-0.19658894523613904</v>
      </c>
    </row>
    <row r="107" spans="1:26" x14ac:dyDescent="0.2">
      <c r="A107" s="1" t="s">
        <v>247</v>
      </c>
      <c r="B107" s="1" t="s">
        <v>247</v>
      </c>
      <c r="C107" s="36">
        <v>2832.7462000000005</v>
      </c>
      <c r="D107" s="36">
        <v>2277.1129999999998</v>
      </c>
      <c r="E107" s="36">
        <v>298.29399999999998</v>
      </c>
      <c r="F107" s="36">
        <v>430.33699999999999</v>
      </c>
      <c r="G107" s="36">
        <v>547.33299999999997</v>
      </c>
      <c r="H107" s="173">
        <v>5.291464596351231</v>
      </c>
      <c r="I107" s="173">
        <v>4.16037951302041</v>
      </c>
      <c r="J107" s="171">
        <f t="shared" si="1"/>
        <v>0.44266059659262341</v>
      </c>
      <c r="K107" s="171">
        <v>0.27187065021134593</v>
      </c>
      <c r="L107" s="36">
        <v>273.81199511718751</v>
      </c>
      <c r="M107" s="176">
        <v>0.63627342087059102</v>
      </c>
      <c r="N107" s="36">
        <v>33.853999999999999</v>
      </c>
      <c r="O107" s="183">
        <v>7.8668578346737558E-2</v>
      </c>
      <c r="P107" s="36">
        <v>16.303000000000001</v>
      </c>
      <c r="Q107" s="183">
        <v>3.7884262798690331E-2</v>
      </c>
      <c r="R107" s="36">
        <v>59.975999999999999</v>
      </c>
      <c r="S107" s="183">
        <v>0.13936984270467098</v>
      </c>
      <c r="T107" s="36">
        <v>145.13300000000001</v>
      </c>
      <c r="U107" s="183">
        <v>0.33725429140417862</v>
      </c>
      <c r="V107" s="36">
        <v>94.004999999999995</v>
      </c>
      <c r="W107" s="36">
        <v>63.894999999999996</v>
      </c>
      <c r="X107" s="173">
        <v>0.14847665899051207</v>
      </c>
      <c r="Y107" s="36">
        <v>106.145</v>
      </c>
      <c r="Z107" s="170">
        <v>0.24665552810936545</v>
      </c>
    </row>
    <row r="108" spans="1:26" x14ac:dyDescent="0.2">
      <c r="A108" s="1" t="s">
        <v>249</v>
      </c>
      <c r="B108" s="1" t="s">
        <v>249</v>
      </c>
      <c r="C108" s="36">
        <v>1737.8647969465646</v>
      </c>
      <c r="D108" s="36">
        <v>1683.934</v>
      </c>
      <c r="E108" s="36">
        <v>322.85599999999999</v>
      </c>
      <c r="F108" s="36">
        <v>472.71199999999999</v>
      </c>
      <c r="G108" s="36">
        <v>564.25700000000006</v>
      </c>
      <c r="H108" s="173">
        <v>3.5622831660715191</v>
      </c>
      <c r="I108" s="173">
        <v>2.9843386967286181</v>
      </c>
      <c r="J108" s="171">
        <f t="shared" si="1"/>
        <v>0.46415739524741678</v>
      </c>
      <c r="K108" s="171">
        <v>0.19365914129533435</v>
      </c>
      <c r="L108" s="36">
        <v>176.87399850463868</v>
      </c>
      <c r="M108" s="176">
        <v>0.37416862382304378</v>
      </c>
      <c r="N108" s="36">
        <v>0</v>
      </c>
      <c r="O108" s="183">
        <v>0</v>
      </c>
      <c r="P108" s="36" t="s">
        <v>480</v>
      </c>
      <c r="Q108" s="183" t="e">
        <v>#VALUE!</v>
      </c>
      <c r="R108" s="36" t="s">
        <v>480</v>
      </c>
      <c r="S108" s="183" t="e">
        <v>#VALUE!</v>
      </c>
      <c r="T108" s="36">
        <v>71.519571428570998</v>
      </c>
      <c r="U108" s="183">
        <v>0.15129628913285678</v>
      </c>
      <c r="V108" s="36" t="s">
        <v>480</v>
      </c>
      <c r="W108" s="36">
        <v>52.524999999999999</v>
      </c>
      <c r="X108" s="173">
        <v>0.11111416676538781</v>
      </c>
      <c r="Y108" s="36">
        <v>48.062889999999996</v>
      </c>
      <c r="Z108" s="170">
        <v>0.10167478295452621</v>
      </c>
    </row>
    <row r="109" spans="1:26" x14ac:dyDescent="0.2">
      <c r="A109" s="1" t="s">
        <v>251</v>
      </c>
      <c r="B109" s="1" t="s">
        <v>251</v>
      </c>
      <c r="C109" s="36">
        <v>1958.485799236641</v>
      </c>
      <c r="D109" s="36">
        <v>1563.4879000000001</v>
      </c>
      <c r="E109" s="36">
        <v>115.95099999999999</v>
      </c>
      <c r="F109" s="36">
        <v>143.75199999999998</v>
      </c>
      <c r="G109" s="36">
        <v>169.75800000000001</v>
      </c>
      <c r="H109" s="173">
        <v>10.876286242974013</v>
      </c>
      <c r="I109" s="173">
        <v>9.2100984931490704</v>
      </c>
      <c r="J109" s="171">
        <f t="shared" si="1"/>
        <v>0.23976507317746279</v>
      </c>
      <c r="K109" s="171">
        <v>0.18090878735600224</v>
      </c>
      <c r="L109" s="36">
        <v>101.70600183105469</v>
      </c>
      <c r="M109" s="176">
        <v>0.70751016911802767</v>
      </c>
      <c r="N109" s="36">
        <v>23.690999999999999</v>
      </c>
      <c r="O109" s="183">
        <v>0.16480466358728924</v>
      </c>
      <c r="P109" s="36">
        <v>29.28</v>
      </c>
      <c r="Q109" s="183">
        <v>0.20368412265568483</v>
      </c>
      <c r="R109" s="36">
        <v>13.855</v>
      </c>
      <c r="S109" s="183">
        <v>9.6381267738883655E-2</v>
      </c>
      <c r="T109" s="36">
        <v>35.331999999999994</v>
      </c>
      <c r="U109" s="183">
        <v>0.2457844064778229</v>
      </c>
      <c r="V109" s="36">
        <v>17.315999999999999</v>
      </c>
      <c r="W109" s="36">
        <v>158.398</v>
      </c>
      <c r="X109" s="173">
        <v>1.101883799877567</v>
      </c>
      <c r="Y109" s="36">
        <v>20.335000000000001</v>
      </c>
      <c r="Z109" s="170">
        <v>0.14145890144137127</v>
      </c>
    </row>
    <row r="110" spans="1:26" x14ac:dyDescent="0.2">
      <c r="A110" s="1" t="s">
        <v>253</v>
      </c>
      <c r="B110" s="1" t="s">
        <v>253</v>
      </c>
      <c r="C110" s="36">
        <v>1566.7284076335882</v>
      </c>
      <c r="D110" s="36">
        <v>1478.7066</v>
      </c>
      <c r="E110" s="36">
        <v>209.33600000000001</v>
      </c>
      <c r="F110" s="36">
        <v>310.62700000000001</v>
      </c>
      <c r="G110" s="36">
        <v>366.35300000000001</v>
      </c>
      <c r="H110" s="173">
        <v>4.7603930115540498</v>
      </c>
      <c r="I110" s="173">
        <v>4.0362890436273213</v>
      </c>
      <c r="J110" s="171">
        <f t="shared" si="1"/>
        <v>0.48386803989758087</v>
      </c>
      <c r="K110" s="171">
        <v>0.17939844250499792</v>
      </c>
      <c r="L110" s="36">
        <v>234.64100097656251</v>
      </c>
      <c r="M110" s="176">
        <v>0.75537864054497039</v>
      </c>
      <c r="N110" s="36">
        <v>34.796999999999997</v>
      </c>
      <c r="O110" s="183">
        <v>0.11202181394405508</v>
      </c>
      <c r="P110" s="36">
        <v>184.04400000000001</v>
      </c>
      <c r="Q110" s="183">
        <v>0.5924919598103191</v>
      </c>
      <c r="R110" s="36">
        <v>38.914999999999999</v>
      </c>
      <c r="S110" s="183">
        <v>0.12527887144388608</v>
      </c>
      <c r="T110" s="36">
        <v>-13.42</v>
      </c>
      <c r="U110" s="183">
        <v>-4.3202941148065041E-2</v>
      </c>
      <c r="V110" s="36">
        <v>-20.387</v>
      </c>
      <c r="W110" s="36">
        <v>31.702999999999999</v>
      </c>
      <c r="X110" s="173">
        <v>0.1020613146957605</v>
      </c>
      <c r="Y110" s="36">
        <v>42.356312490929</v>
      </c>
      <c r="Z110" s="170">
        <v>0.13635747211584634</v>
      </c>
    </row>
    <row r="111" spans="1:26" x14ac:dyDescent="0.2">
      <c r="A111" s="1" t="s">
        <v>257</v>
      </c>
      <c r="B111" s="1" t="s">
        <v>257</v>
      </c>
      <c r="C111" s="36">
        <v>1564.6606591603038</v>
      </c>
      <c r="D111" s="36">
        <v>1454.999</v>
      </c>
      <c r="E111" s="36">
        <v>139.02099999999999</v>
      </c>
      <c r="F111" s="36">
        <v>211.739</v>
      </c>
      <c r="G111" s="36">
        <v>279.25700000000001</v>
      </c>
      <c r="H111" s="173">
        <v>6.8716627546177129</v>
      </c>
      <c r="I111" s="173">
        <v>5.2102507725858258</v>
      </c>
      <c r="J111" s="171">
        <f t="shared" si="1"/>
        <v>0.52307205386236633</v>
      </c>
      <c r="K111" s="171">
        <v>0.31887370772507673</v>
      </c>
      <c r="L111" s="36">
        <v>149.78799795532225</v>
      </c>
      <c r="M111" s="176">
        <v>0.70741808526214944</v>
      </c>
      <c r="N111" s="36">
        <v>35.809999999999995</v>
      </c>
      <c r="O111" s="183">
        <v>0.16912330746815651</v>
      </c>
      <c r="P111" s="36">
        <v>71.825000000000003</v>
      </c>
      <c r="Q111" s="183">
        <v>0.33921478801732324</v>
      </c>
      <c r="R111" s="36">
        <v>37.470999999999997</v>
      </c>
      <c r="S111" s="183">
        <v>0.176967870822097</v>
      </c>
      <c r="T111" s="36">
        <v>-11.435911392404998</v>
      </c>
      <c r="U111" s="183">
        <v>-5.4009471058260393E-2</v>
      </c>
      <c r="V111" s="36">
        <v>-8.91</v>
      </c>
      <c r="W111" s="36">
        <v>232.01899999999998</v>
      </c>
      <c r="X111" s="173">
        <v>1.0957782930872442</v>
      </c>
      <c r="Y111" s="36">
        <v>-22.763379999999998</v>
      </c>
      <c r="Z111" s="170">
        <v>-0.10750678901855586</v>
      </c>
    </row>
    <row r="112" spans="1:26" x14ac:dyDescent="0.2">
      <c r="A112" s="1" t="s">
        <v>259</v>
      </c>
      <c r="B112" s="1" t="s">
        <v>259</v>
      </c>
      <c r="C112" s="36">
        <v>1083.7789463414633</v>
      </c>
      <c r="D112" s="36">
        <v>1346.6967</v>
      </c>
      <c r="E112" s="36">
        <v>79.929000000000002</v>
      </c>
      <c r="F112" s="36">
        <v>128.28899999999999</v>
      </c>
      <c r="G112" s="36">
        <v>156.166</v>
      </c>
      <c r="H112" s="173">
        <v>10.497366882585414</v>
      </c>
      <c r="I112" s="173">
        <v>8.6234948708425652</v>
      </c>
      <c r="J112" s="171">
        <f t="shared" si="1"/>
        <v>0.605036970311151</v>
      </c>
      <c r="K112" s="171">
        <v>0.21729844335835513</v>
      </c>
      <c r="L112" s="36">
        <v>95.234000320434575</v>
      </c>
      <c r="M112" s="176">
        <v>0.74233956395664935</v>
      </c>
      <c r="N112" s="36">
        <v>29.642999999999997</v>
      </c>
      <c r="O112" s="183">
        <v>0.23106423777564716</v>
      </c>
      <c r="P112" s="36">
        <v>28.184999999999999</v>
      </c>
      <c r="Q112" s="183">
        <v>0.21969927273577627</v>
      </c>
      <c r="R112" s="36">
        <v>30.100999999999999</v>
      </c>
      <c r="S112" s="183">
        <v>0.23463430223947496</v>
      </c>
      <c r="T112" s="36">
        <v>4.5019999999999998</v>
      </c>
      <c r="U112" s="183">
        <v>3.5092642393346273E-2</v>
      </c>
      <c r="V112" s="36">
        <v>6.2230000000000008</v>
      </c>
      <c r="W112" s="36">
        <v>175.49599999999998</v>
      </c>
      <c r="X112" s="173">
        <v>1.367973871493269</v>
      </c>
      <c r="Y112" s="36">
        <v>-4.702</v>
      </c>
      <c r="Z112" s="170">
        <v>-3.6651622508554908E-2</v>
      </c>
    </row>
    <row r="113" spans="1:26" x14ac:dyDescent="0.2">
      <c r="A113" s="1" t="s">
        <v>261</v>
      </c>
      <c r="B113" s="1" t="s">
        <v>261</v>
      </c>
      <c r="C113" s="36">
        <v>1708.1593480916035</v>
      </c>
      <c r="D113" s="36">
        <v>1407.1201000000001</v>
      </c>
      <c r="E113" s="36">
        <v>307.983</v>
      </c>
      <c r="F113" s="36">
        <v>268.00934779214469</v>
      </c>
      <c r="G113" s="36">
        <v>275.88499999999999</v>
      </c>
      <c r="H113" s="173">
        <v>5.2502650060224596</v>
      </c>
      <c r="I113" s="173">
        <v>5.1003863928810924</v>
      </c>
      <c r="J113" s="171">
        <f t="shared" si="1"/>
        <v>-0.12979174892073689</v>
      </c>
      <c r="K113" s="171">
        <v>2.9385737000350076E-2</v>
      </c>
      <c r="L113" s="36">
        <v>186.44702180226108</v>
      </c>
      <c r="M113" s="176">
        <v>0.69567357757558712</v>
      </c>
      <c r="N113" s="36">
        <v>34.081785163002429</v>
      </c>
      <c r="O113" s="183">
        <v>0.12716640461897114</v>
      </c>
      <c r="P113" s="36" t="s">
        <v>480</v>
      </c>
      <c r="Q113" s="183" t="e">
        <v>#VALUE!</v>
      </c>
      <c r="R113" s="36" t="s">
        <v>480</v>
      </c>
      <c r="S113" s="183" t="e">
        <v>#VALUE!</v>
      </c>
      <c r="T113" s="36">
        <v>92.270070899827459</v>
      </c>
      <c r="U113" s="183">
        <v>0.34427930092717413</v>
      </c>
      <c r="V113" s="36">
        <v>101.11699999999999</v>
      </c>
      <c r="W113" s="36">
        <v>120.60799999999999</v>
      </c>
      <c r="X113" s="173">
        <v>0.45001415433292208</v>
      </c>
      <c r="Y113" s="36">
        <v>45.2449786771883</v>
      </c>
      <c r="Z113" s="170">
        <v>0.16881865893826267</v>
      </c>
    </row>
    <row r="114" spans="1:26" x14ac:dyDescent="0.2">
      <c r="A114" s="1" t="s">
        <v>263</v>
      </c>
      <c r="B114" s="1" t="s">
        <v>263</v>
      </c>
      <c r="C114" s="36">
        <v>1158.217833587787</v>
      </c>
      <c r="D114" s="36">
        <v>1443.3649</v>
      </c>
      <c r="E114" s="36">
        <v>157.43700000000001</v>
      </c>
      <c r="F114" s="36">
        <v>221.20800000000003</v>
      </c>
      <c r="G114" s="36">
        <v>260.59699999999998</v>
      </c>
      <c r="H114" s="173">
        <v>6.524921793063541</v>
      </c>
      <c r="I114" s="173">
        <v>5.5386857868663117</v>
      </c>
      <c r="J114" s="171">
        <f t="shared" si="1"/>
        <v>0.40505726099963801</v>
      </c>
      <c r="K114" s="171">
        <v>0.17806318035514068</v>
      </c>
      <c r="L114" s="36">
        <v>155.65399899291992</v>
      </c>
      <c r="M114" s="176">
        <v>0.70365447448971064</v>
      </c>
      <c r="N114" s="36">
        <v>50.937999999999995</v>
      </c>
      <c r="O114" s="183">
        <v>0.2302719612310585</v>
      </c>
      <c r="P114" s="36">
        <v>111.593</v>
      </c>
      <c r="Q114" s="183">
        <v>0.50447090521138471</v>
      </c>
      <c r="R114" s="36">
        <v>30.292999999999999</v>
      </c>
      <c r="S114" s="183">
        <v>0.13694351018046361</v>
      </c>
      <c r="T114" s="36">
        <v>-47.295392405064</v>
      </c>
      <c r="U114" s="183">
        <v>-0.21380507217218181</v>
      </c>
      <c r="V114" s="36">
        <v>-7.3879999999999981</v>
      </c>
      <c r="W114" s="36">
        <v>51.561999999999998</v>
      </c>
      <c r="X114" s="173">
        <v>0.23309283570214454</v>
      </c>
      <c r="Y114" s="36">
        <v>-53.869</v>
      </c>
      <c r="Z114" s="170">
        <v>-0.24352193410726553</v>
      </c>
    </row>
    <row r="115" spans="1:26" x14ac:dyDescent="0.2">
      <c r="A115" s="1" t="s">
        <v>265</v>
      </c>
      <c r="B115" s="1" t="s">
        <v>265</v>
      </c>
      <c r="C115" s="36">
        <v>1765.2617011450377</v>
      </c>
      <c r="D115" s="36">
        <v>1409.3098</v>
      </c>
      <c r="E115" s="36">
        <v>132.923</v>
      </c>
      <c r="F115" s="36">
        <v>206.78900000000002</v>
      </c>
      <c r="G115" s="36">
        <v>220.108</v>
      </c>
      <c r="H115" s="173">
        <v>6.8152068050041343</v>
      </c>
      <c r="I115" s="173">
        <v>6.4028104385120033</v>
      </c>
      <c r="J115" s="171">
        <f t="shared" si="1"/>
        <v>0.55570518269975855</v>
      </c>
      <c r="K115" s="171">
        <v>6.44086484290749E-2</v>
      </c>
      <c r="L115" s="36">
        <v>128.89599989318847</v>
      </c>
      <c r="M115" s="176">
        <v>0.62332135603532324</v>
      </c>
      <c r="N115" s="36">
        <v>34.835000000000001</v>
      </c>
      <c r="O115" s="183">
        <v>0.16845673609331249</v>
      </c>
      <c r="P115" s="36">
        <v>81.965999999999994</v>
      </c>
      <c r="Q115" s="183">
        <v>0.3963750489629525</v>
      </c>
      <c r="R115" s="36">
        <v>27.15</v>
      </c>
      <c r="S115" s="183">
        <v>0.13129325060810776</v>
      </c>
      <c r="T115" s="36">
        <v>-30.616</v>
      </c>
      <c r="U115" s="183">
        <v>-0.148054296892001</v>
      </c>
      <c r="V115" s="36">
        <v>-25.271000000000001</v>
      </c>
      <c r="W115" s="36">
        <v>73.757999999999996</v>
      </c>
      <c r="X115" s="173">
        <v>0.35668241540894335</v>
      </c>
      <c r="Y115" s="36">
        <v>-33.673000000000002</v>
      </c>
      <c r="Z115" s="170">
        <v>-0.16283748168422885</v>
      </c>
    </row>
    <row r="116" spans="1:26" x14ac:dyDescent="0.2">
      <c r="A116" s="1" t="s">
        <v>267</v>
      </c>
      <c r="B116" s="1" t="s">
        <v>267</v>
      </c>
      <c r="C116" s="36">
        <v>1408.4469511450382</v>
      </c>
      <c r="D116" s="36">
        <v>1375.7365</v>
      </c>
      <c r="E116" s="36">
        <v>184.46100000000001</v>
      </c>
      <c r="F116" s="36">
        <v>309.411</v>
      </c>
      <c r="G116" s="36">
        <v>376.04599999999999</v>
      </c>
      <c r="H116" s="173">
        <v>4.4463076619771114</v>
      </c>
      <c r="I116" s="173">
        <v>3.6584260968073057</v>
      </c>
      <c r="J116" s="171">
        <f t="shared" si="1"/>
        <v>0.67737895815375593</v>
      </c>
      <c r="K116" s="171">
        <v>0.21536079842022415</v>
      </c>
      <c r="L116" s="36">
        <v>220.4609998474121</v>
      </c>
      <c r="M116" s="176">
        <v>0.71251830040758768</v>
      </c>
      <c r="N116" s="36">
        <v>101.09399999999999</v>
      </c>
      <c r="O116" s="183">
        <v>0.32673046530343136</v>
      </c>
      <c r="P116" s="36">
        <v>200.18799999999999</v>
      </c>
      <c r="Q116" s="183">
        <v>0.64699703630446226</v>
      </c>
      <c r="R116" s="36">
        <v>78.281999999999996</v>
      </c>
      <c r="S116" s="183">
        <v>0.25300328689025275</v>
      </c>
      <c r="T116" s="36">
        <v>-163.124</v>
      </c>
      <c r="U116" s="183">
        <v>-0.52720814709237873</v>
      </c>
      <c r="V116" s="36">
        <v>19.364999999999998</v>
      </c>
      <c r="W116" s="36">
        <v>62.738999999999997</v>
      </c>
      <c r="X116" s="173">
        <v>0.20276913231914831</v>
      </c>
      <c r="Y116" s="36">
        <v>-176.84800000000001</v>
      </c>
      <c r="Z116" s="170">
        <v>-0.57156338979545007</v>
      </c>
    </row>
    <row r="117" spans="1:26" x14ac:dyDescent="0.2">
      <c r="A117" s="1" t="s">
        <v>269</v>
      </c>
      <c r="B117" s="1" t="s">
        <v>269</v>
      </c>
      <c r="C117" s="36">
        <v>1135.6713793893125</v>
      </c>
      <c r="D117" s="36">
        <v>1455.3159000000001</v>
      </c>
      <c r="E117" s="36">
        <v>76.846000000000004</v>
      </c>
      <c r="F117" s="36">
        <v>122.828</v>
      </c>
      <c r="G117" s="36">
        <v>163.084</v>
      </c>
      <c r="H117" s="173">
        <v>11.848405086788029</v>
      </c>
      <c r="I117" s="173">
        <v>8.9237196782026444</v>
      </c>
      <c r="J117" s="171">
        <f t="shared" si="1"/>
        <v>0.59836556229341797</v>
      </c>
      <c r="K117" s="171">
        <v>0.32774285993421692</v>
      </c>
      <c r="L117" s="36">
        <v>85.026000061035163</v>
      </c>
      <c r="M117" s="176">
        <v>0.69223629840944378</v>
      </c>
      <c r="N117" s="36">
        <v>22.241</v>
      </c>
      <c r="O117" s="183">
        <v>0.18107434786856416</v>
      </c>
      <c r="P117" s="36">
        <v>46.997999999999998</v>
      </c>
      <c r="Q117" s="183">
        <v>0.38263262448301688</v>
      </c>
      <c r="R117" s="36">
        <v>22.895</v>
      </c>
      <c r="S117" s="183">
        <v>0.18639886670791675</v>
      </c>
      <c r="T117" s="36">
        <v>-24.664999999999999</v>
      </c>
      <c r="U117" s="183">
        <v>-0.20080926173185265</v>
      </c>
      <c r="V117" s="36">
        <v>-5.0739999999999998</v>
      </c>
      <c r="W117" s="36">
        <v>102.75399999999999</v>
      </c>
      <c r="X117" s="173">
        <v>0.83656820920311326</v>
      </c>
      <c r="Y117" s="36">
        <v>-39.188639999999999</v>
      </c>
      <c r="Z117" s="170">
        <v>-0.3190529846614778</v>
      </c>
    </row>
    <row r="118" spans="1:26" x14ac:dyDescent="0.2">
      <c r="A118" s="1" t="s">
        <v>271</v>
      </c>
      <c r="B118" s="1" t="s">
        <v>271</v>
      </c>
      <c r="C118" s="36">
        <v>1024.8650805343509</v>
      </c>
      <c r="D118" s="36">
        <v>1335.0657000000001</v>
      </c>
      <c r="E118" s="36">
        <v>193.29499999999999</v>
      </c>
      <c r="F118" s="36">
        <v>234.53299999999999</v>
      </c>
      <c r="G118" s="36">
        <v>255.227</v>
      </c>
      <c r="H118" s="173">
        <v>5.6924428545236712</v>
      </c>
      <c r="I118" s="173">
        <v>5.2308952422745243</v>
      </c>
      <c r="J118" s="171">
        <f t="shared" si="1"/>
        <v>0.21334230062857293</v>
      </c>
      <c r="K118" s="171">
        <v>8.8234917900679388E-2</v>
      </c>
      <c r="L118" s="36">
        <v>156.26900183105468</v>
      </c>
      <c r="M118" s="176">
        <v>0.666298567071818</v>
      </c>
      <c r="N118" s="36">
        <v>23.183</v>
      </c>
      <c r="O118" s="183">
        <v>9.8847496940729029E-2</v>
      </c>
      <c r="P118" s="36">
        <v>73.295000000000002</v>
      </c>
      <c r="Q118" s="183">
        <v>0.31251465678603868</v>
      </c>
      <c r="R118" s="36">
        <v>37.460999999999999</v>
      </c>
      <c r="S118" s="183">
        <v>0.15972592343081785</v>
      </c>
      <c r="T118" s="36">
        <v>24.942</v>
      </c>
      <c r="U118" s="183">
        <v>0.10634750760020978</v>
      </c>
      <c r="V118" s="36">
        <v>34.721000000000004</v>
      </c>
      <c r="W118" s="36">
        <v>123.127</v>
      </c>
      <c r="X118" s="173">
        <v>0.52498795478674642</v>
      </c>
      <c r="Y118" s="36">
        <v>10.046000000000001</v>
      </c>
      <c r="Z118" s="170">
        <v>4.2834057467392654E-2</v>
      </c>
    </row>
    <row r="119" spans="1:26" x14ac:dyDescent="0.2">
      <c r="A119" s="1" t="s">
        <v>273</v>
      </c>
      <c r="B119" s="1" t="s">
        <v>273</v>
      </c>
      <c r="C119" s="36">
        <v>2381.0000194656468</v>
      </c>
      <c r="D119" s="36">
        <v>2032.1335999999999</v>
      </c>
      <c r="E119" s="36">
        <v>649.09299999999996</v>
      </c>
      <c r="F119" s="36">
        <v>774.83100000000002</v>
      </c>
      <c r="G119" s="36">
        <v>685.5</v>
      </c>
      <c r="H119" s="173">
        <v>2.6226797843658809</v>
      </c>
      <c r="I119" s="173">
        <v>2.9644545587162652</v>
      </c>
      <c r="J119" s="171">
        <f t="shared" si="1"/>
        <v>0.19371338159554957</v>
      </c>
      <c r="K119" s="171">
        <v>-0.11529094731625344</v>
      </c>
      <c r="L119" s="36">
        <v>572.46900695800787</v>
      </c>
      <c r="M119" s="176">
        <v>0.73883079917815353</v>
      </c>
      <c r="N119" s="36">
        <v>194.38200000000001</v>
      </c>
      <c r="O119" s="183">
        <v>0.25087018975750841</v>
      </c>
      <c r="P119" s="36" t="s">
        <v>480</v>
      </c>
      <c r="Q119" s="183" t="e">
        <v>#VALUE!</v>
      </c>
      <c r="R119" s="36" t="s">
        <v>480</v>
      </c>
      <c r="S119" s="183" t="e">
        <v>#VALUE!</v>
      </c>
      <c r="T119" s="36">
        <v>202.02800000000002</v>
      </c>
      <c r="U119" s="183">
        <v>0.26073814806067391</v>
      </c>
      <c r="V119" s="36">
        <v>162.07900000000001</v>
      </c>
      <c r="W119" s="36">
        <v>128.965</v>
      </c>
      <c r="X119" s="173">
        <v>0.1664427468699626</v>
      </c>
      <c r="Y119" s="36">
        <v>-55.119129999999998</v>
      </c>
      <c r="Z119" s="170">
        <v>-7.1136970513570055E-2</v>
      </c>
    </row>
    <row r="120" spans="1:26" x14ac:dyDescent="0.2">
      <c r="A120" s="1" t="s">
        <v>275</v>
      </c>
      <c r="B120" s="1" t="s">
        <v>275</v>
      </c>
      <c r="C120" s="36">
        <v>858.37660725190779</v>
      </c>
      <c r="D120" s="36">
        <v>719.44939999999997</v>
      </c>
      <c r="E120" s="36">
        <v>512.16099999999994</v>
      </c>
      <c r="F120" s="36">
        <v>506.92600000000004</v>
      </c>
      <c r="G120" s="36">
        <v>514</v>
      </c>
      <c r="H120" s="173">
        <v>1.4192394945218827</v>
      </c>
      <c r="I120" s="173">
        <v>1.3997070038910506</v>
      </c>
      <c r="J120" s="171">
        <f t="shared" si="1"/>
        <v>-1.0221395225329341E-2</v>
      </c>
      <c r="K120" s="171">
        <v>1.3954699502491508E-2</v>
      </c>
      <c r="L120" s="36">
        <v>407.5589940185547</v>
      </c>
      <c r="M120" s="176">
        <v>0.803981239901987</v>
      </c>
      <c r="N120" s="36">
        <v>78.765999999999991</v>
      </c>
      <c r="O120" s="183">
        <v>0.15537968066344987</v>
      </c>
      <c r="P120" s="36">
        <v>174.61199999999999</v>
      </c>
      <c r="Q120" s="183">
        <v>0.34445264200297476</v>
      </c>
      <c r="R120" s="36">
        <v>80.161000000000001</v>
      </c>
      <c r="S120" s="183">
        <v>0.1581315616085977</v>
      </c>
      <c r="T120" s="36">
        <v>47.558000000000007</v>
      </c>
      <c r="U120" s="183">
        <v>9.3816454472644931E-2</v>
      </c>
      <c r="V120" s="36">
        <v>46.129999999999995</v>
      </c>
      <c r="W120" s="36">
        <v>420.24399999999997</v>
      </c>
      <c r="X120" s="173">
        <v>0.82900462789440654</v>
      </c>
      <c r="Y120" s="36">
        <v>42.201000000000001</v>
      </c>
      <c r="Z120" s="170">
        <v>8.3248837108374787E-2</v>
      </c>
    </row>
    <row r="121" spans="1:26" x14ac:dyDescent="0.2">
      <c r="A121" s="1" t="s">
        <v>277</v>
      </c>
      <c r="B121" s="1" t="s">
        <v>277</v>
      </c>
      <c r="C121" s="36">
        <v>1838.1168969465659</v>
      </c>
      <c r="D121" s="36">
        <v>1403.5246</v>
      </c>
      <c r="E121" s="36">
        <v>405.34100000000001</v>
      </c>
      <c r="F121" s="36">
        <v>401.911</v>
      </c>
      <c r="G121" s="36">
        <v>396.25</v>
      </c>
      <c r="H121" s="173">
        <v>3.4921278591528968</v>
      </c>
      <c r="I121" s="173">
        <v>3.5420179179810725</v>
      </c>
      <c r="J121" s="171">
        <f t="shared" si="1"/>
        <v>-8.4620109981472548E-3</v>
      </c>
      <c r="K121" s="171">
        <v>-1.4085207919166232E-2</v>
      </c>
      <c r="L121" s="36">
        <v>333.70999957275393</v>
      </c>
      <c r="M121" s="176">
        <v>0.83030820149922224</v>
      </c>
      <c r="N121" s="36">
        <v>76.988</v>
      </c>
      <c r="O121" s="183">
        <v>0.19155484671979617</v>
      </c>
      <c r="P121" s="36">
        <v>96.344999999999999</v>
      </c>
      <c r="Q121" s="183">
        <v>0.23971725083413989</v>
      </c>
      <c r="R121" s="36">
        <v>45.738999999999997</v>
      </c>
      <c r="S121" s="183">
        <v>0.11380380233434764</v>
      </c>
      <c r="T121" s="36">
        <v>142.37699999999998</v>
      </c>
      <c r="U121" s="183">
        <v>0.35425007028919331</v>
      </c>
      <c r="V121" s="36">
        <v>121.06</v>
      </c>
      <c r="W121" s="36">
        <v>133.464</v>
      </c>
      <c r="X121" s="173">
        <v>0.33207351876410451</v>
      </c>
      <c r="Y121" s="36">
        <v>65.876939999999991</v>
      </c>
      <c r="Z121" s="170">
        <v>0.16390927344611117</v>
      </c>
    </row>
    <row r="122" spans="1:26" x14ac:dyDescent="0.2">
      <c r="A122" s="1" t="s">
        <v>279</v>
      </c>
      <c r="B122" s="1" t="s">
        <v>279</v>
      </c>
      <c r="C122" s="36">
        <v>1055.4606675572518</v>
      </c>
      <c r="D122" s="36">
        <v>1360.3652</v>
      </c>
      <c r="E122" s="36">
        <v>178.64599999999999</v>
      </c>
      <c r="F122" s="36">
        <v>225.61</v>
      </c>
      <c r="G122" s="36">
        <v>255.92000000000002</v>
      </c>
      <c r="H122" s="173">
        <v>6.0297203138158766</v>
      </c>
      <c r="I122" s="173">
        <v>5.3155876836511409</v>
      </c>
      <c r="J122" s="171">
        <f t="shared" si="1"/>
        <v>0.26288861771324312</v>
      </c>
      <c r="K122" s="171">
        <v>0.13434688178715493</v>
      </c>
      <c r="L122" s="36">
        <v>161.06200064086914</v>
      </c>
      <c r="M122" s="176">
        <v>0.71389566349394595</v>
      </c>
      <c r="N122" s="36">
        <v>68.171999999999997</v>
      </c>
      <c r="O122" s="183">
        <v>0.30216745711626253</v>
      </c>
      <c r="P122" s="36">
        <v>84.161000000000001</v>
      </c>
      <c r="Q122" s="183">
        <v>0.37303754266211603</v>
      </c>
      <c r="R122" s="36">
        <v>39.594000000000001</v>
      </c>
      <c r="S122" s="183">
        <v>0.17549754000265946</v>
      </c>
      <c r="T122" s="36">
        <v>-48.74664556962</v>
      </c>
      <c r="U122" s="183">
        <v>-0.21606597921023002</v>
      </c>
      <c r="V122" s="36">
        <v>-0.20499999999999918</v>
      </c>
      <c r="W122" s="36">
        <v>60.332999999999998</v>
      </c>
      <c r="X122" s="173">
        <v>0.26742165684145203</v>
      </c>
      <c r="Y122" s="36">
        <v>-53.88</v>
      </c>
      <c r="Z122" s="170">
        <v>-0.23881920127653916</v>
      </c>
    </row>
    <row r="123" spans="1:26" x14ac:dyDescent="0.2">
      <c r="A123" s="1" t="s">
        <v>283</v>
      </c>
      <c r="B123" s="1" t="s">
        <v>283</v>
      </c>
      <c r="C123" s="36">
        <v>1995.3138362595403</v>
      </c>
      <c r="D123" s="36">
        <v>2037.6169</v>
      </c>
      <c r="E123" s="36">
        <v>1265.364</v>
      </c>
      <c r="F123" s="36">
        <v>1442.086</v>
      </c>
      <c r="G123" s="36">
        <v>1299.5</v>
      </c>
      <c r="H123" s="173">
        <v>1.4129648994581461</v>
      </c>
      <c r="I123" s="173">
        <v>1.568000692574067</v>
      </c>
      <c r="J123" s="171">
        <f t="shared" si="1"/>
        <v>0.13966099873238055</v>
      </c>
      <c r="K123" s="171">
        <v>-9.8874824386340321E-2</v>
      </c>
      <c r="L123" s="36">
        <v>493.43699993896485</v>
      </c>
      <c r="M123" s="176">
        <v>0.34216891360082885</v>
      </c>
      <c r="N123" s="36">
        <v>0</v>
      </c>
      <c r="O123" s="183">
        <v>0</v>
      </c>
      <c r="P123" s="36" t="s">
        <v>480</v>
      </c>
      <c r="Q123" s="183" t="e">
        <v>#VALUE!</v>
      </c>
      <c r="R123" s="36" t="s">
        <v>480</v>
      </c>
      <c r="S123" s="183" t="e">
        <v>#VALUE!</v>
      </c>
      <c r="T123" s="36">
        <v>321.95100000000002</v>
      </c>
      <c r="U123" s="183">
        <v>0.22325367557829423</v>
      </c>
      <c r="V123" s="36">
        <v>132.11700000000002</v>
      </c>
      <c r="W123" s="36">
        <v>51.37</v>
      </c>
      <c r="X123" s="173">
        <v>3.5622008673546514E-2</v>
      </c>
      <c r="Y123" s="36">
        <v>65.558989999999994</v>
      </c>
      <c r="Z123" s="170">
        <v>4.546122075937218E-2</v>
      </c>
    </row>
    <row r="124" spans="1:26" x14ac:dyDescent="0.2">
      <c r="A124" s="1" t="s">
        <v>285</v>
      </c>
      <c r="B124" s="1" t="s">
        <v>285</v>
      </c>
      <c r="C124" s="36">
        <v>1206.1234167938935</v>
      </c>
      <c r="D124" s="36">
        <v>1236.1941999999999</v>
      </c>
      <c r="E124" s="36">
        <v>1460.037</v>
      </c>
      <c r="F124" s="36">
        <v>1637.712</v>
      </c>
      <c r="G124" s="36">
        <v>1656.5</v>
      </c>
      <c r="H124" s="173">
        <v>0.75483003116543079</v>
      </c>
      <c r="I124" s="173">
        <v>0.74626875943253845</v>
      </c>
      <c r="J124" s="171">
        <f t="shared" si="1"/>
        <v>0.12169212150103043</v>
      </c>
      <c r="K124" s="171">
        <v>1.147210254305997E-2</v>
      </c>
      <c r="L124" s="36">
        <v>553.73400109863292</v>
      </c>
      <c r="M124" s="176">
        <v>0.33811439441039259</v>
      </c>
      <c r="N124" s="36">
        <v>0</v>
      </c>
      <c r="O124" s="183">
        <v>0</v>
      </c>
      <c r="P124" s="36" t="s">
        <v>480</v>
      </c>
      <c r="Q124" s="183" t="e">
        <v>#VALUE!</v>
      </c>
      <c r="R124" s="36">
        <v>376.863</v>
      </c>
      <c r="S124" s="183">
        <v>0.23011555145227</v>
      </c>
      <c r="T124" s="36">
        <v>168.06400000000002</v>
      </c>
      <c r="U124" s="183">
        <v>0.10262121789423294</v>
      </c>
      <c r="V124" s="36">
        <v>53.613999999999997</v>
      </c>
      <c r="W124" s="36">
        <v>343.73399999999998</v>
      </c>
      <c r="X124" s="173">
        <v>0.20988672000937894</v>
      </c>
      <c r="Y124" s="36">
        <v>71.187725335842003</v>
      </c>
      <c r="Z124" s="170">
        <v>4.3467792466466634E-2</v>
      </c>
    </row>
    <row r="125" spans="1:26" x14ac:dyDescent="0.2">
      <c r="A125" s="1" t="s">
        <v>287</v>
      </c>
      <c r="B125" s="1" t="s">
        <v>287</v>
      </c>
      <c r="C125" s="36">
        <v>1023.4537759541984</v>
      </c>
      <c r="D125" s="36">
        <v>1214.4014</v>
      </c>
      <c r="E125" s="36">
        <v>222.779</v>
      </c>
      <c r="F125" s="36">
        <v>233.78399999999999</v>
      </c>
      <c r="G125" s="36">
        <v>258.85399999999998</v>
      </c>
      <c r="H125" s="173">
        <v>5.194544536837423</v>
      </c>
      <c r="I125" s="173">
        <v>4.6914530971126585</v>
      </c>
      <c r="J125" s="171">
        <f t="shared" si="1"/>
        <v>4.9398731478281145E-2</v>
      </c>
      <c r="K125" s="171">
        <v>0.10723573897272698</v>
      </c>
      <c r="L125" s="36">
        <v>174.50399725341796</v>
      </c>
      <c r="M125" s="176">
        <v>0.74643259270702</v>
      </c>
      <c r="N125" s="36">
        <v>40.033999999999999</v>
      </c>
      <c r="O125" s="183">
        <v>0.17124354104643602</v>
      </c>
      <c r="P125" s="36">
        <v>90.905000000000001</v>
      </c>
      <c r="Q125" s="183">
        <v>0.38884183690928381</v>
      </c>
      <c r="R125" s="36">
        <v>43.124000000000002</v>
      </c>
      <c r="S125" s="183">
        <v>0.18446086986277935</v>
      </c>
      <c r="T125" s="36">
        <v>9.7840000000000007</v>
      </c>
      <c r="U125" s="183">
        <v>4.1850597132395723E-2</v>
      </c>
      <c r="V125" s="36">
        <v>-19.381999999999998</v>
      </c>
      <c r="W125" s="36">
        <v>56.114999999999995</v>
      </c>
      <c r="X125" s="173">
        <v>0.24002925777640899</v>
      </c>
      <c r="Y125" s="36">
        <v>-8.9980586626340013</v>
      </c>
      <c r="Z125" s="170">
        <v>-3.8488770243618048E-2</v>
      </c>
    </row>
    <row r="126" spans="1:26" x14ac:dyDescent="0.2">
      <c r="A126" s="1" t="s">
        <v>289</v>
      </c>
      <c r="B126" s="1" t="s">
        <v>289</v>
      </c>
      <c r="C126" s="36">
        <v>1821.8780661290327</v>
      </c>
      <c r="D126" s="36">
        <v>1444.5420999999999</v>
      </c>
      <c r="E126" s="36">
        <v>116.239</v>
      </c>
      <c r="F126" s="36">
        <v>162.01400000000001</v>
      </c>
      <c r="G126" s="36">
        <v>226.63</v>
      </c>
      <c r="H126" s="173">
        <v>8.9161560112089067</v>
      </c>
      <c r="I126" s="173">
        <v>6.3740109429466525</v>
      </c>
      <c r="J126" s="171">
        <f t="shared" si="1"/>
        <v>0.39380070372250281</v>
      </c>
      <c r="K126" s="171">
        <v>0.39882973076400785</v>
      </c>
      <c r="L126" s="36">
        <v>126.376</v>
      </c>
      <c r="M126" s="176">
        <v>0.78003135531497281</v>
      </c>
      <c r="N126" s="36">
        <v>52.046999999999997</v>
      </c>
      <c r="O126" s="183">
        <v>0.3212500154307652</v>
      </c>
      <c r="P126" s="36">
        <v>107.19</v>
      </c>
      <c r="Q126" s="183">
        <v>0.66160949053785467</v>
      </c>
      <c r="R126" s="36">
        <v>22.337</v>
      </c>
      <c r="S126" s="183">
        <v>0.13787080128877749</v>
      </c>
      <c r="T126" s="36">
        <v>-48.109000000000002</v>
      </c>
      <c r="U126" s="183">
        <v>-0.29694347402076365</v>
      </c>
      <c r="V126" s="36">
        <v>-12.823</v>
      </c>
      <c r="W126" s="36">
        <v>36.073</v>
      </c>
      <c r="X126" s="173">
        <v>0.22265359783722394</v>
      </c>
      <c r="Y126" s="36">
        <v>-55.826999999999998</v>
      </c>
      <c r="Z126" s="170">
        <v>-0.34458133247744022</v>
      </c>
    </row>
    <row r="127" spans="1:26" x14ac:dyDescent="0.2">
      <c r="A127" s="1" t="s">
        <v>291</v>
      </c>
      <c r="B127" s="1" t="s">
        <v>291</v>
      </c>
      <c r="C127" s="36">
        <v>1101.000546946565</v>
      </c>
      <c r="D127" s="36">
        <v>1016.1319</v>
      </c>
      <c r="E127" s="36">
        <v>160.56899999999999</v>
      </c>
      <c r="F127" s="36">
        <v>212.47800000000001</v>
      </c>
      <c r="G127" s="36">
        <v>249.06300000000002</v>
      </c>
      <c r="H127" s="173">
        <v>4.7822922843776761</v>
      </c>
      <c r="I127" s="173">
        <v>4.0798187607151597</v>
      </c>
      <c r="J127" s="171">
        <f t="shared" si="1"/>
        <v>0.32328157988154638</v>
      </c>
      <c r="K127" s="171">
        <v>0.17218253183859034</v>
      </c>
      <c r="L127" s="36">
        <v>147.23399932861327</v>
      </c>
      <c r="M127" s="176">
        <v>0.69293761861751924</v>
      </c>
      <c r="N127" s="36">
        <v>40.549999999999997</v>
      </c>
      <c r="O127" s="183">
        <v>0.19084328730503861</v>
      </c>
      <c r="P127" s="36">
        <v>87.948999999999998</v>
      </c>
      <c r="Q127" s="183">
        <v>0.41392050000470637</v>
      </c>
      <c r="R127" s="36">
        <v>27.706</v>
      </c>
      <c r="S127" s="183">
        <v>0.13039467615470776</v>
      </c>
      <c r="T127" s="36">
        <v>-14.339075949367</v>
      </c>
      <c r="U127" s="183">
        <v>-6.748499114904602E-2</v>
      </c>
      <c r="V127" s="36">
        <v>3.3149999999999999</v>
      </c>
      <c r="W127" s="36">
        <v>55.068999999999996</v>
      </c>
      <c r="X127" s="173">
        <v>0.25917506753640374</v>
      </c>
      <c r="Y127" s="36">
        <v>-23.346969999999999</v>
      </c>
      <c r="Z127" s="170">
        <v>-0.10987946987452818</v>
      </c>
    </row>
    <row r="128" spans="1:26" x14ac:dyDescent="0.2">
      <c r="A128" s="1" t="s">
        <v>293</v>
      </c>
      <c r="B128" s="1" t="s">
        <v>293</v>
      </c>
      <c r="C128" s="36">
        <v>804.44484198473208</v>
      </c>
      <c r="D128" s="36">
        <v>1118.7239</v>
      </c>
      <c r="E128" s="36">
        <v>339.52199999999999</v>
      </c>
      <c r="F128" s="36">
        <v>493.41899999999998</v>
      </c>
      <c r="G128" s="36">
        <v>540.76700000000005</v>
      </c>
      <c r="H128" s="173">
        <v>2.2672898692591894</v>
      </c>
      <c r="I128" s="173">
        <v>2.0687725027599684</v>
      </c>
      <c r="J128" s="171">
        <f t="shared" si="1"/>
        <v>0.45327548730273737</v>
      </c>
      <c r="K128" s="171">
        <v>9.5959012522825571E-2</v>
      </c>
      <c r="L128" s="36">
        <v>254.20199630737304</v>
      </c>
      <c r="M128" s="176">
        <v>0.51518485568527572</v>
      </c>
      <c r="N128" s="36">
        <v>80.164000000000001</v>
      </c>
      <c r="O128" s="183">
        <v>0.162466382526818</v>
      </c>
      <c r="P128" s="36">
        <v>151.34100000000001</v>
      </c>
      <c r="Q128" s="183">
        <v>0.3067190359511896</v>
      </c>
      <c r="R128" s="36">
        <v>92.725999999999999</v>
      </c>
      <c r="S128" s="183">
        <v>0.18792547510330976</v>
      </c>
      <c r="T128" s="36">
        <v>-32.902000000000001</v>
      </c>
      <c r="U128" s="183">
        <v>-6.6681664062389165E-2</v>
      </c>
      <c r="V128" s="36">
        <v>9.2789999999999999</v>
      </c>
      <c r="W128" s="36">
        <v>101.539</v>
      </c>
      <c r="X128" s="173">
        <v>0.20578656273876766</v>
      </c>
      <c r="Y128" s="36">
        <v>-51.781127336844001</v>
      </c>
      <c r="Z128" s="170">
        <v>-0.10494352130105246</v>
      </c>
    </row>
    <row r="129" spans="1:26" x14ac:dyDescent="0.2">
      <c r="A129" s="1" t="s">
        <v>295</v>
      </c>
      <c r="B129" s="1" t="s">
        <v>295</v>
      </c>
      <c r="C129" s="36">
        <v>1546.9895393129775</v>
      </c>
      <c r="D129" s="36">
        <v>1357.76</v>
      </c>
      <c r="E129" s="36">
        <v>760.95799999999997</v>
      </c>
      <c r="F129" s="36">
        <v>819.13599999999997</v>
      </c>
      <c r="G129" s="36">
        <v>876.5</v>
      </c>
      <c r="H129" s="173">
        <v>1.6575513712008751</v>
      </c>
      <c r="I129" s="173">
        <v>1.5490701654306902</v>
      </c>
      <c r="J129" s="171">
        <f t="shared" si="1"/>
        <v>7.6453628189729256E-2</v>
      </c>
      <c r="K129" s="171">
        <v>7.0029885147277149E-2</v>
      </c>
      <c r="L129" s="36">
        <v>409.10499536132812</v>
      </c>
      <c r="M129" s="176">
        <v>0.49943476463167064</v>
      </c>
      <c r="N129" s="36">
        <v>113.19999999999999</v>
      </c>
      <c r="O129" s="183">
        <v>0.13819439018673332</v>
      </c>
      <c r="P129" s="36" t="s">
        <v>480</v>
      </c>
      <c r="Q129" s="183" t="e">
        <v>#VALUE!</v>
      </c>
      <c r="R129" s="36" t="s">
        <v>480</v>
      </c>
      <c r="S129" s="183" t="e">
        <v>#VALUE!</v>
      </c>
      <c r="T129" s="36">
        <v>168.92100000000002</v>
      </c>
      <c r="U129" s="183">
        <v>0.20621850339870307</v>
      </c>
      <c r="V129" s="36">
        <v>48.022999999999996</v>
      </c>
      <c r="W129" s="36">
        <v>122.24299999999999</v>
      </c>
      <c r="X129" s="173">
        <v>0.14923407102117353</v>
      </c>
      <c r="Y129" s="36">
        <v>64.680810627462009</v>
      </c>
      <c r="Z129" s="170">
        <v>7.8962236585209303E-2</v>
      </c>
    </row>
    <row r="130" spans="1:26" x14ac:dyDescent="0.2">
      <c r="A130" s="1" t="s">
        <v>297</v>
      </c>
      <c r="B130" s="1" t="s">
        <v>297</v>
      </c>
      <c r="C130" s="36">
        <v>1799.7901893129756</v>
      </c>
      <c r="D130" s="36">
        <v>1386.7829999999999</v>
      </c>
      <c r="E130" s="36">
        <v>1275.258</v>
      </c>
      <c r="F130" s="36">
        <v>1510.7610000000002</v>
      </c>
      <c r="G130" s="36">
        <v>1523.8330000000001</v>
      </c>
      <c r="H130" s="173">
        <v>0.91793672195668252</v>
      </c>
      <c r="I130" s="173">
        <v>0.91006232310233459</v>
      </c>
      <c r="J130" s="171">
        <f t="shared" si="1"/>
        <v>0.18467086660111143</v>
      </c>
      <c r="K130" s="171">
        <v>8.6525929647376376E-3</v>
      </c>
      <c r="L130" s="36">
        <v>364.96499401855471</v>
      </c>
      <c r="M130" s="176">
        <v>0.24157692316557991</v>
      </c>
      <c r="N130" s="36">
        <v>0</v>
      </c>
      <c r="O130" s="183">
        <v>0</v>
      </c>
      <c r="P130" s="36" t="s">
        <v>480</v>
      </c>
      <c r="Q130" s="183" t="e">
        <v>#VALUE!</v>
      </c>
      <c r="R130" s="36" t="s">
        <v>480</v>
      </c>
      <c r="S130" s="183" t="e">
        <v>#VALUE!</v>
      </c>
      <c r="T130" s="36">
        <v>185.99944985394302</v>
      </c>
      <c r="U130" s="183">
        <v>0.12311639620955465</v>
      </c>
      <c r="V130" s="36">
        <v>89.751000000000005</v>
      </c>
      <c r="W130" s="36">
        <v>74.436999999999998</v>
      </c>
      <c r="X130" s="173">
        <v>4.9271195112926526E-2</v>
      </c>
      <c r="Y130" s="36">
        <v>69.219760000000008</v>
      </c>
      <c r="Z130" s="170">
        <v>4.5817809699879732E-2</v>
      </c>
    </row>
    <row r="131" spans="1:26" x14ac:dyDescent="0.2">
      <c r="A131" s="1" t="s">
        <v>299</v>
      </c>
      <c r="B131" s="1" t="s">
        <v>299</v>
      </c>
      <c r="C131" s="36">
        <v>1171.9934602316603</v>
      </c>
      <c r="D131" s="36">
        <v>949.03020000000004</v>
      </c>
      <c r="E131" s="36">
        <v>166.84100000000001</v>
      </c>
      <c r="F131" s="36">
        <v>257.60300000000001</v>
      </c>
      <c r="G131" s="36">
        <v>302.613</v>
      </c>
      <c r="H131" s="173">
        <v>3.6840805425402654</v>
      </c>
      <c r="I131" s="173">
        <v>3.1361184086605665</v>
      </c>
      <c r="J131" s="171">
        <f t="shared" ref="J131:J194" si="2">(F131-E131)/E131</f>
        <v>0.54400297289035671</v>
      </c>
      <c r="K131" s="171">
        <v>0.17472622601444865</v>
      </c>
      <c r="L131" s="36">
        <v>194.42499871826172</v>
      </c>
      <c r="M131" s="176">
        <v>0.75474664005567371</v>
      </c>
      <c r="N131" s="36">
        <v>47.434999999999995</v>
      </c>
      <c r="O131" s="183">
        <v>0.18413993625850628</v>
      </c>
      <c r="P131" s="36">
        <v>151.09299999999999</v>
      </c>
      <c r="Q131" s="183">
        <v>0.58653431831151026</v>
      </c>
      <c r="R131" s="36">
        <v>51.206000000000003</v>
      </c>
      <c r="S131" s="183">
        <v>0.19877874093081216</v>
      </c>
      <c r="T131" s="36">
        <v>-82.965000000000003</v>
      </c>
      <c r="U131" s="183">
        <v>-0.32206534861783442</v>
      </c>
      <c r="V131" s="36">
        <v>-6.802999999999999</v>
      </c>
      <c r="W131" s="36">
        <v>63.009</v>
      </c>
      <c r="X131" s="173">
        <v>0.24459730670838459</v>
      </c>
      <c r="Y131" s="36">
        <v>-92.112000000000009</v>
      </c>
      <c r="Z131" s="170">
        <v>-0.35757347546418328</v>
      </c>
    </row>
    <row r="132" spans="1:26" x14ac:dyDescent="0.2">
      <c r="A132" s="1" t="s">
        <v>303</v>
      </c>
      <c r="B132" s="1" t="s">
        <v>303</v>
      </c>
      <c r="C132" s="36">
        <v>1129.9731278625959</v>
      </c>
      <c r="D132" s="36">
        <v>1209.0925</v>
      </c>
      <c r="E132" s="36">
        <v>153.27600000000001</v>
      </c>
      <c r="F132" s="36">
        <v>183.61700000000002</v>
      </c>
      <c r="G132" s="36">
        <v>205.86799999999999</v>
      </c>
      <c r="H132" s="173">
        <v>6.5848614235065375</v>
      </c>
      <c r="I132" s="173">
        <v>5.8731444420696759</v>
      </c>
      <c r="J132" s="171">
        <f t="shared" si="2"/>
        <v>0.19795010308202202</v>
      </c>
      <c r="K132" s="171">
        <v>0.12118158993992911</v>
      </c>
      <c r="L132" s="36">
        <v>109.50099978637695</v>
      </c>
      <c r="M132" s="176">
        <v>0.59635545611995044</v>
      </c>
      <c r="N132" s="36">
        <v>56.021000000000001</v>
      </c>
      <c r="O132" s="183">
        <v>0.30509702260683919</v>
      </c>
      <c r="P132" s="36">
        <v>68.116</v>
      </c>
      <c r="Q132" s="183">
        <v>0.37096782977611004</v>
      </c>
      <c r="R132" s="36">
        <v>40.335999999999999</v>
      </c>
      <c r="S132" s="183">
        <v>0.21967464886148882</v>
      </c>
      <c r="T132" s="36">
        <v>-44.247999999999998</v>
      </c>
      <c r="U132" s="183">
        <v>-0.24097986569870977</v>
      </c>
      <c r="V132" s="36">
        <v>-6.407</v>
      </c>
      <c r="W132" s="36">
        <v>160.505</v>
      </c>
      <c r="X132" s="173">
        <v>0.87412930175310555</v>
      </c>
      <c r="Y132" s="36">
        <v>-63.304550127549</v>
      </c>
      <c r="Z132" s="170">
        <v>-0.3447641020578105</v>
      </c>
    </row>
    <row r="133" spans="1:26" x14ac:dyDescent="0.2">
      <c r="A133" s="1" t="s">
        <v>305</v>
      </c>
      <c r="B133" s="1" t="s">
        <v>305</v>
      </c>
      <c r="C133" s="36">
        <v>1188.4108312977096</v>
      </c>
      <c r="D133" s="36">
        <v>1011.2338999999999</v>
      </c>
      <c r="E133" s="36">
        <v>110.88</v>
      </c>
      <c r="F133" s="36">
        <v>184.83700000000002</v>
      </c>
      <c r="G133" s="36">
        <v>231.28900000000002</v>
      </c>
      <c r="H133" s="173">
        <v>5.4709495393238363</v>
      </c>
      <c r="I133" s="173">
        <v>4.3721659914652227</v>
      </c>
      <c r="J133" s="171">
        <f t="shared" si="2"/>
        <v>0.66700036075036095</v>
      </c>
      <c r="K133" s="171">
        <v>0.25131331930295331</v>
      </c>
      <c r="L133" s="36">
        <v>130.4860018157959</v>
      </c>
      <c r="M133" s="176">
        <v>0.70595174026734853</v>
      </c>
      <c r="N133" s="36">
        <v>48.292999999999999</v>
      </c>
      <c r="O133" s="183">
        <v>0.26127344633379679</v>
      </c>
      <c r="P133" s="36">
        <v>83.715999999999994</v>
      </c>
      <c r="Q133" s="183">
        <v>0.45291797637918807</v>
      </c>
      <c r="R133" s="36">
        <v>31.196000000000002</v>
      </c>
      <c r="S133" s="183">
        <v>0.16877573213155375</v>
      </c>
      <c r="T133" s="36">
        <v>-40.238</v>
      </c>
      <c r="U133" s="183">
        <v>-0.21769450921622832</v>
      </c>
      <c r="V133" s="36">
        <v>-18.588999999999992</v>
      </c>
      <c r="W133" s="36">
        <v>35.692999999999998</v>
      </c>
      <c r="X133" s="173">
        <v>0.19310527654095228</v>
      </c>
      <c r="Y133" s="36">
        <v>-49.079000000000001</v>
      </c>
      <c r="Z133" s="170">
        <v>-0.2655258416875409</v>
      </c>
    </row>
    <row r="134" spans="1:26" x14ac:dyDescent="0.2">
      <c r="A134" s="1" t="s">
        <v>307</v>
      </c>
      <c r="B134" s="1" t="s">
        <v>307</v>
      </c>
      <c r="C134" s="36">
        <v>1041.4237351145043</v>
      </c>
      <c r="D134" s="36">
        <v>1106.0070000000001</v>
      </c>
      <c r="E134" s="36">
        <v>233.33500000000001</v>
      </c>
      <c r="F134" s="36">
        <v>252.16</v>
      </c>
      <c r="G134" s="36">
        <v>269.78399999999999</v>
      </c>
      <c r="H134" s="173">
        <v>4.3861318210659901</v>
      </c>
      <c r="I134" s="173">
        <v>4.0996019037452189</v>
      </c>
      <c r="J134" s="171">
        <f t="shared" si="2"/>
        <v>8.0677995157177398E-2</v>
      </c>
      <c r="K134" s="171">
        <v>6.989213197969546E-2</v>
      </c>
      <c r="L134" s="36">
        <v>126.30899749755859</v>
      </c>
      <c r="M134" s="176">
        <v>0.50090814362927738</v>
      </c>
      <c r="N134" s="36">
        <v>49.548999999999999</v>
      </c>
      <c r="O134" s="183">
        <v>0.19649825507614213</v>
      </c>
      <c r="P134" s="36">
        <v>69.28</v>
      </c>
      <c r="Q134" s="183">
        <v>0.27474619289340102</v>
      </c>
      <c r="R134" s="36">
        <v>27.268000000000001</v>
      </c>
      <c r="S134" s="183">
        <v>0.10813769035532995</v>
      </c>
      <c r="T134" s="36">
        <v>-11.269886075949</v>
      </c>
      <c r="U134" s="183">
        <v>-4.4693393384950028E-2</v>
      </c>
      <c r="V134" s="36">
        <v>-2.8339999999999996</v>
      </c>
      <c r="W134" s="36">
        <v>55.335000000000001</v>
      </c>
      <c r="X134" s="173">
        <v>0.2194440038071066</v>
      </c>
      <c r="Y134" s="36">
        <v>-40.211799999999997</v>
      </c>
      <c r="Z134" s="170">
        <v>-0.15946938451776649</v>
      </c>
    </row>
    <row r="135" spans="1:26" x14ac:dyDescent="0.2">
      <c r="A135" s="1" t="s">
        <v>309</v>
      </c>
      <c r="B135" s="1" t="s">
        <v>309</v>
      </c>
      <c r="C135" s="36">
        <v>872.03611526717543</v>
      </c>
      <c r="D135" s="36">
        <v>768.43140000000005</v>
      </c>
      <c r="E135" s="36">
        <v>317.91467</v>
      </c>
      <c r="F135" s="36">
        <v>347.22800000000001</v>
      </c>
      <c r="G135" s="36">
        <v>324.12</v>
      </c>
      <c r="H135" s="173">
        <v>2.2130456069211011</v>
      </c>
      <c r="I135" s="173">
        <v>2.370823768974454</v>
      </c>
      <c r="J135" s="171">
        <f t="shared" si="2"/>
        <v>9.2205024700495908E-2</v>
      </c>
      <c r="K135" s="171">
        <v>-6.6549932609121343E-2</v>
      </c>
      <c r="L135" s="36">
        <v>141.53299899291994</v>
      </c>
      <c r="M135" s="176">
        <v>0.40760825449825455</v>
      </c>
      <c r="N135" s="36">
        <v>0</v>
      </c>
      <c r="O135" s="183">
        <v>0</v>
      </c>
      <c r="P135" s="36" t="s">
        <v>480</v>
      </c>
      <c r="Q135" s="183" t="e">
        <v>#VALUE!</v>
      </c>
      <c r="R135" s="36" t="s">
        <v>480</v>
      </c>
      <c r="S135" s="183" t="e">
        <v>#VALUE!</v>
      </c>
      <c r="T135" s="36">
        <v>88.400999999999996</v>
      </c>
      <c r="U135" s="183">
        <v>0.25459064361169026</v>
      </c>
      <c r="V135" s="36">
        <v>53.626999999999995</v>
      </c>
      <c r="W135" s="36">
        <v>160.77699999999999</v>
      </c>
      <c r="X135" s="173">
        <v>0.46303005517988177</v>
      </c>
      <c r="Y135" s="36">
        <v>57.685500000000005</v>
      </c>
      <c r="Z135" s="170">
        <v>0.1661314755722465</v>
      </c>
    </row>
    <row r="136" spans="1:26" x14ac:dyDescent="0.2">
      <c r="A136" s="2" t="s">
        <v>313</v>
      </c>
      <c r="B136" s="2" t="s">
        <v>313</v>
      </c>
      <c r="C136" s="87">
        <v>737.47753511450367</v>
      </c>
      <c r="D136" s="87">
        <v>684.58810000000005</v>
      </c>
      <c r="E136" s="36">
        <v>277.85199999999998</v>
      </c>
      <c r="F136" s="87">
        <v>328.411</v>
      </c>
      <c r="G136" s="87">
        <v>339.733</v>
      </c>
      <c r="H136" s="173">
        <v>2.0845468026345038</v>
      </c>
      <c r="I136" s="173">
        <v>2.0150768397535712</v>
      </c>
      <c r="J136" s="171">
        <f t="shared" si="2"/>
        <v>0.18196377927817697</v>
      </c>
      <c r="K136" s="179">
        <v>3.4475093708797866E-2</v>
      </c>
      <c r="L136" s="87">
        <v>169.04300082397461</v>
      </c>
      <c r="M136" s="176">
        <v>0.51473002068741491</v>
      </c>
      <c r="N136" s="87">
        <v>47.661000000000001</v>
      </c>
      <c r="O136" s="183">
        <v>0.14512607677574746</v>
      </c>
      <c r="P136" s="87">
        <v>75.367999999999995</v>
      </c>
      <c r="Q136" s="183">
        <v>0.22949292197886184</v>
      </c>
      <c r="R136" s="87">
        <v>35.222000000000001</v>
      </c>
      <c r="S136" s="183">
        <v>0.10724975716404141</v>
      </c>
      <c r="T136" s="87">
        <v>6.7769999999999992</v>
      </c>
      <c r="U136" s="183">
        <v>2.0635727792309023E-2</v>
      </c>
      <c r="V136" s="36">
        <v>18.332999999999998</v>
      </c>
      <c r="W136" s="36">
        <v>147.023</v>
      </c>
      <c r="X136" s="173">
        <v>0.44767988891967686</v>
      </c>
      <c r="Y136" s="87">
        <v>-1.2028757999999999</v>
      </c>
      <c r="Z136" s="170">
        <v>-3.6627147080944304E-3</v>
      </c>
    </row>
    <row r="137" spans="1:26" x14ac:dyDescent="0.2">
      <c r="A137" s="2" t="s">
        <v>315</v>
      </c>
      <c r="B137" s="2" t="s">
        <v>315</v>
      </c>
      <c r="C137" s="87">
        <v>598.351408396946</v>
      </c>
      <c r="D137" s="87">
        <v>386.01310000000001</v>
      </c>
      <c r="E137" s="36">
        <v>17880</v>
      </c>
      <c r="F137" s="87">
        <v>421.69007902324608</v>
      </c>
      <c r="G137" s="87">
        <v>255.601</v>
      </c>
      <c r="H137" s="173">
        <v>0.91539526112190239</v>
      </c>
      <c r="I137" s="173">
        <v>1.5102174874120211</v>
      </c>
      <c r="J137" s="171">
        <f t="shared" si="2"/>
        <v>-0.97641554367878935</v>
      </c>
      <c r="K137" s="179">
        <v>-0.39386527519915937</v>
      </c>
      <c r="L137" s="87">
        <v>218.75141071311592</v>
      </c>
      <c r="M137" s="176">
        <v>0.51874924641292552</v>
      </c>
      <c r="N137" s="87">
        <v>0</v>
      </c>
      <c r="O137" s="183">
        <v>0</v>
      </c>
      <c r="P137" s="87" t="s">
        <v>480</v>
      </c>
      <c r="Q137" s="183" t="e">
        <v>#VALUE!</v>
      </c>
      <c r="R137" s="87" t="s">
        <v>480</v>
      </c>
      <c r="S137" s="183" t="e">
        <v>#VALUE!</v>
      </c>
      <c r="T137" s="87">
        <v>81.622901835776418</v>
      </c>
      <c r="U137" s="183">
        <v>0.19356135203568989</v>
      </c>
      <c r="V137" s="36">
        <v>12107</v>
      </c>
      <c r="W137" s="36">
        <v>18406</v>
      </c>
      <c r="X137" s="173">
        <v>43.648169391685762</v>
      </c>
      <c r="Y137" s="87">
        <v>54.138304797875108</v>
      </c>
      <c r="Z137" s="170">
        <v>0.12838410835577349</v>
      </c>
    </row>
    <row r="138" spans="1:26" x14ac:dyDescent="0.2">
      <c r="A138" s="2" t="s">
        <v>317</v>
      </c>
      <c r="B138" s="2" t="s">
        <v>317</v>
      </c>
      <c r="C138" s="87">
        <v>945.48475954198432</v>
      </c>
      <c r="D138" s="87">
        <v>759.31349999999998</v>
      </c>
      <c r="E138" s="36">
        <v>203.441</v>
      </c>
      <c r="F138" s="87">
        <v>242.89300000000003</v>
      </c>
      <c r="G138" s="87">
        <v>247.21700000000001</v>
      </c>
      <c r="H138" s="173">
        <v>3.1261234370689972</v>
      </c>
      <c r="I138" s="173">
        <v>3.0714453294069579</v>
      </c>
      <c r="J138" s="171">
        <f t="shared" si="2"/>
        <v>0.19392354540136958</v>
      </c>
      <c r="K138" s="179">
        <v>1.7802077457975241E-2</v>
      </c>
      <c r="L138" s="87">
        <v>197.1649987182617</v>
      </c>
      <c r="M138" s="176">
        <v>0.8117360266383209</v>
      </c>
      <c r="N138" s="87">
        <v>37.662999999999997</v>
      </c>
      <c r="O138" s="183">
        <v>0.15506004701658752</v>
      </c>
      <c r="P138" s="87">
        <v>91.507999999999996</v>
      </c>
      <c r="Q138" s="183">
        <v>0.37674202220730935</v>
      </c>
      <c r="R138" s="87">
        <v>46.557000000000002</v>
      </c>
      <c r="S138" s="183">
        <v>0.19167699357330181</v>
      </c>
      <c r="T138" s="87">
        <v>40.060203810127</v>
      </c>
      <c r="U138" s="183">
        <v>0.16492942904952795</v>
      </c>
      <c r="V138" s="36" t="s">
        <v>480</v>
      </c>
      <c r="W138" s="36">
        <v>82.822000000000003</v>
      </c>
      <c r="X138" s="173">
        <v>0.34098141980213509</v>
      </c>
      <c r="Y138" s="87">
        <v>15.346821010000001</v>
      </c>
      <c r="Z138" s="170">
        <v>6.3183463541559445E-2</v>
      </c>
    </row>
    <row r="139" spans="1:26" x14ac:dyDescent="0.2">
      <c r="A139" s="2" t="s">
        <v>325</v>
      </c>
      <c r="B139" s="2" t="s">
        <v>325</v>
      </c>
      <c r="C139" s="2">
        <v>512.91153396946549</v>
      </c>
      <c r="D139" s="2">
        <v>599.29819999999995</v>
      </c>
      <c r="E139" s="36">
        <v>192.304</v>
      </c>
      <c r="F139" s="2">
        <v>200.61800000000002</v>
      </c>
      <c r="G139" s="2">
        <v>222.86700000000002</v>
      </c>
      <c r="H139" s="173">
        <v>2.9872603654706951</v>
      </c>
      <c r="I139" s="173">
        <v>2.6890396514513135</v>
      </c>
      <c r="J139" s="171">
        <f t="shared" si="2"/>
        <v>4.3233630085697757E-2</v>
      </c>
      <c r="K139" s="180">
        <v>0.1109023118563639</v>
      </c>
      <c r="L139" s="2">
        <v>143.23199945068359</v>
      </c>
      <c r="M139" s="176">
        <v>0.71395387976494418</v>
      </c>
      <c r="N139" s="2">
        <v>23.119</v>
      </c>
      <c r="O139" s="183">
        <v>0.11523891176265338</v>
      </c>
      <c r="P139" s="2">
        <v>58.994</v>
      </c>
      <c r="Q139" s="183">
        <v>0.29406135042717996</v>
      </c>
      <c r="R139" s="2">
        <v>37.4</v>
      </c>
      <c r="S139" s="183">
        <v>0.18642394999451692</v>
      </c>
      <c r="T139" s="2">
        <v>18.504999999999999</v>
      </c>
      <c r="U139" s="183">
        <v>9.2239978466538378E-2</v>
      </c>
      <c r="V139" s="36">
        <v>-11.802</v>
      </c>
      <c r="W139" s="36">
        <v>78.661000000000001</v>
      </c>
      <c r="X139" s="173">
        <v>0.39209343129729135</v>
      </c>
      <c r="Y139" s="2">
        <v>7.2605520712620004</v>
      </c>
      <c r="Z139" s="170">
        <v>3.6190930381431376E-2</v>
      </c>
    </row>
    <row r="140" spans="1:26" x14ac:dyDescent="0.2">
      <c r="A140" s="2" t="s">
        <v>327</v>
      </c>
      <c r="B140" s="2" t="s">
        <v>327</v>
      </c>
      <c r="C140" s="2">
        <v>2129.6968416030577</v>
      </c>
      <c r="D140" s="2">
        <v>2001.8032000000001</v>
      </c>
      <c r="E140" s="36">
        <v>789.92600000000004</v>
      </c>
      <c r="F140" s="2">
        <v>1528.231</v>
      </c>
      <c r="G140" s="2">
        <v>1645</v>
      </c>
      <c r="H140" s="173">
        <v>1.3098826028264052</v>
      </c>
      <c r="I140" s="173">
        <v>1.2169016413373861</v>
      </c>
      <c r="J140" s="171">
        <f t="shared" si="2"/>
        <v>0.93465084071166149</v>
      </c>
      <c r="K140" s="180">
        <v>7.6407951415721875E-2</v>
      </c>
      <c r="L140" s="2">
        <v>375.46800091552734</v>
      </c>
      <c r="M140" s="176">
        <v>0.24568798886786575</v>
      </c>
      <c r="N140" s="2">
        <v>0</v>
      </c>
      <c r="O140" s="183">
        <v>0</v>
      </c>
      <c r="P140" s="2" t="s">
        <v>480</v>
      </c>
      <c r="Q140" s="183" t="e">
        <v>#VALUE!</v>
      </c>
      <c r="R140" s="2">
        <v>220.95500000000001</v>
      </c>
      <c r="S140" s="183">
        <v>0.14458219994228622</v>
      </c>
      <c r="T140" s="2">
        <v>275.851</v>
      </c>
      <c r="U140" s="183">
        <v>0.18050347100667372</v>
      </c>
      <c r="V140" s="36">
        <v>6.2910000000000075</v>
      </c>
      <c r="W140" s="36">
        <v>39</v>
      </c>
      <c r="X140" s="173">
        <v>2.5519702191618938E-2</v>
      </c>
      <c r="Y140" s="2">
        <v>-52.607639999999996</v>
      </c>
      <c r="Z140" s="170">
        <v>-3.4423879635997433E-2</v>
      </c>
    </row>
    <row r="141" spans="1:26" x14ac:dyDescent="0.2">
      <c r="A141" s="2" t="s">
        <v>329</v>
      </c>
      <c r="B141" s="2" t="s">
        <v>329</v>
      </c>
      <c r="C141" s="87">
        <v>878.50957692307713</v>
      </c>
      <c r="D141" s="87">
        <v>748.60599999999999</v>
      </c>
      <c r="E141" s="36">
        <v>70.322000000000003</v>
      </c>
      <c r="F141" s="87">
        <v>42.178586942867071</v>
      </c>
      <c r="G141" s="87">
        <v>103.099</v>
      </c>
      <c r="H141" s="173">
        <v>17.748484580908862</v>
      </c>
      <c r="I141" s="173">
        <v>7.2610403592663362</v>
      </c>
      <c r="J141" s="171">
        <f t="shared" si="2"/>
        <v>-0.40020780206952206</v>
      </c>
      <c r="K141" s="179">
        <v>1.4443445708518534</v>
      </c>
      <c r="L141" s="87">
        <v>10.568609400887199</v>
      </c>
      <c r="M141" s="176">
        <v>0.25056812394409728</v>
      </c>
      <c r="N141" s="87">
        <v>10.614831048696628</v>
      </c>
      <c r="O141" s="183">
        <v>0.25166397971261883</v>
      </c>
      <c r="P141" s="87">
        <v>8.8403345824744104</v>
      </c>
      <c r="Q141" s="183">
        <v>0.20959295280444246</v>
      </c>
      <c r="R141" s="87">
        <v>4.8045328849601585</v>
      </c>
      <c r="S141" s="183">
        <v>0.11390928983628897</v>
      </c>
      <c r="T141" s="87">
        <v>-12.381475760643527</v>
      </c>
      <c r="U141" s="183">
        <v>-0.29354885163447586</v>
      </c>
      <c r="V141" s="36" t="s">
        <v>480</v>
      </c>
      <c r="W141" s="36">
        <v>208.161</v>
      </c>
      <c r="X141" s="173">
        <v>4.9352293447375111</v>
      </c>
      <c r="Y141" s="87">
        <v>-13.376278212695807</v>
      </c>
      <c r="Z141" s="170">
        <v>-0.31713433716531614</v>
      </c>
    </row>
    <row r="142" spans="1:26" x14ac:dyDescent="0.2">
      <c r="A142" s="2" t="s">
        <v>331</v>
      </c>
      <c r="B142" s="2" t="s">
        <v>331</v>
      </c>
      <c r="C142" s="87">
        <v>716.49536946564967</v>
      </c>
      <c r="D142" s="87">
        <v>789.97940000000006</v>
      </c>
      <c r="E142" s="36">
        <v>74.766999999999996</v>
      </c>
      <c r="F142" s="87">
        <v>121.47999999999999</v>
      </c>
      <c r="G142" s="87">
        <v>163.429</v>
      </c>
      <c r="H142" s="173">
        <v>6.5029585116891679</v>
      </c>
      <c r="I142" s="173">
        <v>4.8337773589754578</v>
      </c>
      <c r="J142" s="171">
        <f t="shared" si="2"/>
        <v>0.62478098626399348</v>
      </c>
      <c r="K142" s="179">
        <v>0.34531610141587099</v>
      </c>
      <c r="L142" s="87">
        <v>81.369998809814447</v>
      </c>
      <c r="M142" s="176">
        <v>0.66982218315619402</v>
      </c>
      <c r="N142" s="87">
        <v>15.253</v>
      </c>
      <c r="O142" s="183">
        <v>0.12555976292393811</v>
      </c>
      <c r="P142" s="87">
        <v>15.307</v>
      </c>
      <c r="Q142" s="183">
        <v>0.12600428054000659</v>
      </c>
      <c r="R142" s="87">
        <v>23.291</v>
      </c>
      <c r="S142" s="183">
        <v>0.19172703325650314</v>
      </c>
      <c r="T142" s="87">
        <v>25.582999999999998</v>
      </c>
      <c r="U142" s="183">
        <v>0.210594336516299</v>
      </c>
      <c r="V142" s="36">
        <v>5.1309999999999993</v>
      </c>
      <c r="W142" s="36">
        <v>22.326000000000001</v>
      </c>
      <c r="X142" s="173">
        <v>0.18378333882120515</v>
      </c>
      <c r="Y142" s="87">
        <v>-2.0403708767979998</v>
      </c>
      <c r="Z142" s="170">
        <v>-1.6795940704626276E-2</v>
      </c>
    </row>
    <row r="143" spans="1:26" x14ac:dyDescent="0.2">
      <c r="A143" s="2" t="s">
        <v>339</v>
      </c>
      <c r="B143" s="2" t="s">
        <v>339</v>
      </c>
      <c r="C143" s="87">
        <v>506.99824580152659</v>
      </c>
      <c r="D143" s="87">
        <v>471.51530000000002</v>
      </c>
      <c r="E143" s="36">
        <v>106.971</v>
      </c>
      <c r="F143" s="87">
        <v>155.49099999999999</v>
      </c>
      <c r="G143" s="87">
        <v>150.45000000000002</v>
      </c>
      <c r="H143" s="173">
        <v>3.0324282434353118</v>
      </c>
      <c r="I143" s="173">
        <v>3.1340332336324357</v>
      </c>
      <c r="J143" s="171">
        <f t="shared" si="2"/>
        <v>0.45358087706013761</v>
      </c>
      <c r="K143" s="179">
        <v>-3.2419882822799839E-2</v>
      </c>
      <c r="L143" s="87">
        <v>91.647999832153317</v>
      </c>
      <c r="M143" s="176">
        <v>0.58941031848887282</v>
      </c>
      <c r="N143" s="87">
        <v>31.064</v>
      </c>
      <c r="O143" s="183">
        <v>0.19978005157854797</v>
      </c>
      <c r="P143" s="87">
        <v>41.338999999999999</v>
      </c>
      <c r="Q143" s="183">
        <v>0.2658610466200616</v>
      </c>
      <c r="R143" s="87">
        <v>36.280999999999999</v>
      </c>
      <c r="S143" s="183">
        <v>0.23333183271057489</v>
      </c>
      <c r="T143" s="87">
        <v>-12.936999999999999</v>
      </c>
      <c r="U143" s="183">
        <v>-8.3200956968570536E-2</v>
      </c>
      <c r="V143" s="36">
        <v>2.270999999999999</v>
      </c>
      <c r="W143" s="36">
        <v>56.704000000000001</v>
      </c>
      <c r="X143" s="173">
        <v>0.36467705526364874</v>
      </c>
      <c r="Y143" s="87">
        <v>-30.891449999999999</v>
      </c>
      <c r="Z143" s="170">
        <v>-0.19867034104867806</v>
      </c>
    </row>
    <row r="144" spans="1:26" x14ac:dyDescent="0.2">
      <c r="A144" s="2" t="s">
        <v>343</v>
      </c>
      <c r="B144" s="2" t="s">
        <v>343</v>
      </c>
      <c r="C144" s="87">
        <v>358.29672748091576</v>
      </c>
      <c r="D144" s="87">
        <v>343.18979999999999</v>
      </c>
      <c r="E144" s="36">
        <v>163.92599999999999</v>
      </c>
      <c r="F144" s="87">
        <v>181.369</v>
      </c>
      <c r="G144" s="87">
        <v>204.3</v>
      </c>
      <c r="H144" s="173">
        <v>1.8922186261158191</v>
      </c>
      <c r="I144" s="173">
        <v>1.6798325991189427</v>
      </c>
      <c r="J144" s="171">
        <f t="shared" si="2"/>
        <v>0.10640776935934515</v>
      </c>
      <c r="K144" s="179">
        <v>0.12643285236175972</v>
      </c>
      <c r="L144" s="87">
        <v>150.5580012512207</v>
      </c>
      <c r="M144" s="176">
        <v>0.83011981789181555</v>
      </c>
      <c r="N144" s="87">
        <v>75.349999999999994</v>
      </c>
      <c r="O144" s="183">
        <v>0.41545137261604792</v>
      </c>
      <c r="P144" s="87">
        <v>96.477000000000004</v>
      </c>
      <c r="Q144" s="183">
        <v>0.53193765196918985</v>
      </c>
      <c r="R144" s="87">
        <v>28.091000000000001</v>
      </c>
      <c r="S144" s="183">
        <v>0.15488313879439156</v>
      </c>
      <c r="T144" s="87">
        <v>-47.040999999999997</v>
      </c>
      <c r="U144" s="183">
        <v>-0.25936626435609172</v>
      </c>
      <c r="V144" s="36">
        <v>14.708</v>
      </c>
      <c r="W144" s="36">
        <v>85.832999999999998</v>
      </c>
      <c r="X144" s="173">
        <v>0.47325066576978425</v>
      </c>
      <c r="Y144" s="87">
        <v>-51.76737</v>
      </c>
      <c r="Z144" s="170">
        <v>-0.28542567914031614</v>
      </c>
    </row>
    <row r="145" spans="1:26" x14ac:dyDescent="0.2">
      <c r="A145" s="2" t="s">
        <v>345</v>
      </c>
      <c r="B145" s="2" t="s">
        <v>345</v>
      </c>
      <c r="C145" s="87">
        <v>405.41067176470591</v>
      </c>
      <c r="D145" s="87">
        <v>1157.5277000000001</v>
      </c>
      <c r="E145" s="36" t="s">
        <v>480</v>
      </c>
      <c r="F145" s="87">
        <v>108.524</v>
      </c>
      <c r="G145" s="87">
        <v>148.155</v>
      </c>
      <c r="H145" s="173">
        <v>10.66609874313516</v>
      </c>
      <c r="I145" s="173">
        <v>7.8129506260335466</v>
      </c>
      <c r="J145" s="171" t="e">
        <f t="shared" si="2"/>
        <v>#VALUE!</v>
      </c>
      <c r="K145" s="179">
        <v>0.36518189524897715</v>
      </c>
      <c r="L145" s="87">
        <v>63.605000000000004</v>
      </c>
      <c r="M145" s="176">
        <v>0.58609155578489558</v>
      </c>
      <c r="N145" s="87">
        <v>78.260999999999996</v>
      </c>
      <c r="O145" s="183">
        <v>0.72114002432641622</v>
      </c>
      <c r="P145" s="87">
        <v>131.80199999999999</v>
      </c>
      <c r="Q145" s="183">
        <v>1.2144963326084552</v>
      </c>
      <c r="R145" s="87">
        <v>29.323</v>
      </c>
      <c r="S145" s="183">
        <v>0.27019829715086063</v>
      </c>
      <c r="T145" s="87">
        <v>-158.636</v>
      </c>
      <c r="U145" s="183">
        <v>-1.4617596107773396</v>
      </c>
      <c r="V145" s="36" t="s">
        <v>480</v>
      </c>
      <c r="W145" s="36">
        <v>61.971999999999994</v>
      </c>
      <c r="X145" s="173">
        <v>0.5710441929895691</v>
      </c>
      <c r="Y145" s="87">
        <v>-176.56200000000001</v>
      </c>
      <c r="Z145" s="170">
        <v>-1.6269396631159929</v>
      </c>
    </row>
    <row r="146" spans="1:26" x14ac:dyDescent="0.2">
      <c r="A146" s="2" t="s">
        <v>351</v>
      </c>
      <c r="B146" s="2" t="s">
        <v>351</v>
      </c>
      <c r="C146" s="2">
        <v>347.12790305343515</v>
      </c>
      <c r="D146" s="2">
        <v>290.68</v>
      </c>
      <c r="E146" s="36">
        <v>227.297</v>
      </c>
      <c r="F146" s="2">
        <v>231.34999999999997</v>
      </c>
      <c r="G146" s="2">
        <v>233.3</v>
      </c>
      <c r="H146" s="173">
        <v>1.2564512643181329</v>
      </c>
      <c r="I146" s="173">
        <v>1.2459494213459066</v>
      </c>
      <c r="J146" s="171">
        <f t="shared" si="2"/>
        <v>1.7831295617627901E-2</v>
      </c>
      <c r="K146" s="180">
        <v>8.4287875513293642E-3</v>
      </c>
      <c r="L146" s="2">
        <v>179.79799935913087</v>
      </c>
      <c r="M146" s="176">
        <v>0.77716878910365639</v>
      </c>
      <c r="N146" s="2">
        <v>62.991</v>
      </c>
      <c r="O146" s="183">
        <v>0.27227577263885894</v>
      </c>
      <c r="P146" s="2">
        <v>101.36</v>
      </c>
      <c r="Q146" s="183">
        <v>0.43812405446293501</v>
      </c>
      <c r="R146" s="2">
        <v>28.132000000000001</v>
      </c>
      <c r="S146" s="183">
        <v>0.1215993084071753</v>
      </c>
      <c r="T146" s="2">
        <v>-9.2555696202529987</v>
      </c>
      <c r="U146" s="183">
        <v>-4.0006784613153233E-2</v>
      </c>
      <c r="V146" s="36" t="s">
        <v>480</v>
      </c>
      <c r="W146" s="36">
        <v>46.567</v>
      </c>
      <c r="X146" s="173">
        <v>0.20128376918089477</v>
      </c>
      <c r="Y146" s="2">
        <v>-19.502000000000002</v>
      </c>
      <c r="Z146" s="170">
        <v>-8.4296520423600627E-2</v>
      </c>
    </row>
    <row r="147" spans="1:26" x14ac:dyDescent="0.2">
      <c r="A147" s="2" t="s">
        <v>353</v>
      </c>
      <c r="B147" s="2" t="s">
        <v>353</v>
      </c>
      <c r="C147" s="87">
        <v>301.50733015267184</v>
      </c>
      <c r="D147" s="87">
        <v>388.22890000000001</v>
      </c>
      <c r="E147" s="36">
        <v>15.507</v>
      </c>
      <c r="F147" s="87">
        <v>29.199000000000002</v>
      </c>
      <c r="G147" s="87">
        <v>39.658999999999999</v>
      </c>
      <c r="H147" s="173">
        <v>13.295965615260796</v>
      </c>
      <c r="I147" s="173">
        <v>9.7891752187397572</v>
      </c>
      <c r="J147" s="171">
        <f t="shared" si="2"/>
        <v>0.88295608434900386</v>
      </c>
      <c r="K147" s="179">
        <v>0.35823144628240677</v>
      </c>
      <c r="L147" s="87">
        <v>15.933999778747559</v>
      </c>
      <c r="M147" s="176">
        <v>0.54570361240958798</v>
      </c>
      <c r="N147" s="87">
        <v>4.1589999999999998</v>
      </c>
      <c r="O147" s="183">
        <v>0.14243638480769888</v>
      </c>
      <c r="P147" s="87">
        <v>6.1790000000000003</v>
      </c>
      <c r="Q147" s="183">
        <v>0.2116168361930203</v>
      </c>
      <c r="R147" s="87">
        <v>5.5949999999999998</v>
      </c>
      <c r="S147" s="183">
        <v>0.19161615123805609</v>
      </c>
      <c r="T147" s="87">
        <v>0.91400000000000003</v>
      </c>
      <c r="U147" s="183">
        <v>3.130244186444741E-2</v>
      </c>
      <c r="V147" s="36">
        <v>-10.175999999999998</v>
      </c>
      <c r="W147" s="36">
        <v>19.567</v>
      </c>
      <c r="X147" s="173">
        <v>0.67012568923593274</v>
      </c>
      <c r="Y147" s="87">
        <v>-4.5880099999999997</v>
      </c>
      <c r="Z147" s="170">
        <v>-0.15712901126750914</v>
      </c>
    </row>
    <row r="148" spans="1:26" x14ac:dyDescent="0.2">
      <c r="A148" s="2" t="s">
        <v>355</v>
      </c>
      <c r="B148" s="2" t="s">
        <v>355</v>
      </c>
      <c r="C148" s="87">
        <v>364.46064503816802</v>
      </c>
      <c r="D148" s="87">
        <v>374.9058</v>
      </c>
      <c r="E148" s="36">
        <v>201.64599999999999</v>
      </c>
      <c r="F148" s="87">
        <v>271.697</v>
      </c>
      <c r="G148" s="87">
        <v>301</v>
      </c>
      <c r="H148" s="173">
        <v>1.3798672786228776</v>
      </c>
      <c r="I148" s="173">
        <v>1.245534219269103</v>
      </c>
      <c r="J148" s="171">
        <f t="shared" si="2"/>
        <v>0.3473959314838877</v>
      </c>
      <c r="K148" s="179">
        <v>0.10785176133707775</v>
      </c>
      <c r="L148" s="87">
        <v>87.58700073242187</v>
      </c>
      <c r="M148" s="176">
        <v>0.32237014296227734</v>
      </c>
      <c r="N148" s="87">
        <v>6.9419999999999993</v>
      </c>
      <c r="O148" s="183">
        <v>2.5550521352830539E-2</v>
      </c>
      <c r="P148" s="87">
        <v>27.244</v>
      </c>
      <c r="Q148" s="183">
        <v>0.10027346639823038</v>
      </c>
      <c r="R148" s="87">
        <v>22.837</v>
      </c>
      <c r="S148" s="183">
        <v>8.4053191606826727E-2</v>
      </c>
      <c r="T148" s="87">
        <v>41.933999999999997</v>
      </c>
      <c r="U148" s="183">
        <v>0.15434104903624257</v>
      </c>
      <c r="V148" s="36">
        <v>23.638000000000002</v>
      </c>
      <c r="W148" s="36">
        <v>76.075999999999993</v>
      </c>
      <c r="X148" s="173">
        <v>0.28000309167933396</v>
      </c>
      <c r="Y148" s="87">
        <v>18.194142797403998</v>
      </c>
      <c r="Z148" s="170">
        <v>6.6964827721336634E-2</v>
      </c>
    </row>
    <row r="149" spans="1:26" x14ac:dyDescent="0.2">
      <c r="A149" s="2" t="s">
        <v>361</v>
      </c>
      <c r="B149" s="2" t="s">
        <v>361</v>
      </c>
      <c r="C149" s="87">
        <v>279.76813015267163</v>
      </c>
      <c r="D149" s="87">
        <v>328.06920000000002</v>
      </c>
      <c r="E149" s="36">
        <v>120.366</v>
      </c>
      <c r="F149" s="87">
        <v>127.502</v>
      </c>
      <c r="G149" s="87">
        <v>144.80000000000001</v>
      </c>
      <c r="H149" s="173">
        <v>2.5730514031152456</v>
      </c>
      <c r="I149" s="173">
        <v>2.265671270718232</v>
      </c>
      <c r="J149" s="171">
        <f t="shared" si="2"/>
        <v>5.9285844839904921E-2</v>
      </c>
      <c r="K149" s="179">
        <v>0.13566846010258682</v>
      </c>
      <c r="L149" s="87">
        <v>65.636000694274898</v>
      </c>
      <c r="M149" s="176">
        <v>0.51478408726353231</v>
      </c>
      <c r="N149" s="87">
        <v>27.936</v>
      </c>
      <c r="O149" s="183">
        <v>0.21910244545183605</v>
      </c>
      <c r="P149" s="87">
        <v>18.074999999999999</v>
      </c>
      <c r="Q149" s="183">
        <v>0.14176248215714263</v>
      </c>
      <c r="R149" s="87">
        <v>24.027999999999999</v>
      </c>
      <c r="S149" s="183">
        <v>0.18845194585182978</v>
      </c>
      <c r="T149" s="87">
        <v>6.6750000000000007</v>
      </c>
      <c r="U149" s="183">
        <v>5.2352119966745631E-2</v>
      </c>
      <c r="V149" s="36">
        <v>-4.2229999999999999</v>
      </c>
      <c r="W149" s="36">
        <v>39.942999999999998</v>
      </c>
      <c r="X149" s="173">
        <v>0.31327351727816033</v>
      </c>
      <c r="Y149" s="87">
        <v>-5.3883799999999997</v>
      </c>
      <c r="Z149" s="170">
        <v>-4.2261141001709773E-2</v>
      </c>
    </row>
    <row r="150" spans="1:26" x14ac:dyDescent="0.2">
      <c r="A150" s="2" t="s">
        <v>363</v>
      </c>
      <c r="B150" s="2" t="s">
        <v>363</v>
      </c>
      <c r="C150" s="87">
        <v>323.75837213740482</v>
      </c>
      <c r="D150" s="87">
        <v>265.0127</v>
      </c>
      <c r="E150" s="36">
        <v>113.889</v>
      </c>
      <c r="F150" s="87">
        <v>113.21600000000001</v>
      </c>
      <c r="G150" s="87">
        <v>120.10000000000001</v>
      </c>
      <c r="H150" s="173">
        <v>2.3407707391181458</v>
      </c>
      <c r="I150" s="173">
        <v>2.2066003330557868</v>
      </c>
      <c r="J150" s="171">
        <f t="shared" si="2"/>
        <v>-5.9092625275486447E-3</v>
      </c>
      <c r="K150" s="179">
        <v>6.0804126625211952E-2</v>
      </c>
      <c r="L150" s="87">
        <v>61.229999687194827</v>
      </c>
      <c r="M150" s="176">
        <v>0.5408246156655846</v>
      </c>
      <c r="N150" s="87">
        <v>11.876999999999999</v>
      </c>
      <c r="O150" s="183">
        <v>0.1049056670435274</v>
      </c>
      <c r="P150" s="87">
        <v>20.658000000000001</v>
      </c>
      <c r="Q150" s="183">
        <v>0.18246537591859807</v>
      </c>
      <c r="R150" s="87">
        <v>16.056999999999999</v>
      </c>
      <c r="S150" s="183">
        <v>0.14182624364047483</v>
      </c>
      <c r="T150" s="87">
        <v>16.959000000000003</v>
      </c>
      <c r="U150" s="183">
        <v>0.14979331543244773</v>
      </c>
      <c r="V150" s="36">
        <v>8.9260000000000019</v>
      </c>
      <c r="W150" s="36">
        <v>52.793999999999997</v>
      </c>
      <c r="X150" s="173">
        <v>0.46631218202374214</v>
      </c>
      <c r="Y150" s="87">
        <v>9.6010000000000009</v>
      </c>
      <c r="Z150" s="170">
        <v>8.4802501413227815E-2</v>
      </c>
    </row>
    <row r="151" spans="1:26" x14ac:dyDescent="0.2">
      <c r="A151" s="2" t="s">
        <v>365</v>
      </c>
      <c r="B151" s="2" t="s">
        <v>365</v>
      </c>
      <c r="C151" s="2">
        <v>207.48913549618311</v>
      </c>
      <c r="D151" s="2">
        <v>304.52499999999998</v>
      </c>
      <c r="E151" s="36">
        <v>54.494</v>
      </c>
      <c r="F151" s="2">
        <v>72.800999999999988</v>
      </c>
      <c r="G151" s="2">
        <v>86.84</v>
      </c>
      <c r="H151" s="173">
        <v>4.1829782557931896</v>
      </c>
      <c r="I151" s="173">
        <v>3.5067365269461073</v>
      </c>
      <c r="J151" s="171">
        <f t="shared" si="2"/>
        <v>0.33594524167798268</v>
      </c>
      <c r="K151" s="180">
        <v>0.19284075768190023</v>
      </c>
      <c r="L151" s="2">
        <v>62.064999832153319</v>
      </c>
      <c r="M151" s="176">
        <v>0.85252949591562377</v>
      </c>
      <c r="N151" s="2">
        <v>14.01</v>
      </c>
      <c r="O151" s="183">
        <v>0.1924424115053365</v>
      </c>
      <c r="P151" s="2">
        <v>35.893000000000001</v>
      </c>
      <c r="Q151" s="183">
        <v>0.49302894191013868</v>
      </c>
      <c r="R151" s="2">
        <v>5.1959999999999997</v>
      </c>
      <c r="S151" s="183">
        <v>7.137264598013765E-2</v>
      </c>
      <c r="T151" s="2">
        <v>3.6139999999999999</v>
      </c>
      <c r="U151" s="183">
        <v>4.9642175244845543E-2</v>
      </c>
      <c r="V151" s="36">
        <v>6.4489999999999998</v>
      </c>
      <c r="W151" s="36">
        <v>29.087</v>
      </c>
      <c r="X151" s="173">
        <v>0.39954121509319934</v>
      </c>
      <c r="Y151" s="2">
        <v>-1.5870000000000002</v>
      </c>
      <c r="Z151" s="170">
        <v>-2.1799151110561674E-2</v>
      </c>
    </row>
    <row r="152" spans="1:26" x14ac:dyDescent="0.2">
      <c r="A152" s="2" t="s">
        <v>367</v>
      </c>
      <c r="B152" s="2" t="s">
        <v>367</v>
      </c>
      <c r="C152" s="87">
        <v>255.19005076335878</v>
      </c>
      <c r="D152" s="87">
        <v>268.75810000000001</v>
      </c>
      <c r="E152" s="36">
        <v>113.2</v>
      </c>
      <c r="F152" s="87">
        <v>128.30699999999999</v>
      </c>
      <c r="G152" s="87">
        <v>134.50399999999999</v>
      </c>
      <c r="H152" s="173">
        <v>2.094648772085701</v>
      </c>
      <c r="I152" s="173">
        <v>1.9981420626895856</v>
      </c>
      <c r="J152" s="171">
        <f t="shared" si="2"/>
        <v>0.13345406360424014</v>
      </c>
      <c r="K152" s="179">
        <v>4.8298222232614041E-2</v>
      </c>
      <c r="L152" s="87">
        <v>101.39099937438965</v>
      </c>
      <c r="M152" s="176">
        <v>0.79022188481056888</v>
      </c>
      <c r="N152" s="87">
        <v>21.867999999999999</v>
      </c>
      <c r="O152" s="183">
        <v>0.17043497237095404</v>
      </c>
      <c r="P152" s="87">
        <v>63.494999999999997</v>
      </c>
      <c r="Q152" s="183">
        <v>0.49486777806355076</v>
      </c>
      <c r="R152" s="87">
        <v>27.8</v>
      </c>
      <c r="S152" s="183">
        <v>0.21666783573772283</v>
      </c>
      <c r="T152" s="87">
        <v>-4.3410000000000002</v>
      </c>
      <c r="U152" s="183">
        <v>-3.383291636465665E-2</v>
      </c>
      <c r="V152" s="36">
        <v>-1.6390000000000005</v>
      </c>
      <c r="W152" s="36">
        <v>53.421999999999997</v>
      </c>
      <c r="X152" s="173">
        <v>0.41636075974031034</v>
      </c>
      <c r="Y152" s="87">
        <v>-10.436999999999999</v>
      </c>
      <c r="Z152" s="170">
        <v>-8.1343964086137158E-2</v>
      </c>
    </row>
    <row r="153" spans="1:26" x14ac:dyDescent="0.2">
      <c r="A153" s="2" t="s">
        <v>369</v>
      </c>
      <c r="B153" s="2" t="s">
        <v>369</v>
      </c>
      <c r="C153" s="87">
        <v>262.71622022900783</v>
      </c>
      <c r="D153" s="87">
        <v>305.15159999999997</v>
      </c>
      <c r="E153" s="36">
        <v>34.701000000000001</v>
      </c>
      <c r="F153" s="87">
        <v>55.426000000000002</v>
      </c>
      <c r="G153" s="87">
        <v>77.417000000000002</v>
      </c>
      <c r="H153" s="173">
        <v>5.505567784072456</v>
      </c>
      <c r="I153" s="173">
        <v>3.9416613922006789</v>
      </c>
      <c r="J153" s="171">
        <f t="shared" si="2"/>
        <v>0.5972450361661048</v>
      </c>
      <c r="K153" s="179">
        <v>0.39676325190343875</v>
      </c>
      <c r="L153" s="87">
        <v>48.276000267028806</v>
      </c>
      <c r="M153" s="176">
        <v>0.87099917488234413</v>
      </c>
      <c r="N153" s="87">
        <v>10.43</v>
      </c>
      <c r="O153" s="183">
        <v>0.1881788330386461</v>
      </c>
      <c r="P153" s="87">
        <v>14.484</v>
      </c>
      <c r="Q153" s="183">
        <v>0.2613214015083174</v>
      </c>
      <c r="R153" s="87">
        <v>11.31</v>
      </c>
      <c r="S153" s="183">
        <v>0.20405585826146574</v>
      </c>
      <c r="T153" s="87">
        <v>6.4513846153849999</v>
      </c>
      <c r="U153" s="183">
        <v>0.11639635938702053</v>
      </c>
      <c r="V153" s="36">
        <v>4.0730000000000004</v>
      </c>
      <c r="W153" s="36">
        <v>9.0860000000000003</v>
      </c>
      <c r="X153" s="173">
        <v>0.16393028542561253</v>
      </c>
      <c r="Y153" s="87">
        <v>2.9750000000000001</v>
      </c>
      <c r="Z153" s="170">
        <v>5.3675170497600407E-2</v>
      </c>
    </row>
    <row r="154" spans="1:26" x14ac:dyDescent="0.2">
      <c r="A154" s="2" t="s">
        <v>371</v>
      </c>
      <c r="B154" s="2" t="s">
        <v>371</v>
      </c>
      <c r="C154" s="87">
        <v>295.42137824427482</v>
      </c>
      <c r="D154" s="87">
        <v>255.0078</v>
      </c>
      <c r="E154" s="36">
        <v>21.792999999999999</v>
      </c>
      <c r="F154" s="87">
        <v>24.585999999999999</v>
      </c>
      <c r="G154" s="87">
        <v>25.216999999999999</v>
      </c>
      <c r="H154" s="173">
        <v>10.372073537785733</v>
      </c>
      <c r="I154" s="173">
        <v>10.11253519451164</v>
      </c>
      <c r="J154" s="171">
        <f t="shared" si="2"/>
        <v>0.12816041848299911</v>
      </c>
      <c r="K154" s="179">
        <v>2.5665012608801829E-2</v>
      </c>
      <c r="L154" s="87">
        <v>16.067000110626221</v>
      </c>
      <c r="M154" s="176">
        <v>0.6535019975037103</v>
      </c>
      <c r="N154" s="87">
        <v>15.434999999999999</v>
      </c>
      <c r="O154" s="183">
        <v>0.62779630684129173</v>
      </c>
      <c r="P154" s="87">
        <v>16.635999999999999</v>
      </c>
      <c r="Q154" s="183">
        <v>0.67664524526153091</v>
      </c>
      <c r="R154" s="87">
        <v>9.68</v>
      </c>
      <c r="S154" s="183">
        <v>0.39372000325388434</v>
      </c>
      <c r="T154" s="87">
        <v>-27.398</v>
      </c>
      <c r="U154" s="183">
        <v>-1.1143740340030912</v>
      </c>
      <c r="V154" s="36">
        <v>-21.484000000000002</v>
      </c>
      <c r="W154" s="36">
        <v>40.823</v>
      </c>
      <c r="X154" s="173">
        <v>1.6604164971935249</v>
      </c>
      <c r="Y154" s="87">
        <v>-28.759999999999998</v>
      </c>
      <c r="Z154" s="170">
        <v>-1.1697714146262099</v>
      </c>
    </row>
    <row r="155" spans="1:26" x14ac:dyDescent="0.2">
      <c r="A155" s="2" t="s">
        <v>383</v>
      </c>
      <c r="B155" s="2" t="s">
        <v>383</v>
      </c>
      <c r="C155" s="87">
        <v>245.22075152671735</v>
      </c>
      <c r="D155" s="87">
        <v>259.96980000000002</v>
      </c>
      <c r="E155" s="36">
        <v>73.161190000000005</v>
      </c>
      <c r="F155" s="87">
        <v>81.967006999999995</v>
      </c>
      <c r="G155" s="87">
        <v>89.275000000000006</v>
      </c>
      <c r="H155" s="173">
        <v>3.1716395354047759</v>
      </c>
      <c r="I155" s="173">
        <v>2.9120112013441615</v>
      </c>
      <c r="J155" s="171">
        <f t="shared" si="2"/>
        <v>0.12036186125458033</v>
      </c>
      <c r="K155" s="179">
        <v>8.9157738796050046E-2</v>
      </c>
      <c r="L155" s="87">
        <v>44.329346749023436</v>
      </c>
      <c r="M155" s="176">
        <v>0.54081939028252479</v>
      </c>
      <c r="N155" s="87">
        <v>14.941393999999999</v>
      </c>
      <c r="O155" s="183">
        <v>0.18228546517503072</v>
      </c>
      <c r="P155" s="87">
        <v>22.526534999999999</v>
      </c>
      <c r="Q155" s="183">
        <v>0.27482441807348168</v>
      </c>
      <c r="R155" s="87">
        <v>15.263297</v>
      </c>
      <c r="S155" s="183">
        <v>0.18621269165043444</v>
      </c>
      <c r="T155" s="87">
        <v>-4.3256870000000003</v>
      </c>
      <c r="U155" s="183">
        <v>-5.2773514104278572E-2</v>
      </c>
      <c r="V155" s="36">
        <v>3.9441799999999998</v>
      </c>
      <c r="W155" s="36">
        <v>9.3606009999999991</v>
      </c>
      <c r="X155" s="173">
        <v>0.11419961936636286</v>
      </c>
      <c r="Y155" s="87">
        <v>-10.418129</v>
      </c>
      <c r="Z155" s="170">
        <v>-0.12710149340941534</v>
      </c>
    </row>
    <row r="156" spans="1:26" x14ac:dyDescent="0.2">
      <c r="A156" s="2" t="s">
        <v>385</v>
      </c>
      <c r="B156" s="2" t="s">
        <v>385</v>
      </c>
      <c r="C156" s="2">
        <v>243.60307442748098</v>
      </c>
      <c r="D156" s="2">
        <v>205.81890000000001</v>
      </c>
      <c r="E156" s="36">
        <v>88.798507999999998</v>
      </c>
      <c r="F156" s="2">
        <v>93.621832000000012</v>
      </c>
      <c r="G156" s="2">
        <v>97.92</v>
      </c>
      <c r="H156" s="173">
        <v>2.1984070980367059</v>
      </c>
      <c r="I156" s="173">
        <v>2.1019087009803923</v>
      </c>
      <c r="J156" s="171">
        <f t="shared" si="2"/>
        <v>5.4317624345670466E-2</v>
      </c>
      <c r="K156" s="180">
        <v>4.5909889906875501E-2</v>
      </c>
      <c r="L156" s="2">
        <v>79.795185569702141</v>
      </c>
      <c r="M156" s="176">
        <v>0.85231386595492098</v>
      </c>
      <c r="N156" s="2">
        <v>20.054991999999999</v>
      </c>
      <c r="O156" s="183">
        <v>0.21421277037176539</v>
      </c>
      <c r="P156" s="2">
        <v>40.912472999999999</v>
      </c>
      <c r="Q156" s="183">
        <v>0.43699714186323541</v>
      </c>
      <c r="R156" s="2">
        <v>12.358472000000001</v>
      </c>
      <c r="S156" s="183">
        <v>0.13200416757493058</v>
      </c>
      <c r="T156" s="2">
        <v>18.034611999999999</v>
      </c>
      <c r="U156" s="183">
        <v>0.19263254750238168</v>
      </c>
      <c r="V156" s="36">
        <v>11.063756</v>
      </c>
      <c r="W156" s="36">
        <v>33.956987999999996</v>
      </c>
      <c r="X156" s="173">
        <v>0.36270373346251111</v>
      </c>
      <c r="Y156" s="2">
        <v>5.1388267800000005</v>
      </c>
      <c r="Z156" s="170">
        <v>5.4889192725901793E-2</v>
      </c>
    </row>
    <row r="157" spans="1:26" x14ac:dyDescent="0.2">
      <c r="A157" s="2" t="s">
        <v>391</v>
      </c>
      <c r="B157" s="2" t="s">
        <v>391</v>
      </c>
      <c r="C157" s="2">
        <v>78.534462213740412</v>
      </c>
      <c r="D157" s="2">
        <v>117.0865</v>
      </c>
      <c r="E157" s="36">
        <v>90.369</v>
      </c>
      <c r="F157" s="2">
        <v>88.789999999999992</v>
      </c>
      <c r="G157" s="2">
        <v>99.167000000000002</v>
      </c>
      <c r="H157" s="173">
        <v>1.3186901678116907</v>
      </c>
      <c r="I157" s="173">
        <v>1.1807002329403935</v>
      </c>
      <c r="J157" s="171">
        <f t="shared" si="2"/>
        <v>-1.7472805940090159E-2</v>
      </c>
      <c r="K157" s="180">
        <v>0.11687126928708191</v>
      </c>
      <c r="L157" s="2">
        <v>60.490999809265134</v>
      </c>
      <c r="M157" s="176">
        <v>0.68128167371624215</v>
      </c>
      <c r="N157" s="2">
        <v>21.852</v>
      </c>
      <c r="O157" s="183">
        <v>0.24610879603558961</v>
      </c>
      <c r="P157" s="2">
        <v>38.316000000000003</v>
      </c>
      <c r="Q157" s="183">
        <v>0.43153508277959235</v>
      </c>
      <c r="R157" s="2">
        <v>10.696</v>
      </c>
      <c r="S157" s="183">
        <v>0.12046401621804258</v>
      </c>
      <c r="T157" s="2">
        <v>-8.6230000000000011</v>
      </c>
      <c r="U157" s="183">
        <v>-9.7116792431580154E-2</v>
      </c>
      <c r="V157" s="36">
        <v>-1.4709999999999999</v>
      </c>
      <c r="W157" s="36">
        <v>15.341999999999999</v>
      </c>
      <c r="X157" s="173">
        <v>0.17278972857303751</v>
      </c>
      <c r="Y157" s="2">
        <v>-12.355</v>
      </c>
      <c r="Z157" s="170">
        <v>-0.13914855276495103</v>
      </c>
    </row>
    <row r="158" spans="1:26" x14ac:dyDescent="0.2">
      <c r="A158" s="2" t="s">
        <v>393</v>
      </c>
      <c r="B158" s="2" t="s">
        <v>393</v>
      </c>
      <c r="C158" s="2">
        <v>202.29421488549622</v>
      </c>
      <c r="D158" s="2">
        <v>241.44040000000001</v>
      </c>
      <c r="E158" s="36">
        <v>307.2</v>
      </c>
      <c r="F158" s="2">
        <v>267.303</v>
      </c>
      <c r="G158" s="2">
        <v>263</v>
      </c>
      <c r="H158" s="173">
        <v>0.90324612892485312</v>
      </c>
      <c r="I158" s="173">
        <v>0.91802433460076049</v>
      </c>
      <c r="J158" s="171">
        <f t="shared" si="2"/>
        <v>-0.12987304687499998</v>
      </c>
      <c r="K158" s="180">
        <v>-1.6097836537562249E-2</v>
      </c>
      <c r="L158" s="2">
        <v>24.043999839782714</v>
      </c>
      <c r="M158" s="176">
        <v>8.9950355363698553E-2</v>
      </c>
      <c r="N158" s="2">
        <v>0</v>
      </c>
      <c r="O158" s="183">
        <v>0</v>
      </c>
      <c r="P158" s="2" t="s">
        <v>480</v>
      </c>
      <c r="Q158" s="183" t="e">
        <v>#VALUE!</v>
      </c>
      <c r="R158" s="2" t="s">
        <v>480</v>
      </c>
      <c r="S158" s="183" t="e">
        <v>#VALUE!</v>
      </c>
      <c r="T158" s="2">
        <v>2.218</v>
      </c>
      <c r="U158" s="183">
        <v>8.2976996142953875E-3</v>
      </c>
      <c r="V158" s="36">
        <v>-8.641</v>
      </c>
      <c r="W158" s="36">
        <v>1.456</v>
      </c>
      <c r="X158" s="173">
        <v>5.4470020912597309E-3</v>
      </c>
      <c r="Y158" s="2">
        <v>-11.090780000000002</v>
      </c>
      <c r="Z158" s="170">
        <v>-4.149141610831155E-2</v>
      </c>
    </row>
    <row r="159" spans="1:26" x14ac:dyDescent="0.2">
      <c r="A159" s="2" t="s">
        <v>395</v>
      </c>
      <c r="B159" s="2" t="s">
        <v>395</v>
      </c>
      <c r="C159" s="87">
        <v>236.18484389312957</v>
      </c>
      <c r="D159" s="87">
        <v>198.11580000000001</v>
      </c>
      <c r="E159" s="36">
        <v>69.375</v>
      </c>
      <c r="F159" s="87">
        <v>61.307000000000002</v>
      </c>
      <c r="G159" s="87">
        <v>66.075000000000003</v>
      </c>
      <c r="H159" s="173">
        <v>3.2315363661572087</v>
      </c>
      <c r="I159" s="173">
        <v>2.9983473325766177</v>
      </c>
      <c r="J159" s="171">
        <f t="shared" si="2"/>
        <v>-0.11629549549549546</v>
      </c>
      <c r="K159" s="179">
        <v>7.7772521897988778E-2</v>
      </c>
      <c r="L159" s="87">
        <v>38.971000602722171</v>
      </c>
      <c r="M159" s="176">
        <v>0.63566967234935934</v>
      </c>
      <c r="N159" s="87">
        <v>14.710999999999999</v>
      </c>
      <c r="O159" s="183">
        <v>0.23995628557913448</v>
      </c>
      <c r="P159" s="87">
        <v>17.681000000000001</v>
      </c>
      <c r="Q159" s="183">
        <v>0.28840099825468546</v>
      </c>
      <c r="R159" s="87">
        <v>7.5670000000000002</v>
      </c>
      <c r="S159" s="183">
        <v>0.12342799354070498</v>
      </c>
      <c r="T159" s="87">
        <v>1.6520000000000001</v>
      </c>
      <c r="U159" s="183">
        <v>2.6946351966333371E-2</v>
      </c>
      <c r="V159" s="36">
        <v>3.7540000000000004</v>
      </c>
      <c r="W159" s="36">
        <v>11.497999999999999</v>
      </c>
      <c r="X159" s="173">
        <v>0.1875479145937658</v>
      </c>
      <c r="Y159" s="87">
        <v>-1.9897</v>
      </c>
      <c r="Z159" s="170">
        <v>-3.2454695222405273E-2</v>
      </c>
    </row>
    <row r="160" spans="1:26" x14ac:dyDescent="0.2">
      <c r="A160" s="2" t="s">
        <v>397</v>
      </c>
      <c r="B160" s="2" t="s">
        <v>397</v>
      </c>
      <c r="C160" s="87">
        <v>153.57634427480929</v>
      </c>
      <c r="D160" s="87">
        <v>128.17080000000001</v>
      </c>
      <c r="E160" s="36">
        <v>183.346</v>
      </c>
      <c r="F160" s="87">
        <v>106.17999999999999</v>
      </c>
      <c r="G160" s="87">
        <v>222.333</v>
      </c>
      <c r="H160" s="173">
        <v>1.2071086833678661</v>
      </c>
      <c r="I160" s="173">
        <v>0.57648122410978131</v>
      </c>
      <c r="J160" s="171">
        <f t="shared" si="2"/>
        <v>-0.4208763758140347</v>
      </c>
      <c r="K160" s="179">
        <v>1.0939254096816726</v>
      </c>
      <c r="L160" s="87">
        <v>43.949999134063717</v>
      </c>
      <c r="M160" s="176">
        <v>0.41391975074461967</v>
      </c>
      <c r="N160" s="87">
        <v>87.488</v>
      </c>
      <c r="O160" s="183">
        <v>0.82395931437182146</v>
      </c>
      <c r="P160" s="87">
        <v>20.748000000000001</v>
      </c>
      <c r="Q160" s="183">
        <v>0.19540403089093994</v>
      </c>
      <c r="R160" s="87">
        <v>21.562000000000001</v>
      </c>
      <c r="S160" s="183">
        <v>0.20307025805236392</v>
      </c>
      <c r="T160" s="87">
        <v>-82.265000000000001</v>
      </c>
      <c r="U160" s="183">
        <v>-0.77476925974759847</v>
      </c>
      <c r="V160" s="36">
        <v>-7.963000000000001</v>
      </c>
      <c r="W160" s="36">
        <v>17.117000000000001</v>
      </c>
      <c r="X160" s="173">
        <v>0.16120738368807688</v>
      </c>
      <c r="Y160" s="87">
        <v>-86.175290000000004</v>
      </c>
      <c r="Z160" s="170">
        <v>-0.81159625164814475</v>
      </c>
    </row>
    <row r="161" spans="1:26" x14ac:dyDescent="0.2">
      <c r="A161" s="2" t="s">
        <v>399</v>
      </c>
      <c r="B161" s="2" t="s">
        <v>399</v>
      </c>
      <c r="C161" s="87">
        <v>277.91876145038168</v>
      </c>
      <c r="D161" s="87">
        <v>194.5496</v>
      </c>
      <c r="E161" s="36">
        <v>400.25900000000001</v>
      </c>
      <c r="F161" s="87">
        <v>77.324254925706967</v>
      </c>
      <c r="G161" s="87">
        <v>93.373000000000005</v>
      </c>
      <c r="H161" s="173">
        <v>2.5160229501974896</v>
      </c>
      <c r="I161" s="173">
        <v>2.0835744808456407</v>
      </c>
      <c r="J161" s="171">
        <f t="shared" si="2"/>
        <v>-0.80681445032914445</v>
      </c>
      <c r="K161" s="179">
        <v>0.20755124106546718</v>
      </c>
      <c r="L161" s="87">
        <v>65.752319670119391</v>
      </c>
      <c r="M161" s="176">
        <v>0.8503453377377399</v>
      </c>
      <c r="N161" s="87">
        <v>23.226824863907463</v>
      </c>
      <c r="O161" s="183">
        <v>0.30038213606097808</v>
      </c>
      <c r="P161" s="87">
        <v>21.908126817776814</v>
      </c>
      <c r="Q161" s="183">
        <v>0.28332800411495862</v>
      </c>
      <c r="R161" s="87">
        <v>12.618812398265399</v>
      </c>
      <c r="S161" s="183">
        <v>0.16319345605579436</v>
      </c>
      <c r="T161" s="87">
        <v>-10.102160110826825</v>
      </c>
      <c r="U161" s="183">
        <v>-0.13064671777998982</v>
      </c>
      <c r="V161" s="36" t="s">
        <v>480</v>
      </c>
      <c r="W161" s="36">
        <v>524.45399999999995</v>
      </c>
      <c r="X161" s="173">
        <v>6.7825289814159166</v>
      </c>
      <c r="Y161" s="87">
        <v>-21.599914824453627</v>
      </c>
      <c r="Z161" s="170">
        <v>-0.27934203627576876</v>
      </c>
    </row>
    <row r="162" spans="1:26" x14ac:dyDescent="0.2">
      <c r="A162" s="2" t="s">
        <v>401</v>
      </c>
      <c r="B162" s="2" t="s">
        <v>401</v>
      </c>
      <c r="C162" s="87">
        <v>434.35948396946583</v>
      </c>
      <c r="D162" s="87">
        <v>796.41120000000001</v>
      </c>
      <c r="E162" s="36">
        <v>124.65427</v>
      </c>
      <c r="F162" s="87">
        <v>226.47071799999998</v>
      </c>
      <c r="G162" s="87">
        <v>566</v>
      </c>
      <c r="H162" s="173">
        <v>3.5166188681399424</v>
      </c>
      <c r="I162" s="173">
        <v>1.4070869257950531</v>
      </c>
      <c r="J162" s="171">
        <f t="shared" si="2"/>
        <v>0.81679069637967461</v>
      </c>
      <c r="K162" s="179">
        <v>1.4992193472005511</v>
      </c>
      <c r="L162" s="87">
        <v>104.50188414001465</v>
      </c>
      <c r="M162" s="176">
        <v>0.46143662661066259</v>
      </c>
      <c r="N162" s="87">
        <v>0</v>
      </c>
      <c r="O162" s="183">
        <v>0</v>
      </c>
      <c r="P162" s="87" t="s">
        <v>480</v>
      </c>
      <c r="Q162" s="183" t="e">
        <v>#VALUE!</v>
      </c>
      <c r="R162" s="87" t="s">
        <v>480</v>
      </c>
      <c r="S162" s="183" t="e">
        <v>#VALUE!</v>
      </c>
      <c r="T162" s="87">
        <v>45.785221999999997</v>
      </c>
      <c r="U162" s="183">
        <v>0.20216839688740687</v>
      </c>
      <c r="V162" s="36" t="s">
        <v>480</v>
      </c>
      <c r="W162" s="36">
        <v>2.5303879999999999</v>
      </c>
      <c r="X162" s="173">
        <v>1.1173135416120332E-2</v>
      </c>
      <c r="Y162" s="87">
        <v>-20.271996980000001</v>
      </c>
      <c r="Z162" s="170">
        <v>-8.9512662648069161E-2</v>
      </c>
    </row>
    <row r="163" spans="1:26" x14ac:dyDescent="0.2">
      <c r="A163" s="2" t="s">
        <v>403</v>
      </c>
      <c r="B163" s="2" t="s">
        <v>403</v>
      </c>
      <c r="C163" s="2">
        <v>197.95086450381658</v>
      </c>
      <c r="D163" s="2">
        <v>200.29679999999999</v>
      </c>
      <c r="E163" s="36">
        <v>140.84399999999999</v>
      </c>
      <c r="F163" s="2">
        <v>168.36399999999998</v>
      </c>
      <c r="G163" s="2">
        <v>181.1</v>
      </c>
      <c r="H163" s="173">
        <v>1.1896652491031339</v>
      </c>
      <c r="I163" s="173">
        <v>1.1060011043622309</v>
      </c>
      <c r="J163" s="171">
        <f t="shared" si="2"/>
        <v>0.19539348499048581</v>
      </c>
      <c r="K163" s="180">
        <v>7.5645624955453794E-2</v>
      </c>
      <c r="L163" s="2">
        <v>62.756998718261713</v>
      </c>
      <c r="M163" s="176">
        <v>0.37274594757942148</v>
      </c>
      <c r="N163" s="2">
        <v>0</v>
      </c>
      <c r="O163" s="183">
        <v>0</v>
      </c>
      <c r="P163" s="2" t="s">
        <v>480</v>
      </c>
      <c r="Q163" s="183" t="e">
        <v>#VALUE!</v>
      </c>
      <c r="R163" s="2" t="s">
        <v>480</v>
      </c>
      <c r="S163" s="183" t="e">
        <v>#VALUE!</v>
      </c>
      <c r="T163" s="2">
        <v>16.504999999999999</v>
      </c>
      <c r="U163" s="183">
        <v>9.8031645719987653E-2</v>
      </c>
      <c r="V163" s="36">
        <v>-5.2089999999999996</v>
      </c>
      <c r="W163" s="36">
        <v>18.823</v>
      </c>
      <c r="X163" s="173">
        <v>0.1117994345584567</v>
      </c>
      <c r="Y163" s="2">
        <v>2.1417899999999994</v>
      </c>
      <c r="Z163" s="170">
        <v>1.2721187427240977E-2</v>
      </c>
    </row>
    <row r="164" spans="1:26" x14ac:dyDescent="0.2">
      <c r="A164" s="2" t="s">
        <v>405</v>
      </c>
      <c r="B164" s="2" t="s">
        <v>405</v>
      </c>
      <c r="C164" s="2">
        <v>164.54723244274803</v>
      </c>
      <c r="D164" s="2">
        <v>162.81110000000001</v>
      </c>
      <c r="E164" s="36">
        <v>0</v>
      </c>
      <c r="F164" s="2">
        <v>8.5688190662573405</v>
      </c>
      <c r="G164" s="2">
        <v>67.894999999999996</v>
      </c>
      <c r="H164" s="173">
        <v>19.000412862155589</v>
      </c>
      <c r="I164" s="173">
        <v>2.3979836512261583</v>
      </c>
      <c r="J164" s="171" t="e">
        <f t="shared" si="2"/>
        <v>#DIV/0!</v>
      </c>
      <c r="K164" s="180">
        <v>6.923495580313956</v>
      </c>
      <c r="L164" s="2">
        <v>2.4821392877652002</v>
      </c>
      <c r="M164" s="176">
        <v>0.2896711050347035</v>
      </c>
      <c r="N164" s="2">
        <v>0</v>
      </c>
      <c r="O164" s="183">
        <v>0</v>
      </c>
      <c r="P164" s="2" t="s">
        <v>480</v>
      </c>
      <c r="Q164" s="183" t="e">
        <v>#VALUE!</v>
      </c>
      <c r="R164" s="2">
        <v>1.0619080464735536E-2</v>
      </c>
      <c r="S164" s="183">
        <v>1.2392700070598761E-3</v>
      </c>
      <c r="T164" s="2">
        <v>4.4655614782134192</v>
      </c>
      <c r="U164" s="183">
        <v>0.52114082975542064</v>
      </c>
      <c r="V164" s="36" t="s">
        <v>480</v>
      </c>
      <c r="W164" s="36">
        <v>0.28625200000000001</v>
      </c>
      <c r="X164" s="173">
        <v>3.3406236937271239E-2</v>
      </c>
      <c r="Y164" s="2">
        <v>-3.0786477360037656</v>
      </c>
      <c r="Z164" s="170">
        <v>-0.35928495072640704</v>
      </c>
    </row>
    <row r="165" spans="1:26" x14ac:dyDescent="0.2">
      <c r="A165" s="2" t="s">
        <v>407</v>
      </c>
      <c r="B165" s="2" t="s">
        <v>407</v>
      </c>
      <c r="C165" s="2">
        <v>273.83779160305323</v>
      </c>
      <c r="D165" s="2">
        <v>275.41230000000002</v>
      </c>
      <c r="E165" s="36">
        <v>216.499</v>
      </c>
      <c r="F165" s="2">
        <v>274.86399999999998</v>
      </c>
      <c r="G165" s="2">
        <v>293.875</v>
      </c>
      <c r="H165" s="173">
        <v>1.0019948047034171</v>
      </c>
      <c r="I165" s="173">
        <v>0.93717498936622723</v>
      </c>
      <c r="J165" s="171">
        <f t="shared" si="2"/>
        <v>0.26958554081081199</v>
      </c>
      <c r="K165" s="180">
        <v>6.9165114383840764E-2</v>
      </c>
      <c r="L165" s="2">
        <v>116.03600010681151</v>
      </c>
      <c r="M165" s="176">
        <v>0.42215786755199491</v>
      </c>
      <c r="N165" s="2">
        <v>0</v>
      </c>
      <c r="O165" s="183">
        <v>0</v>
      </c>
      <c r="P165" s="2" t="s">
        <v>480</v>
      </c>
      <c r="Q165" s="183" t="e">
        <v>#VALUE!</v>
      </c>
      <c r="R165" s="2" t="s">
        <v>480</v>
      </c>
      <c r="S165" s="183" t="e">
        <v>#VALUE!</v>
      </c>
      <c r="T165" s="2">
        <v>25.126000000000001</v>
      </c>
      <c r="U165" s="183">
        <v>9.1412480353920494E-2</v>
      </c>
      <c r="V165" s="36">
        <v>14.823</v>
      </c>
      <c r="W165" s="36">
        <v>28.419999999999998</v>
      </c>
      <c r="X165" s="173">
        <v>0.10339658885849001</v>
      </c>
      <c r="Y165" s="2">
        <v>2.5753330869909998</v>
      </c>
      <c r="Z165" s="170">
        <v>9.3694812234086673E-3</v>
      </c>
    </row>
    <row r="166" spans="1:26" x14ac:dyDescent="0.2">
      <c r="A166" s="2" t="s">
        <v>409</v>
      </c>
      <c r="B166" s="2" t="s">
        <v>409</v>
      </c>
      <c r="C166" s="87">
        <v>160.31431984732831</v>
      </c>
      <c r="D166" s="87">
        <v>124.41030000000001</v>
      </c>
      <c r="E166" s="36">
        <v>171.0899</v>
      </c>
      <c r="F166" s="87">
        <v>128.101112</v>
      </c>
      <c r="G166" s="87">
        <v>123</v>
      </c>
      <c r="H166" s="173">
        <v>0.97118829069961554</v>
      </c>
      <c r="I166" s="173">
        <v>1.0114658536585366</v>
      </c>
      <c r="J166" s="171">
        <f t="shared" si="2"/>
        <v>-0.25126432360998513</v>
      </c>
      <c r="K166" s="179">
        <v>-3.982098141349466E-2</v>
      </c>
      <c r="L166" s="87">
        <v>72.534188598388667</v>
      </c>
      <c r="M166" s="176">
        <v>0.56622606522251473</v>
      </c>
      <c r="N166" s="87">
        <v>41.944024999999996</v>
      </c>
      <c r="O166" s="183">
        <v>0.32742904682981983</v>
      </c>
      <c r="P166" s="87">
        <v>19.221935999999999</v>
      </c>
      <c r="Q166" s="183">
        <v>0.15005284263262289</v>
      </c>
      <c r="R166" s="87">
        <v>36.027413000000003</v>
      </c>
      <c r="S166" s="183">
        <v>0.28124200045976183</v>
      </c>
      <c r="T166" s="87">
        <v>-23.433501</v>
      </c>
      <c r="U166" s="183">
        <v>-0.18292972351403164</v>
      </c>
      <c r="V166" s="36">
        <v>-57.896322999999995</v>
      </c>
      <c r="W166" s="36">
        <v>110.89174399999999</v>
      </c>
      <c r="X166" s="173">
        <v>0.86565793433549576</v>
      </c>
      <c r="Y166" s="87">
        <v>-50.694046620000002</v>
      </c>
      <c r="Z166" s="170">
        <v>-0.39573463359162725</v>
      </c>
    </row>
    <row r="167" spans="1:26" x14ac:dyDescent="0.2">
      <c r="A167" s="2" t="s">
        <v>411</v>
      </c>
      <c r="B167" s="2" t="s">
        <v>411</v>
      </c>
      <c r="C167" s="2">
        <v>9.2453099236641236</v>
      </c>
      <c r="D167" s="2">
        <v>69.755799999999994</v>
      </c>
      <c r="E167" s="36">
        <v>278.221</v>
      </c>
      <c r="F167" s="2">
        <v>120.13199999999999</v>
      </c>
      <c r="G167" s="2">
        <v>124.5</v>
      </c>
      <c r="H167" s="173">
        <v>0.58065960776479209</v>
      </c>
      <c r="I167" s="173">
        <v>0.56028755020080312</v>
      </c>
      <c r="J167" s="171">
        <f t="shared" si="2"/>
        <v>-0.56821375812753172</v>
      </c>
      <c r="K167" s="180">
        <v>3.6360003995604906E-2</v>
      </c>
      <c r="L167" s="2">
        <v>61.855000404357909</v>
      </c>
      <c r="M167" s="176">
        <v>0.5148919555518755</v>
      </c>
      <c r="N167" s="2">
        <v>47.5</v>
      </c>
      <c r="O167" s="183">
        <v>0.39539839509872476</v>
      </c>
      <c r="P167" s="2">
        <v>51.793999999999997</v>
      </c>
      <c r="Q167" s="183">
        <v>0.43114241001564946</v>
      </c>
      <c r="R167" s="2">
        <v>55.595999999999997</v>
      </c>
      <c r="S167" s="183">
        <v>0.46279092997702526</v>
      </c>
      <c r="T167" s="2">
        <v>-43.578000000000003</v>
      </c>
      <c r="U167" s="183">
        <v>-0.3627509739286785</v>
      </c>
      <c r="V167" s="36">
        <v>-42.018000000000001</v>
      </c>
      <c r="W167" s="36">
        <v>76.641999999999996</v>
      </c>
      <c r="X167" s="173">
        <v>0.63798155362434661</v>
      </c>
      <c r="Y167" s="2">
        <v>-75.318597068339997</v>
      </c>
      <c r="Z167" s="170">
        <v>-0.62696531372440323</v>
      </c>
    </row>
    <row r="168" spans="1:26" x14ac:dyDescent="0.2">
      <c r="A168" s="2" t="s">
        <v>413</v>
      </c>
      <c r="B168" s="2" t="s">
        <v>413</v>
      </c>
      <c r="C168" s="2">
        <v>118.74448740458027</v>
      </c>
      <c r="D168" s="2">
        <v>151.4391</v>
      </c>
      <c r="E168" s="36">
        <v>30.983000000000001</v>
      </c>
      <c r="F168" s="2">
        <v>31.908999999999999</v>
      </c>
      <c r="G168" s="2">
        <v>38.61</v>
      </c>
      <c r="H168" s="173">
        <v>4.7459682221316868</v>
      </c>
      <c r="I168" s="173">
        <v>3.9222766122766122</v>
      </c>
      <c r="J168" s="171">
        <f t="shared" si="2"/>
        <v>2.9887357583190728E-2</v>
      </c>
      <c r="K168" s="180">
        <v>0.21000344730326859</v>
      </c>
      <c r="L168" s="2">
        <v>19.025000007629394</v>
      </c>
      <c r="M168" s="176">
        <v>0.59622677011593583</v>
      </c>
      <c r="N168" s="2">
        <v>9.8249999999999993</v>
      </c>
      <c r="O168" s="183">
        <v>0.30790686013350466</v>
      </c>
      <c r="P168" s="2">
        <v>15.551</v>
      </c>
      <c r="Q168" s="183">
        <v>0.48735466482810497</v>
      </c>
      <c r="R168" s="2">
        <v>7.2859999999999996</v>
      </c>
      <c r="S168" s="183">
        <v>0.2283368328684697</v>
      </c>
      <c r="T168" s="2">
        <v>-12.440999999999999</v>
      </c>
      <c r="U168" s="183">
        <v>-0.38988999968660876</v>
      </c>
      <c r="V168" s="36">
        <v>-13.39</v>
      </c>
      <c r="W168" s="36">
        <v>23.980999999999998</v>
      </c>
      <c r="X168" s="173">
        <v>0.75154345169074555</v>
      </c>
      <c r="Y168" s="2">
        <v>-20.875574530000002</v>
      </c>
      <c r="Z168" s="170">
        <v>-0.65422214829671888</v>
      </c>
    </row>
    <row r="169" spans="1:26" x14ac:dyDescent="0.2">
      <c r="B169" s="1" t="s">
        <v>557</v>
      </c>
      <c r="C169" s="36">
        <v>12637.845713740458</v>
      </c>
      <c r="D169" s="36">
        <v>11763.517900000001</v>
      </c>
      <c r="E169" s="36">
        <v>389.33</v>
      </c>
      <c r="F169" s="36">
        <v>853.57299999999998</v>
      </c>
      <c r="G169" s="36">
        <v>1210.8910000000001</v>
      </c>
      <c r="H169" s="173">
        <v>13.781501875059311</v>
      </c>
      <c r="I169" s="173">
        <v>9.7147620223455284</v>
      </c>
      <c r="J169" s="171">
        <f t="shared" si="2"/>
        <v>1.1924151747874554</v>
      </c>
      <c r="K169" s="171">
        <v>0.41861445945455178</v>
      </c>
      <c r="L169" s="114">
        <v>481.96899993896483</v>
      </c>
      <c r="M169" s="176">
        <v>0.56464883488461426</v>
      </c>
      <c r="N169" s="36">
        <v>135.99699999999999</v>
      </c>
      <c r="O169" s="183">
        <v>0.15932673596751537</v>
      </c>
      <c r="P169" s="36">
        <v>225.69399999999999</v>
      </c>
      <c r="Q169" s="183">
        <v>0.26441089397157597</v>
      </c>
      <c r="R169" s="36">
        <v>67.718999999999994</v>
      </c>
      <c r="S169" s="183">
        <v>7.9335920887844386E-2</v>
      </c>
      <c r="T169" s="36">
        <v>-41.38</v>
      </c>
      <c r="U169" s="183">
        <v>-4.8478571838612518E-2</v>
      </c>
      <c r="V169" s="36">
        <v>-12.155000000000001</v>
      </c>
      <c r="W169" s="36">
        <v>141.67699999999999</v>
      </c>
      <c r="X169" s="173">
        <v>0.16598111702221133</v>
      </c>
      <c r="Y169" s="36">
        <v>-52.222000000000001</v>
      </c>
      <c r="Z169" s="92">
        <v>-6.1180473140551542E-2</v>
      </c>
    </row>
    <row r="170" spans="1:26" x14ac:dyDescent="0.2">
      <c r="B170" s="1" t="s">
        <v>558</v>
      </c>
      <c r="C170" s="36">
        <v>2140.1166530534347</v>
      </c>
      <c r="D170" s="36">
        <v>3220.2809999999999</v>
      </c>
      <c r="E170" s="36">
        <v>65.271000000000001</v>
      </c>
      <c r="F170" s="36">
        <v>192.24099999999999</v>
      </c>
      <c r="G170" s="36">
        <v>271.53800000000001</v>
      </c>
      <c r="H170" s="173">
        <v>16.751270540623491</v>
      </c>
      <c r="I170" s="173">
        <v>11.859411942343245</v>
      </c>
      <c r="J170" s="171">
        <f t="shared" si="2"/>
        <v>1.9452743178440652</v>
      </c>
      <c r="K170" s="171">
        <v>0.41248745064788483</v>
      </c>
      <c r="L170" s="114">
        <v>138.52599877929688</v>
      </c>
      <c r="M170" s="176">
        <v>0.72058509256244452</v>
      </c>
      <c r="N170" s="36">
        <v>62.201999999999998</v>
      </c>
      <c r="O170" s="183">
        <v>0.32356261151367294</v>
      </c>
      <c r="P170" s="36">
        <v>109.95</v>
      </c>
      <c r="Q170" s="183">
        <v>0.57193834821916245</v>
      </c>
      <c r="R170" s="36">
        <v>36.774999999999999</v>
      </c>
      <c r="S170" s="183">
        <v>0.19129634157125691</v>
      </c>
      <c r="T170" s="36">
        <v>-107.69300000000001</v>
      </c>
      <c r="U170" s="183">
        <v>-0.5601978766236132</v>
      </c>
      <c r="V170" s="36">
        <v>-44.982999999999997</v>
      </c>
      <c r="W170" s="36">
        <v>61.901999999999994</v>
      </c>
      <c r="X170" s="173">
        <v>0.32200207031798628</v>
      </c>
      <c r="Y170" s="36">
        <v>-111</v>
      </c>
      <c r="Z170" s="92">
        <v>-0.57740024240406573</v>
      </c>
    </row>
    <row r="171" spans="1:26" x14ac:dyDescent="0.2">
      <c r="B171" s="1" t="s">
        <v>145</v>
      </c>
      <c r="C171" s="36">
        <v>3984.8353490566042</v>
      </c>
      <c r="D171" s="36">
        <v>3799.4987000000001</v>
      </c>
      <c r="E171" s="36">
        <v>80.325000000000003</v>
      </c>
      <c r="F171" s="36">
        <v>190.17399999999998</v>
      </c>
      <c r="G171" s="36">
        <v>258.79000000000002</v>
      </c>
      <c r="H171" s="173">
        <v>19.979064961561519</v>
      </c>
      <c r="I171" s="173">
        <v>14.681783299200124</v>
      </c>
      <c r="J171" s="171">
        <f t="shared" si="2"/>
        <v>1.3675568004979766</v>
      </c>
      <c r="K171" s="171">
        <v>0.36080641938435365</v>
      </c>
      <c r="L171" s="114">
        <v>152.2989994506836</v>
      </c>
      <c r="M171" s="176">
        <v>0.80084028022065901</v>
      </c>
      <c r="N171" s="36">
        <v>39.378999999999998</v>
      </c>
      <c r="O171" s="183">
        <v>0.20706826380051954</v>
      </c>
      <c r="P171" s="36">
        <v>116.40900000000001</v>
      </c>
      <c r="Q171" s="183">
        <v>0.61211837580321193</v>
      </c>
      <c r="R171" s="36">
        <v>31.135000000000002</v>
      </c>
      <c r="S171" s="183">
        <v>0.1637184893834068</v>
      </c>
      <c r="T171" s="36" t="s">
        <v>480</v>
      </c>
      <c r="U171" s="183" t="e">
        <v>#VALUE!</v>
      </c>
      <c r="V171" s="36" t="s">
        <v>480</v>
      </c>
      <c r="W171" s="36">
        <v>135.57900000000001</v>
      </c>
      <c r="X171" s="173">
        <v>0.71292079884737147</v>
      </c>
      <c r="Y171" s="36">
        <v>-29.382999999999999</v>
      </c>
      <c r="Z171" s="92">
        <v>-0.1545058735684163</v>
      </c>
    </row>
    <row r="172" spans="1:26" x14ac:dyDescent="0.2">
      <c r="B172" s="1" t="s">
        <v>559</v>
      </c>
      <c r="C172" s="36">
        <v>4301.4697839694636</v>
      </c>
      <c r="D172" s="36">
        <v>6079.7704000000003</v>
      </c>
      <c r="E172" s="36">
        <v>277.33499999999998</v>
      </c>
      <c r="F172" s="36">
        <v>492.64800000000002</v>
      </c>
      <c r="G172" s="36">
        <v>667.76099999999997</v>
      </c>
      <c r="H172" s="173">
        <v>12.341002906740716</v>
      </c>
      <c r="I172" s="173">
        <v>9.104710218176864</v>
      </c>
      <c r="J172" s="171">
        <f t="shared" si="2"/>
        <v>0.7763643247336256</v>
      </c>
      <c r="K172" s="171">
        <v>0.35545257465776769</v>
      </c>
      <c r="L172" s="114">
        <v>261.8499954833984</v>
      </c>
      <c r="M172" s="176">
        <v>0.5315153933100274</v>
      </c>
      <c r="N172" s="36">
        <v>120.73899999999999</v>
      </c>
      <c r="O172" s="183">
        <v>0.24508168103798247</v>
      </c>
      <c r="P172" s="36">
        <v>100.669</v>
      </c>
      <c r="Q172" s="183">
        <v>0.20434265439015278</v>
      </c>
      <c r="R172" s="36">
        <v>59.619</v>
      </c>
      <c r="S172" s="183">
        <v>0.12101744044429287</v>
      </c>
      <c r="T172" s="36">
        <v>-68.85692307692301</v>
      </c>
      <c r="U172" s="183">
        <v>-0.13976900967206404</v>
      </c>
      <c r="V172" s="36">
        <v>12.943999999999999</v>
      </c>
      <c r="W172" s="36">
        <v>115.286</v>
      </c>
      <c r="X172" s="173">
        <v>0.23401292606485766</v>
      </c>
      <c r="Y172" s="36">
        <v>-90.092929999999996</v>
      </c>
      <c r="Z172" s="92">
        <v>-0.1828748518211786</v>
      </c>
    </row>
    <row r="173" spans="1:26" x14ac:dyDescent="0.2">
      <c r="B173" s="1" t="s">
        <v>561</v>
      </c>
      <c r="C173" s="36">
        <v>1905.4111022900756</v>
      </c>
      <c r="D173" s="36">
        <v>2404.9515999999999</v>
      </c>
      <c r="E173" s="36">
        <v>427.58800000000002</v>
      </c>
      <c r="F173" s="36">
        <v>476.02700000000004</v>
      </c>
      <c r="G173" s="36">
        <v>635.75</v>
      </c>
      <c r="H173" s="173">
        <v>5.0521327571755377</v>
      </c>
      <c r="I173" s="173">
        <v>3.7828574125049155</v>
      </c>
      <c r="J173" s="171">
        <f t="shared" si="2"/>
        <v>0.11328428300139391</v>
      </c>
      <c r="K173" s="171">
        <v>0.33553348864665233</v>
      </c>
      <c r="L173" s="114">
        <v>327.95800305175783</v>
      </c>
      <c r="M173" s="176">
        <v>0.68894832236776027</v>
      </c>
      <c r="N173" s="36">
        <v>27.382999999999999</v>
      </c>
      <c r="O173" s="183">
        <v>5.7524048005680346E-2</v>
      </c>
      <c r="P173" s="36">
        <v>34.103000000000002</v>
      </c>
      <c r="Q173" s="183">
        <v>7.164089431901971E-2</v>
      </c>
      <c r="R173" s="36">
        <v>149.94800000000001</v>
      </c>
      <c r="S173" s="183">
        <v>0.31499893913580529</v>
      </c>
      <c r="T173" s="36">
        <v>100.64099999999999</v>
      </c>
      <c r="U173" s="183">
        <v>0.21141868003285524</v>
      </c>
      <c r="V173" s="36">
        <v>3.2039999999999935</v>
      </c>
      <c r="W173" s="36">
        <v>208.94399999999999</v>
      </c>
      <c r="X173" s="173">
        <v>0.43893308572833045</v>
      </c>
      <c r="Y173" s="36">
        <v>7.2179362649929981</v>
      </c>
      <c r="Z173" s="92">
        <v>1.5162871570295377E-2</v>
      </c>
    </row>
    <row r="174" spans="1:26" x14ac:dyDescent="0.2">
      <c r="B174" s="1" t="s">
        <v>563</v>
      </c>
      <c r="C174" s="36">
        <v>3657.9739293893117</v>
      </c>
      <c r="D174" s="36">
        <v>4154.2816999999995</v>
      </c>
      <c r="E174" s="36">
        <v>290.10300000000001</v>
      </c>
      <c r="F174" s="36">
        <v>513.48300000000006</v>
      </c>
      <c r="G174" s="36">
        <v>674.78300000000002</v>
      </c>
      <c r="H174" s="173">
        <v>8.0903977346864426</v>
      </c>
      <c r="I174" s="173">
        <v>6.1564705986961723</v>
      </c>
      <c r="J174" s="171">
        <f t="shared" si="2"/>
        <v>0.77000237846557962</v>
      </c>
      <c r="K174" s="171">
        <v>0.31412919220305247</v>
      </c>
      <c r="L174" s="114">
        <v>418.44500848388674</v>
      </c>
      <c r="M174" s="176">
        <v>0.81491501857683057</v>
      </c>
      <c r="N174" s="36">
        <v>153.63499999999999</v>
      </c>
      <c r="O174" s="183">
        <v>0.29920172624994396</v>
      </c>
      <c r="P174" s="36">
        <v>204.435</v>
      </c>
      <c r="Q174" s="183">
        <v>0.39813392069455072</v>
      </c>
      <c r="R174" s="36">
        <v>48.186</v>
      </c>
      <c r="S174" s="183">
        <v>9.3841470895823217E-2</v>
      </c>
      <c r="T174" s="36">
        <v>-27.757000000000005</v>
      </c>
      <c r="U174" s="183">
        <v>-5.4056317346436011E-2</v>
      </c>
      <c r="V174" s="36">
        <v>88.836999999999989</v>
      </c>
      <c r="W174" s="36">
        <v>85.22999999999999</v>
      </c>
      <c r="X174" s="173">
        <v>0.16598407347468169</v>
      </c>
      <c r="Y174" s="36">
        <v>-41.129518560316001</v>
      </c>
      <c r="Z174" s="92">
        <v>-8.0099085189414249E-2</v>
      </c>
    </row>
    <row r="175" spans="1:26" x14ac:dyDescent="0.2">
      <c r="B175" s="1" t="s">
        <v>564</v>
      </c>
      <c r="C175" s="36">
        <v>4395.5673660305329</v>
      </c>
      <c r="D175" s="36">
        <v>5590.6315999999997</v>
      </c>
      <c r="E175" s="36">
        <v>85.906999999999996</v>
      </c>
      <c r="F175" s="36">
        <v>324.19499999999999</v>
      </c>
      <c r="G175" s="36">
        <v>424.09399999999999</v>
      </c>
      <c r="H175" s="173">
        <v>17.244657073674794</v>
      </c>
      <c r="I175" s="173">
        <v>13.182529344909383</v>
      </c>
      <c r="J175" s="171">
        <f t="shared" si="2"/>
        <v>2.7737902615619219</v>
      </c>
      <c r="K175" s="171">
        <v>0.30814478940144041</v>
      </c>
      <c r="L175" s="114">
        <v>228.25000210571289</v>
      </c>
      <c r="M175" s="176">
        <v>0.70405158039363003</v>
      </c>
      <c r="N175" s="36">
        <v>70.820999999999998</v>
      </c>
      <c r="O175" s="183">
        <v>0.21845185767824921</v>
      </c>
      <c r="P175" s="36">
        <v>172.97300000000001</v>
      </c>
      <c r="Q175" s="183">
        <v>0.53354616820123701</v>
      </c>
      <c r="R175" s="36">
        <v>51.802999999999997</v>
      </c>
      <c r="S175" s="183">
        <v>0.15978963278273878</v>
      </c>
      <c r="T175" s="36">
        <v>-116.569</v>
      </c>
      <c r="U175" s="183">
        <v>-0.35956445966162343</v>
      </c>
      <c r="V175" s="36">
        <v>-21.870999999999999</v>
      </c>
      <c r="W175" s="36">
        <v>127.949</v>
      </c>
      <c r="X175" s="173">
        <v>0.3946667900491988</v>
      </c>
      <c r="Y175" s="36">
        <v>-123.625</v>
      </c>
      <c r="Z175" s="92">
        <v>-0.3813291383272413</v>
      </c>
    </row>
    <row r="176" spans="1:26" x14ac:dyDescent="0.2">
      <c r="B176" s="1" t="s">
        <v>570</v>
      </c>
      <c r="C176" s="36">
        <v>8256.2242992248084</v>
      </c>
      <c r="D176" s="36">
        <v>6010.1651000000002</v>
      </c>
      <c r="E176" s="36">
        <v>250.48099999999999</v>
      </c>
      <c r="F176" s="36">
        <v>602.31500000000005</v>
      </c>
      <c r="G176" s="36">
        <v>762.5</v>
      </c>
      <c r="H176" s="173">
        <v>9.9784416791877995</v>
      </c>
      <c r="I176" s="173">
        <v>7.882183737704918</v>
      </c>
      <c r="J176" s="171">
        <f t="shared" si="2"/>
        <v>1.4046334851745246</v>
      </c>
      <c r="K176" s="171">
        <v>0.26594888056913724</v>
      </c>
      <c r="L176" s="114">
        <v>444.96900311279296</v>
      </c>
      <c r="M176" s="176">
        <v>0.73876460508669539</v>
      </c>
      <c r="N176" s="36">
        <v>92.427999999999997</v>
      </c>
      <c r="O176" s="183">
        <v>0.15345458771573012</v>
      </c>
      <c r="P176" s="36">
        <v>277.93</v>
      </c>
      <c r="Q176" s="183">
        <v>0.46143629164141686</v>
      </c>
      <c r="R176" s="36">
        <v>81.525999999999996</v>
      </c>
      <c r="S176" s="183">
        <v>0.13535442418003868</v>
      </c>
      <c r="T176" s="36" t="s">
        <v>480</v>
      </c>
      <c r="U176" s="183" t="e">
        <v>#VALUE!</v>
      </c>
      <c r="V176" s="36" t="s">
        <v>480</v>
      </c>
      <c r="W176" s="36">
        <v>256.86700000000002</v>
      </c>
      <c r="X176" s="173">
        <v>0.42646621784282313</v>
      </c>
      <c r="Y176" s="36">
        <v>-328.25799999999998</v>
      </c>
      <c r="Z176" s="92">
        <v>-0.54499389854146074</v>
      </c>
    </row>
    <row r="177" spans="2:26" x14ac:dyDescent="0.2">
      <c r="B177" s="1" t="s">
        <v>577</v>
      </c>
      <c r="C177" s="36">
        <v>996.73771106870151</v>
      </c>
      <c r="D177" s="36">
        <v>1234.2756999999999</v>
      </c>
      <c r="E177" s="36">
        <v>206.98599999999999</v>
      </c>
      <c r="F177" s="36">
        <v>265.089</v>
      </c>
      <c r="G177" s="36">
        <v>329.13800000000003</v>
      </c>
      <c r="H177" s="173">
        <v>4.6560804107299809</v>
      </c>
      <c r="I177" s="173">
        <v>3.750024913562092</v>
      </c>
      <c r="J177" s="171">
        <f t="shared" si="2"/>
        <v>0.28070980646034038</v>
      </c>
      <c r="K177" s="171">
        <v>0.24161319405935378</v>
      </c>
      <c r="L177" s="114">
        <v>189.59500091552735</v>
      </c>
      <c r="M177" s="176">
        <v>0.71521263015639036</v>
      </c>
      <c r="N177" s="36">
        <v>46.16</v>
      </c>
      <c r="O177" s="183">
        <v>0.17413019778263147</v>
      </c>
      <c r="P177" s="36">
        <v>90.921999999999997</v>
      </c>
      <c r="Q177" s="183">
        <v>0.34298669503449786</v>
      </c>
      <c r="R177" s="36">
        <v>43.331000000000003</v>
      </c>
      <c r="S177" s="183">
        <v>0.16345831022788573</v>
      </c>
      <c r="T177" s="36">
        <v>35.430999999999997</v>
      </c>
      <c r="U177" s="183">
        <v>0.1336569982156936</v>
      </c>
      <c r="V177" s="36">
        <v>32.344000000000001</v>
      </c>
      <c r="W177" s="36">
        <v>128.23099999999999</v>
      </c>
      <c r="X177" s="173">
        <v>0.48372810640954544</v>
      </c>
      <c r="Y177" s="36">
        <v>-1.8899511748109996</v>
      </c>
      <c r="Z177" s="92">
        <v>-7.1294967909305918E-3</v>
      </c>
    </row>
    <row r="178" spans="2:26" x14ac:dyDescent="0.2">
      <c r="B178" s="1" t="s">
        <v>587</v>
      </c>
      <c r="C178" s="36">
        <v>22263.979012213749</v>
      </c>
      <c r="D178" s="36">
        <v>28442.0455</v>
      </c>
      <c r="E178" s="36">
        <v>1708.721</v>
      </c>
      <c r="F178" s="36">
        <v>2684.7350000000001</v>
      </c>
      <c r="G178" s="36">
        <v>1858.0640000000001</v>
      </c>
      <c r="H178" s="173">
        <v>10.593986184856233</v>
      </c>
      <c r="I178" s="173">
        <v>15.307355128779202</v>
      </c>
      <c r="J178" s="171">
        <f t="shared" si="2"/>
        <v>0.57119564867523731</v>
      </c>
      <c r="K178" s="171">
        <v>-0.30791530635239606</v>
      </c>
      <c r="L178" s="114">
        <v>1029.4319973144532</v>
      </c>
      <c r="M178" s="176">
        <v>0.38343896038694808</v>
      </c>
      <c r="N178" s="36">
        <v>321.88799999999998</v>
      </c>
      <c r="O178" s="183">
        <v>0.11989563215736375</v>
      </c>
      <c r="P178" s="36">
        <v>253.17</v>
      </c>
      <c r="Q178" s="183">
        <v>9.4299809850879129E-2</v>
      </c>
      <c r="R178" s="36">
        <v>250.553</v>
      </c>
      <c r="S178" s="183">
        <v>9.3325039529041032E-2</v>
      </c>
      <c r="T178" s="36">
        <v>-3.8120000000000012</v>
      </c>
      <c r="U178" s="183">
        <v>-1.4198794294408949E-3</v>
      </c>
      <c r="V178" s="36">
        <v>72.408999999999992</v>
      </c>
      <c r="W178" s="36">
        <v>696.47399999999993</v>
      </c>
      <c r="X178" s="173">
        <v>0.25942001724564989</v>
      </c>
      <c r="Y178" s="36">
        <v>-55.131</v>
      </c>
      <c r="Z178" s="92">
        <v>-2.0534987624476902E-2</v>
      </c>
    </row>
    <row r="179" spans="2:26" x14ac:dyDescent="0.2">
      <c r="B179" s="1" t="s">
        <v>588</v>
      </c>
      <c r="C179" s="36">
        <v>9827.2023347328286</v>
      </c>
      <c r="D179" s="36">
        <v>11492.5267</v>
      </c>
      <c r="E179" s="36">
        <v>409.221</v>
      </c>
      <c r="F179" s="36">
        <v>766.22400000000005</v>
      </c>
      <c r="G179" s="36">
        <v>912.07100000000003</v>
      </c>
      <c r="H179" s="173">
        <v>14.998912459019817</v>
      </c>
      <c r="I179" s="173">
        <v>12.600473756977253</v>
      </c>
      <c r="J179" s="171">
        <f t="shared" si="2"/>
        <v>0.87239657788823166</v>
      </c>
      <c r="K179" s="171">
        <v>0.19034512100899992</v>
      </c>
      <c r="L179" s="114">
        <v>534.71100567626956</v>
      </c>
      <c r="M179" s="176">
        <v>0.69785207155645024</v>
      </c>
      <c r="N179" s="36">
        <v>132.05099999999999</v>
      </c>
      <c r="O179" s="183">
        <v>0.17233994236672301</v>
      </c>
      <c r="P179" s="36">
        <v>130.898</v>
      </c>
      <c r="Q179" s="183">
        <v>0.1708351604752657</v>
      </c>
      <c r="R179" s="36">
        <v>60.390999999999998</v>
      </c>
      <c r="S179" s="183">
        <v>7.8816377456200792E-2</v>
      </c>
      <c r="T179" s="36">
        <v>188.203</v>
      </c>
      <c r="U179" s="183">
        <v>0.24562399507193719</v>
      </c>
      <c r="V179" s="36">
        <v>274.41300000000001</v>
      </c>
      <c r="W179" s="36">
        <v>320.18299999999999</v>
      </c>
      <c r="X179" s="173">
        <v>0.41787127524066064</v>
      </c>
      <c r="Y179" s="36">
        <v>162.85600955123999</v>
      </c>
      <c r="Z179" s="92">
        <v>0.21254360285143767</v>
      </c>
    </row>
    <row r="180" spans="2:26" x14ac:dyDescent="0.2">
      <c r="B180" s="1" t="s">
        <v>590</v>
      </c>
      <c r="C180" s="36">
        <v>4061.1977083969468</v>
      </c>
      <c r="D180" s="36">
        <v>4083.6496999999999</v>
      </c>
      <c r="E180" s="36">
        <v>463.38099999999997</v>
      </c>
      <c r="F180" s="36">
        <v>609.726</v>
      </c>
      <c r="G180" s="36">
        <v>719.86699999999996</v>
      </c>
      <c r="H180" s="173">
        <v>6.6975160973945673</v>
      </c>
      <c r="I180" s="173">
        <v>5.6727835836341995</v>
      </c>
      <c r="J180" s="171">
        <f t="shared" si="2"/>
        <v>0.31582002714828628</v>
      </c>
      <c r="K180" s="171">
        <v>0.1806401563981197</v>
      </c>
      <c r="L180" s="114">
        <v>460.99100408935544</v>
      </c>
      <c r="M180" s="176">
        <v>0.75606256595479848</v>
      </c>
      <c r="N180" s="36">
        <v>138.56399999999999</v>
      </c>
      <c r="O180" s="183">
        <v>0.22725617736491471</v>
      </c>
      <c r="P180" s="36">
        <v>126.273</v>
      </c>
      <c r="Q180" s="183">
        <v>0.2070979423544346</v>
      </c>
      <c r="R180" s="36">
        <v>94.323999999999998</v>
      </c>
      <c r="S180" s="183">
        <v>0.15469899594243972</v>
      </c>
      <c r="T180" s="36">
        <v>82.144000000000005</v>
      </c>
      <c r="U180" s="183">
        <v>0.13472280991789756</v>
      </c>
      <c r="V180" s="36">
        <v>44.370999999999995</v>
      </c>
      <c r="W180" s="36">
        <v>237.32499999999999</v>
      </c>
      <c r="X180" s="173">
        <v>0.38923221250200907</v>
      </c>
      <c r="Y180" s="36">
        <v>48.942264632863001</v>
      </c>
      <c r="Z180" s="92">
        <v>8.0269276089363087E-2</v>
      </c>
    </row>
    <row r="181" spans="2:26" x14ac:dyDescent="0.2">
      <c r="B181" s="1" t="s">
        <v>596</v>
      </c>
      <c r="C181" s="36">
        <v>4370.9025851145016</v>
      </c>
      <c r="D181" s="36">
        <v>3802.556</v>
      </c>
      <c r="E181" s="36">
        <v>2322</v>
      </c>
      <c r="F181" s="36">
        <v>2202</v>
      </c>
      <c r="G181" s="36">
        <v>2153.799</v>
      </c>
      <c r="H181" s="173">
        <v>1.7268646684831972</v>
      </c>
      <c r="I181" s="173">
        <v>1.7655110806533014</v>
      </c>
      <c r="J181" s="171">
        <f t="shared" si="2"/>
        <v>-5.1679586563307491E-2</v>
      </c>
      <c r="K181" s="171">
        <v>-2.1889645776566713E-2</v>
      </c>
      <c r="L181" s="114">
        <v>1035</v>
      </c>
      <c r="M181" s="176">
        <v>0.47002724795640327</v>
      </c>
      <c r="N181" s="36">
        <v>306</v>
      </c>
      <c r="O181" s="183">
        <v>0.13896457765667575</v>
      </c>
      <c r="P181" s="36" t="s">
        <v>480</v>
      </c>
      <c r="Q181" s="183" t="e">
        <v>#VALUE!</v>
      </c>
      <c r="R181" s="36" t="s">
        <v>480</v>
      </c>
      <c r="S181" s="183" t="e">
        <v>#VALUE!</v>
      </c>
      <c r="T181" s="36">
        <v>220</v>
      </c>
      <c r="U181" s="183">
        <v>9.9909173478655772E-2</v>
      </c>
      <c r="V181" s="36">
        <v>169</v>
      </c>
      <c r="W181" s="36">
        <v>1089</v>
      </c>
      <c r="X181" s="173">
        <v>0.49455040871934602</v>
      </c>
      <c r="Y181" s="36">
        <v>70.963692307692</v>
      </c>
      <c r="Z181" s="92">
        <v>3.2226926570250683E-2</v>
      </c>
    </row>
    <row r="182" spans="2:26" x14ac:dyDescent="0.2">
      <c r="B182" s="1" t="s">
        <v>597</v>
      </c>
      <c r="C182" s="36">
        <v>472.80899961832102</v>
      </c>
      <c r="D182" s="36">
        <v>498.00700000000001</v>
      </c>
      <c r="E182" s="36">
        <v>21.366</v>
      </c>
      <c r="F182" s="36">
        <v>45.913776851069429</v>
      </c>
      <c r="G182" s="36">
        <v>104.675</v>
      </c>
      <c r="H182" s="173">
        <v>10.846570118058157</v>
      </c>
      <c r="I182" s="173">
        <v>4.7576498686410318</v>
      </c>
      <c r="J182" s="171">
        <f t="shared" si="2"/>
        <v>1.148917759574531</v>
      </c>
      <c r="K182" s="171">
        <v>1.2798168039962041</v>
      </c>
      <c r="L182" s="114">
        <v>32.362014866124603</v>
      </c>
      <c r="M182" s="176">
        <v>0.70484323193662135</v>
      </c>
      <c r="N182" s="36">
        <v>11.413988746902495</v>
      </c>
      <c r="O182" s="183">
        <v>0.24859616284510996</v>
      </c>
      <c r="P182" s="36">
        <v>8.1589877207270067</v>
      </c>
      <c r="Q182" s="183">
        <v>0.17770238652316328</v>
      </c>
      <c r="R182" s="36">
        <v>9.0291365099026333</v>
      </c>
      <c r="S182" s="183">
        <v>0.19665418811417876</v>
      </c>
      <c r="T182" s="36">
        <v>12.963605572070199</v>
      </c>
      <c r="U182" s="183">
        <v>0.28234674777725782</v>
      </c>
      <c r="V182" s="36">
        <v>5.6319999999999997</v>
      </c>
      <c r="W182" s="36">
        <v>24.123999999999999</v>
      </c>
      <c r="X182" s="173">
        <v>0.5254196377320699</v>
      </c>
      <c r="Y182" s="36">
        <v>5.1382688847482347</v>
      </c>
      <c r="Z182" s="92">
        <v>0.111911265793168</v>
      </c>
    </row>
    <row r="183" spans="2:26" x14ac:dyDescent="0.2">
      <c r="B183" s="1" t="s">
        <v>598</v>
      </c>
      <c r="C183" s="36">
        <v>11947.250473282436</v>
      </c>
      <c r="D183" s="36">
        <v>11310.248799999999</v>
      </c>
      <c r="E183" s="36">
        <v>1413.6980000000001</v>
      </c>
      <c r="F183" s="36">
        <v>1762.6579999999999</v>
      </c>
      <c r="G183" s="36">
        <v>3002.8670000000002</v>
      </c>
      <c r="H183" s="173">
        <v>6.4165872222518496</v>
      </c>
      <c r="I183" s="173">
        <v>3.766483430668091</v>
      </c>
      <c r="J183" s="171">
        <f t="shared" si="2"/>
        <v>0.24684197049157583</v>
      </c>
      <c r="K183" s="171">
        <v>0.70360160621062073</v>
      </c>
      <c r="L183" s="114">
        <v>927.55099047851559</v>
      </c>
      <c r="M183" s="176">
        <v>0.52622289206330197</v>
      </c>
      <c r="N183" s="36">
        <v>196.37299999999999</v>
      </c>
      <c r="O183" s="183">
        <v>0.11140731781207699</v>
      </c>
      <c r="P183" s="36">
        <v>256.09199999999998</v>
      </c>
      <c r="Q183" s="183">
        <v>0.14528740118616318</v>
      </c>
      <c r="R183" s="36">
        <v>247.828</v>
      </c>
      <c r="S183" s="183">
        <v>0.14059902715104122</v>
      </c>
      <c r="T183" s="36">
        <v>287.15600000000006</v>
      </c>
      <c r="U183" s="183">
        <v>0.16291078586997595</v>
      </c>
      <c r="V183" s="36">
        <v>128.85899999999998</v>
      </c>
      <c r="W183" s="36">
        <v>808.97299999999996</v>
      </c>
      <c r="X183" s="173">
        <v>0.45895063024137411</v>
      </c>
      <c r="Y183" s="36">
        <v>192.85892999999999</v>
      </c>
      <c r="Z183" s="92">
        <v>0.10941369794934695</v>
      </c>
    </row>
    <row r="184" spans="2:26" x14ac:dyDescent="0.2">
      <c r="B184" s="1" t="s">
        <v>599</v>
      </c>
      <c r="C184" s="36">
        <v>3079.3864778625993</v>
      </c>
      <c r="D184" s="36">
        <v>5116.1342000000004</v>
      </c>
      <c r="E184" s="36">
        <v>201.49100000000001</v>
      </c>
      <c r="F184" s="36">
        <v>662.16275290332658</v>
      </c>
      <c r="G184" s="36">
        <v>964.04100000000005</v>
      </c>
      <c r="H184" s="173">
        <v>7.7263998579922211</v>
      </c>
      <c r="I184" s="173">
        <v>5.3069674422560871</v>
      </c>
      <c r="J184" s="171">
        <f t="shared" si="2"/>
        <v>2.2863142914736962</v>
      </c>
      <c r="K184" s="171">
        <v>0.4558973541973701</v>
      </c>
      <c r="L184" s="114">
        <v>462.07363936766961</v>
      </c>
      <c r="M184" s="176">
        <v>0.69782487363062351</v>
      </c>
      <c r="N184" s="36">
        <v>154.31598291557478</v>
      </c>
      <c r="O184" s="183">
        <v>0.23304841934850473</v>
      </c>
      <c r="P184" s="36">
        <v>169.76960474098371</v>
      </c>
      <c r="Q184" s="183">
        <v>0.2563865212843971</v>
      </c>
      <c r="R184" s="36">
        <v>72.929738302088708</v>
      </c>
      <c r="S184" s="183">
        <v>0.11013869019711563</v>
      </c>
      <c r="T184" s="36">
        <v>163.30981038419148</v>
      </c>
      <c r="U184" s="183">
        <v>0.24663092218361932</v>
      </c>
      <c r="V184" s="36">
        <v>65.210999999999999</v>
      </c>
      <c r="W184" s="36">
        <v>105.649</v>
      </c>
      <c r="X184" s="173">
        <v>0.15955140867825948</v>
      </c>
      <c r="Y184" s="36">
        <v>77.683937329779184</v>
      </c>
      <c r="Z184" s="92">
        <v>0.11731849456823912</v>
      </c>
    </row>
    <row r="185" spans="2:26" x14ac:dyDescent="0.2">
      <c r="B185" s="1" t="s">
        <v>600</v>
      </c>
      <c r="C185" s="36">
        <v>1337.4035152671756</v>
      </c>
      <c r="D185" s="36">
        <v>1670.4738</v>
      </c>
      <c r="E185" s="36">
        <v>254.18799999999999</v>
      </c>
      <c r="F185" s="36">
        <v>505.65300000000002</v>
      </c>
      <c r="G185" s="36">
        <v>700.99199999999996</v>
      </c>
      <c r="H185" s="173">
        <v>3.3035971308387371</v>
      </c>
      <c r="I185" s="173">
        <v>2.3830140714872639</v>
      </c>
      <c r="J185" s="171">
        <f t="shared" si="2"/>
        <v>0.98928745652823913</v>
      </c>
      <c r="K185" s="171">
        <v>0.38631037490136499</v>
      </c>
      <c r="L185" s="114">
        <v>233.04500000000002</v>
      </c>
      <c r="M185" s="176">
        <v>0.46087929864946914</v>
      </c>
      <c r="N185" s="36">
        <v>17.2</v>
      </c>
      <c r="O185" s="183">
        <v>3.4015421642905309E-2</v>
      </c>
      <c r="P185" s="36" t="s">
        <v>480</v>
      </c>
      <c r="Q185" s="183" t="e">
        <v>#VALUE!</v>
      </c>
      <c r="R185" s="36" t="s">
        <v>480</v>
      </c>
      <c r="S185" s="183" t="e">
        <v>#VALUE!</v>
      </c>
      <c r="T185" s="36">
        <v>12.508000000000003</v>
      </c>
      <c r="U185" s="183">
        <v>2.4736331041247658E-2</v>
      </c>
      <c r="V185" s="36">
        <v>-25.263999999999992</v>
      </c>
      <c r="W185" s="36">
        <v>238.43299999999999</v>
      </c>
      <c r="X185" s="173">
        <v>0.47153482724318846</v>
      </c>
      <c r="Y185" s="36">
        <v>-25.145819318402001</v>
      </c>
      <c r="Z185" s="92">
        <v>-4.9729398062311504E-2</v>
      </c>
    </row>
    <row r="186" spans="2:26" x14ac:dyDescent="0.2">
      <c r="B186" s="1" t="s">
        <v>601</v>
      </c>
      <c r="C186" s="36">
        <v>1036.1507751908405</v>
      </c>
      <c r="D186" s="36">
        <v>1375.1850999999999</v>
      </c>
      <c r="E186" s="36">
        <v>9.6440000000000001</v>
      </c>
      <c r="F186" s="36">
        <v>50.944830456625908</v>
      </c>
      <c r="G186" s="36">
        <v>68.814000000000007</v>
      </c>
      <c r="H186" s="173">
        <v>26.993614222954839</v>
      </c>
      <c r="I186" s="173">
        <v>19.984088993518757</v>
      </c>
      <c r="J186" s="171">
        <f t="shared" si="2"/>
        <v>4.2825415239139266</v>
      </c>
      <c r="K186" s="171">
        <v>0.35075530496833807</v>
      </c>
      <c r="L186" s="114">
        <v>50.927435366140706</v>
      </c>
      <c r="M186" s="176">
        <v>0.99965855042937057</v>
      </c>
      <c r="N186" s="36">
        <v>0</v>
      </c>
      <c r="O186" s="183">
        <v>0</v>
      </c>
      <c r="P186" s="36" t="s">
        <v>480</v>
      </c>
      <c r="Q186" s="183" t="e">
        <v>#VALUE!</v>
      </c>
      <c r="R186" s="36" t="s">
        <v>480</v>
      </c>
      <c r="S186" s="183" t="e">
        <v>#VALUE!</v>
      </c>
      <c r="T186" s="36">
        <v>-15.660510996069489</v>
      </c>
      <c r="U186" s="183">
        <v>-0.30740137626726904</v>
      </c>
      <c r="V186" s="36">
        <v>4.6070000000000002</v>
      </c>
      <c r="W186" s="36">
        <v>16.331</v>
      </c>
      <c r="X186" s="173">
        <v>0.32056245655590326</v>
      </c>
      <c r="Y186" s="36">
        <v>-16.377704596026192</v>
      </c>
      <c r="Z186" s="92">
        <v>-0.32147922466775231</v>
      </c>
    </row>
    <row r="187" spans="2:26" x14ac:dyDescent="0.2">
      <c r="B187" s="1" t="s">
        <v>602</v>
      </c>
      <c r="C187" s="36">
        <v>9401.1720652671756</v>
      </c>
      <c r="D187" s="36">
        <v>11136.6034</v>
      </c>
      <c r="E187" s="36">
        <v>1393.9970000000001</v>
      </c>
      <c r="F187" s="36">
        <v>2027.4701488016447</v>
      </c>
      <c r="G187" s="36">
        <v>2646.6010000000001</v>
      </c>
      <c r="H187" s="173">
        <v>5.4928569017809679</v>
      </c>
      <c r="I187" s="173">
        <v>4.2078890622349192</v>
      </c>
      <c r="J187" s="171">
        <f t="shared" si="2"/>
        <v>0.45442934870135626</v>
      </c>
      <c r="K187" s="171">
        <v>0.30537113040322628</v>
      </c>
      <c r="L187" s="114">
        <v>1679.9929314420062</v>
      </c>
      <c r="M187" s="176">
        <v>0.82861537193777279</v>
      </c>
      <c r="N187" s="36">
        <v>808.46222965286324</v>
      </c>
      <c r="O187" s="183">
        <v>0.39875419627298209</v>
      </c>
      <c r="P187" s="36">
        <v>397.17667897950406</v>
      </c>
      <c r="Q187" s="183">
        <v>0.19589767041169956</v>
      </c>
      <c r="R187" s="36">
        <v>169.33572698676082</v>
      </c>
      <c r="S187" s="183">
        <v>8.3520700458573113E-2</v>
      </c>
      <c r="T187" s="36">
        <v>942.26823079258611</v>
      </c>
      <c r="U187" s="183">
        <v>0.46475072954811325</v>
      </c>
      <c r="V187" s="36">
        <v>809.69499999999994</v>
      </c>
      <c r="W187" s="36">
        <v>746.93899999999996</v>
      </c>
      <c r="X187" s="173">
        <v>0.36840936989453843</v>
      </c>
      <c r="Y187" s="36">
        <v>205.69174478129477</v>
      </c>
      <c r="Z187" s="92">
        <v>0.10145241590998064</v>
      </c>
    </row>
    <row r="188" spans="2:26" x14ac:dyDescent="0.2">
      <c r="B188" s="1" t="s">
        <v>603</v>
      </c>
      <c r="C188" s="36">
        <v>1001.0062610687027</v>
      </c>
      <c r="D188" s="36">
        <v>1498.6233999999999</v>
      </c>
      <c r="E188" s="36">
        <v>94.061999999999998</v>
      </c>
      <c r="F188" s="36">
        <v>169.74299999999999</v>
      </c>
      <c r="G188" s="36">
        <v>217.958</v>
      </c>
      <c r="H188" s="173">
        <v>8.8287788008931152</v>
      </c>
      <c r="I188" s="173">
        <v>6.8757439506693947</v>
      </c>
      <c r="J188" s="171">
        <f t="shared" si="2"/>
        <v>0.8045863366715571</v>
      </c>
      <c r="K188" s="171">
        <v>0.2840470593780009</v>
      </c>
      <c r="L188" s="114">
        <v>52.637000358581545</v>
      </c>
      <c r="M188" s="176">
        <v>0.3100982094023409</v>
      </c>
      <c r="N188" s="36">
        <v>5.6280000000000001</v>
      </c>
      <c r="O188" s="183">
        <v>3.3156006433254982E-2</v>
      </c>
      <c r="P188" s="36">
        <v>5.5419999999999998</v>
      </c>
      <c r="Q188" s="183">
        <v>3.2649358147316829E-2</v>
      </c>
      <c r="R188" s="36">
        <v>21.181000000000001</v>
      </c>
      <c r="S188" s="183">
        <v>0.12478275981925618</v>
      </c>
      <c r="T188" s="36">
        <v>17.134</v>
      </c>
      <c r="U188" s="183">
        <v>0.10094083408446888</v>
      </c>
      <c r="V188" s="36">
        <v>7.0270000000000001</v>
      </c>
      <c r="W188" s="36">
        <v>10.43</v>
      </c>
      <c r="X188" s="173">
        <v>6.1445832817848156E-2</v>
      </c>
      <c r="Y188" s="36">
        <v>8.8915167711629994</v>
      </c>
      <c r="Z188" s="92">
        <v>5.2382229436047437E-2</v>
      </c>
    </row>
    <row r="189" spans="2:26" x14ac:dyDescent="0.2">
      <c r="B189" s="1" t="s">
        <v>604</v>
      </c>
      <c r="C189" s="36">
        <v>649.31153740458001</v>
      </c>
      <c r="D189" s="36">
        <v>751.91750000000002</v>
      </c>
      <c r="E189" s="36">
        <v>200.58099999999999</v>
      </c>
      <c r="F189" s="36">
        <v>332.99599999999998</v>
      </c>
      <c r="G189" s="36">
        <v>392.42</v>
      </c>
      <c r="H189" s="173">
        <v>2.2580376340856949</v>
      </c>
      <c r="I189" s="173">
        <v>1.9161039192701697</v>
      </c>
      <c r="J189" s="171">
        <f t="shared" si="2"/>
        <v>0.66015724320847935</v>
      </c>
      <c r="K189" s="171">
        <v>0.17845259402515357</v>
      </c>
      <c r="L189" s="114">
        <v>180.10199858093262</v>
      </c>
      <c r="M189" s="176">
        <v>0.54085333932219193</v>
      </c>
      <c r="N189" s="36">
        <v>92.42</v>
      </c>
      <c r="O189" s="183">
        <v>0.27754087136181815</v>
      </c>
      <c r="P189" s="36">
        <v>104.35599999999999</v>
      </c>
      <c r="Q189" s="183">
        <v>0.31338514576751675</v>
      </c>
      <c r="R189" s="36">
        <v>34.424999999999997</v>
      </c>
      <c r="S189" s="183">
        <v>0.10337962017561772</v>
      </c>
      <c r="T189" s="36">
        <v>-42.642000000000003</v>
      </c>
      <c r="U189" s="183">
        <v>-0.1280555922593665</v>
      </c>
      <c r="V189" s="36" t="s">
        <v>480</v>
      </c>
      <c r="W189" s="36">
        <v>63.763999999999996</v>
      </c>
      <c r="X189" s="173">
        <v>0.19148578361301638</v>
      </c>
      <c r="Y189" s="36">
        <v>-26.043469999999999</v>
      </c>
      <c r="Z189" s="92">
        <v>-7.820955807276965E-2</v>
      </c>
    </row>
    <row r="190" spans="2:26" x14ac:dyDescent="0.2">
      <c r="B190" s="1" t="s">
        <v>605</v>
      </c>
      <c r="C190" s="36">
        <v>501.64323549618291</v>
      </c>
      <c r="D190" s="36">
        <v>877.18060000000003</v>
      </c>
      <c r="E190" s="36">
        <v>49.845999999999997</v>
      </c>
      <c r="F190" s="36">
        <v>67.067000000000007</v>
      </c>
      <c r="G190" s="36">
        <v>79</v>
      </c>
      <c r="H190" s="173">
        <v>13.079168592601427</v>
      </c>
      <c r="I190" s="173">
        <v>11.103551898734178</v>
      </c>
      <c r="J190" s="171">
        <f t="shared" si="2"/>
        <v>0.3454840910002811</v>
      </c>
      <c r="K190" s="171">
        <v>0.1779265510608794</v>
      </c>
      <c r="L190" s="114">
        <v>63.660000076293947</v>
      </c>
      <c r="M190" s="176">
        <v>0.94920005481524361</v>
      </c>
      <c r="N190" s="36">
        <v>13.173999999999999</v>
      </c>
      <c r="O190" s="183">
        <v>0.19643043523640535</v>
      </c>
      <c r="P190" s="36">
        <v>8.2569999999999997</v>
      </c>
      <c r="Q190" s="183">
        <v>0.12311569027986936</v>
      </c>
      <c r="R190" s="36">
        <v>8.7360000000000007</v>
      </c>
      <c r="S190" s="183">
        <v>0.13025780189959293</v>
      </c>
      <c r="T190" s="36">
        <v>20.859000000000002</v>
      </c>
      <c r="U190" s="183">
        <v>0.31101734086808713</v>
      </c>
      <c r="V190" s="36">
        <v>29.554000000000002</v>
      </c>
      <c r="W190" s="36">
        <v>52.832999999999998</v>
      </c>
      <c r="X190" s="173">
        <v>0.78776447433163843</v>
      </c>
      <c r="Y190" s="36">
        <v>15.805099999999999</v>
      </c>
      <c r="Z190" s="92">
        <v>0.23566135357180129</v>
      </c>
    </row>
    <row r="191" spans="2:26" x14ac:dyDescent="0.2">
      <c r="B191" s="1" t="s">
        <v>606</v>
      </c>
      <c r="C191" s="36">
        <v>4369.4269202290052</v>
      </c>
      <c r="D191" s="36">
        <v>4269.3923999999997</v>
      </c>
      <c r="E191" s="36">
        <v>1549.8989999999999</v>
      </c>
      <c r="F191" s="36">
        <v>2006.2450000000001</v>
      </c>
      <c r="G191" s="36">
        <v>2239.0819999999999</v>
      </c>
      <c r="H191" s="173">
        <v>2.1280513596295565</v>
      </c>
      <c r="I191" s="173">
        <v>1.9067601811813948</v>
      </c>
      <c r="J191" s="171">
        <f t="shared" si="2"/>
        <v>0.29443596002062089</v>
      </c>
      <c r="K191" s="171">
        <v>0.11605611478159439</v>
      </c>
      <c r="L191" s="114">
        <v>861.35701245117184</v>
      </c>
      <c r="M191" s="176">
        <v>0.4293378986370916</v>
      </c>
      <c r="N191" s="36">
        <v>220.21899999999999</v>
      </c>
      <c r="O191" s="183">
        <v>0.10976675331278084</v>
      </c>
      <c r="P191" s="36" t="s">
        <v>480</v>
      </c>
      <c r="Q191" s="183" t="e">
        <v>#VALUE!</v>
      </c>
      <c r="R191" s="36" t="s">
        <v>480</v>
      </c>
      <c r="S191" s="183" t="e">
        <v>#VALUE!</v>
      </c>
      <c r="T191" s="36">
        <v>376.78800000000001</v>
      </c>
      <c r="U191" s="183">
        <v>0.18780757085998967</v>
      </c>
      <c r="V191" s="36">
        <v>154.95600000000002</v>
      </c>
      <c r="W191" s="36">
        <v>155.839</v>
      </c>
      <c r="X191" s="173">
        <v>7.7676953712034175E-2</v>
      </c>
      <c r="Y191" s="36">
        <v>-22.321651615104003</v>
      </c>
      <c r="Z191" s="92">
        <v>-1.112608460836239E-2</v>
      </c>
    </row>
    <row r="192" spans="2:26" x14ac:dyDescent="0.2">
      <c r="B192" s="1" t="s">
        <v>607</v>
      </c>
      <c r="C192" s="36">
        <v>33500.158397328261</v>
      </c>
      <c r="D192" s="36">
        <v>25857.610499999999</v>
      </c>
      <c r="E192" s="36">
        <v>4396</v>
      </c>
      <c r="F192" s="36">
        <v>4838</v>
      </c>
      <c r="G192" s="36">
        <v>5394.9750000000004</v>
      </c>
      <c r="H192" s="173">
        <v>5.3446900578751544</v>
      </c>
      <c r="I192" s="173">
        <v>4.7929064546174907</v>
      </c>
      <c r="J192" s="171">
        <f t="shared" si="2"/>
        <v>0.1005459508644222</v>
      </c>
      <c r="K192" s="171">
        <v>0.11512505167424569</v>
      </c>
      <c r="L192" s="114">
        <v>3503</v>
      </c>
      <c r="M192" s="176">
        <v>0.72405952873088053</v>
      </c>
      <c r="N192" s="36">
        <v>1320</v>
      </c>
      <c r="O192" s="183">
        <v>0.27284001653575857</v>
      </c>
      <c r="P192" s="36">
        <v>641</v>
      </c>
      <c r="Q192" s="183">
        <v>0.13249276560562215</v>
      </c>
      <c r="R192" s="36">
        <v>469</v>
      </c>
      <c r="S192" s="183">
        <v>9.6940884663083912E-2</v>
      </c>
      <c r="T192" s="36">
        <v>1151</v>
      </c>
      <c r="U192" s="183">
        <v>0.23790822653989252</v>
      </c>
      <c r="V192" s="36">
        <v>1351</v>
      </c>
      <c r="W192" s="36">
        <v>4258</v>
      </c>
      <c r="X192" s="173">
        <v>0.88011575031004552</v>
      </c>
      <c r="Y192" s="36">
        <v>881.07999999999993</v>
      </c>
      <c r="Z192" s="92">
        <v>0.18211657709797435</v>
      </c>
    </row>
    <row r="193" spans="2:26" x14ac:dyDescent="0.2">
      <c r="B193" s="1" t="s">
        <v>608</v>
      </c>
      <c r="C193" s="36">
        <v>2764.2693744274807</v>
      </c>
      <c r="D193" s="36">
        <v>2858.7084</v>
      </c>
      <c r="E193" s="36">
        <v>741.42</v>
      </c>
      <c r="F193" s="36">
        <v>883.15200000000004</v>
      </c>
      <c r="G193" s="36">
        <v>981.11099999999999</v>
      </c>
      <c r="H193" s="173">
        <v>3.2369381488124351</v>
      </c>
      <c r="I193" s="173">
        <v>2.9137461510471292</v>
      </c>
      <c r="J193" s="171">
        <f t="shared" si="2"/>
        <v>0.19116290361738297</v>
      </c>
      <c r="K193" s="171">
        <v>0.11091975107342789</v>
      </c>
      <c r="L193" s="114">
        <v>610.00600537109381</v>
      </c>
      <c r="M193" s="176">
        <v>0.69071462825322683</v>
      </c>
      <c r="N193" s="36">
        <v>256.012</v>
      </c>
      <c r="O193" s="183">
        <v>0.28988441400800768</v>
      </c>
      <c r="P193" s="36">
        <v>212.03</v>
      </c>
      <c r="Q193" s="183">
        <v>0.24008324727793176</v>
      </c>
      <c r="R193" s="36">
        <v>108.65300000000001</v>
      </c>
      <c r="S193" s="183">
        <v>0.12302865191948838</v>
      </c>
      <c r="T193" s="36">
        <v>82.168000000000006</v>
      </c>
      <c r="U193" s="183">
        <v>9.3039476783158506E-2</v>
      </c>
      <c r="V193" s="36">
        <v>94.092000000000013</v>
      </c>
      <c r="W193" s="36">
        <v>372.87</v>
      </c>
      <c r="X193" s="173">
        <v>0.42220365237241153</v>
      </c>
      <c r="Y193" s="36">
        <v>49.854209999999995</v>
      </c>
      <c r="Z193" s="92">
        <v>5.6450316593293103E-2</v>
      </c>
    </row>
    <row r="194" spans="2:26" x14ac:dyDescent="0.2">
      <c r="B194" s="1" t="s">
        <v>609</v>
      </c>
      <c r="C194" s="36">
        <v>2200.4375954198472</v>
      </c>
      <c r="D194" s="36">
        <v>2570.2040999999999</v>
      </c>
      <c r="E194" s="36">
        <v>692.62300000000005</v>
      </c>
      <c r="F194" s="36">
        <v>756.01800000000003</v>
      </c>
      <c r="G194" s="36">
        <v>833.2</v>
      </c>
      <c r="H194" s="173">
        <v>3.3996599287318552</v>
      </c>
      <c r="I194" s="173">
        <v>3.0847384781565048</v>
      </c>
      <c r="J194" s="171">
        <f t="shared" si="2"/>
        <v>9.1528869240553631E-2</v>
      </c>
      <c r="K194" s="171">
        <v>0.10209016187445275</v>
      </c>
      <c r="L194" s="114">
        <v>351.15899945068361</v>
      </c>
      <c r="M194" s="176">
        <v>0.46448497185342624</v>
      </c>
      <c r="N194" s="36">
        <v>66.022000000000006</v>
      </c>
      <c r="O194" s="183">
        <v>8.7328608578102637E-2</v>
      </c>
      <c r="P194" s="36" t="s">
        <v>480</v>
      </c>
      <c r="Q194" s="183" t="e">
        <v>#VALUE!</v>
      </c>
      <c r="R194" s="36" t="s">
        <v>480</v>
      </c>
      <c r="S194" s="183" t="e">
        <v>#VALUE!</v>
      </c>
      <c r="T194" s="36">
        <v>88.09</v>
      </c>
      <c r="U194" s="183">
        <v>0.11651838977378845</v>
      </c>
      <c r="V194" s="36">
        <v>35.474000000000004</v>
      </c>
      <c r="W194" s="36">
        <v>32.423999999999999</v>
      </c>
      <c r="X194" s="173">
        <v>4.2887867749180575E-2</v>
      </c>
      <c r="Y194" s="36">
        <v>25.583342077704</v>
      </c>
      <c r="Z194" s="92">
        <v>3.3839593869066605E-2</v>
      </c>
    </row>
    <row r="195" spans="2:26" x14ac:dyDescent="0.2">
      <c r="B195" s="1" t="s">
        <v>610</v>
      </c>
      <c r="C195" s="36">
        <v>5760.6871503816783</v>
      </c>
      <c r="D195" s="36">
        <v>4868.8302000000003</v>
      </c>
      <c r="E195" s="36">
        <v>1082.9000000000001</v>
      </c>
      <c r="F195" s="36">
        <v>1286.5</v>
      </c>
      <c r="G195" s="36">
        <v>1414.836</v>
      </c>
      <c r="H195" s="173">
        <v>3.7845551496307817</v>
      </c>
      <c r="I195" s="173">
        <v>3.4412682459309774</v>
      </c>
      <c r="J195" s="171">
        <f t="shared" ref="J195:J198" si="3">(F195-E195)/E195</f>
        <v>0.18801366700526354</v>
      </c>
      <c r="K195" s="171">
        <v>9.9755926933540628E-2</v>
      </c>
      <c r="L195" s="114">
        <v>696.89999084472652</v>
      </c>
      <c r="M195" s="176">
        <v>0.54170228592672098</v>
      </c>
      <c r="N195" s="36">
        <v>173.6</v>
      </c>
      <c r="O195" s="183">
        <v>0.13493975903614458</v>
      </c>
      <c r="P195" s="36">
        <v>252.2</v>
      </c>
      <c r="Q195" s="183">
        <v>0.19603575592693354</v>
      </c>
      <c r="R195" s="36">
        <v>145.4</v>
      </c>
      <c r="S195" s="183">
        <v>0.11301982122036534</v>
      </c>
      <c r="T195" s="36">
        <v>325.79999999999995</v>
      </c>
      <c r="U195" s="183">
        <v>0.25324523902059848</v>
      </c>
      <c r="V195" s="36">
        <v>297.59999999999997</v>
      </c>
      <c r="W195" s="36">
        <v>165.1</v>
      </c>
      <c r="X195" s="173">
        <v>0.12833268558103381</v>
      </c>
      <c r="Y195" s="36">
        <v>132.49198895886499</v>
      </c>
      <c r="Z195" s="92">
        <v>0.10298638861940536</v>
      </c>
    </row>
    <row r="196" spans="2:26" x14ac:dyDescent="0.2">
      <c r="B196" s="1" t="s">
        <v>611</v>
      </c>
      <c r="C196" s="36">
        <v>12986.630130916043</v>
      </c>
      <c r="D196" s="36">
        <v>3484.2853</v>
      </c>
      <c r="E196" s="36">
        <v>583.90300000000002</v>
      </c>
      <c r="F196" s="36">
        <v>106.27463551615409</v>
      </c>
      <c r="G196" s="36">
        <v>116.741</v>
      </c>
      <c r="H196" s="173">
        <v>32.785671605247494</v>
      </c>
      <c r="I196" s="173">
        <v>29.846286223349125</v>
      </c>
      <c r="J196" s="171">
        <f t="shared" si="3"/>
        <v>-0.81799265371790508</v>
      </c>
      <c r="K196" s="171">
        <v>9.8484124956184749E-2</v>
      </c>
      <c r="L196" s="114">
        <v>81.477672212029802</v>
      </c>
      <c r="M196" s="176">
        <v>0.76667091650147257</v>
      </c>
      <c r="N196" s="36" t="s">
        <v>480</v>
      </c>
      <c r="O196" s="183" t="e">
        <v>#VALUE!</v>
      </c>
      <c r="P196" s="36">
        <v>29.383652730074935</v>
      </c>
      <c r="Q196" s="183">
        <v>0.27648791818823526</v>
      </c>
      <c r="R196" s="36">
        <v>8.5565256221919981</v>
      </c>
      <c r="S196" s="183">
        <v>8.0513337737031135E-2</v>
      </c>
      <c r="T196" s="36">
        <v>46.149536384401458</v>
      </c>
      <c r="U196" s="183">
        <v>0.4342478914207763</v>
      </c>
      <c r="V196" s="36">
        <v>70.03</v>
      </c>
      <c r="W196" s="36">
        <v>647.51599999999996</v>
      </c>
      <c r="X196" s="173">
        <v>6.092855523381921</v>
      </c>
      <c r="Y196" s="36">
        <v>37.745532686694702</v>
      </c>
      <c r="Z196" s="92">
        <v>0.3551697213862216</v>
      </c>
    </row>
    <row r="197" spans="2:26" x14ac:dyDescent="0.2">
      <c r="B197" s="1" t="s">
        <v>612</v>
      </c>
      <c r="C197" s="36">
        <v>739.36439122137415</v>
      </c>
      <c r="D197" s="36">
        <v>988.6848</v>
      </c>
      <c r="E197" s="36">
        <v>73.400999999999996</v>
      </c>
      <c r="F197" s="36">
        <v>158.81090657152305</v>
      </c>
      <c r="G197" s="36">
        <v>172.51400000000001</v>
      </c>
      <c r="H197" s="173">
        <v>6.2255472331475534</v>
      </c>
      <c r="I197" s="173">
        <v>5.7310409589946323</v>
      </c>
      <c r="J197" s="171">
        <f t="shared" si="3"/>
        <v>1.1636068523797094</v>
      </c>
      <c r="K197" s="171">
        <v>8.6285594133961752E-2</v>
      </c>
      <c r="L197" s="114">
        <v>122.86743957034734</v>
      </c>
      <c r="M197" s="176">
        <v>0.77367129388567535</v>
      </c>
      <c r="N197" s="36">
        <v>15.0808138126222</v>
      </c>
      <c r="O197" s="183">
        <v>9.4960819368097443E-2</v>
      </c>
      <c r="P197" s="36" t="s">
        <v>480</v>
      </c>
      <c r="Q197" s="183" t="e">
        <v>#VALUE!</v>
      </c>
      <c r="R197" s="36" t="s">
        <v>480</v>
      </c>
      <c r="S197" s="183" t="e">
        <v>#VALUE!</v>
      </c>
      <c r="T197" s="36">
        <v>34.725540664341814</v>
      </c>
      <c r="U197" s="183">
        <v>0.21865967151760202</v>
      </c>
      <c r="V197" s="36">
        <v>25.52</v>
      </c>
      <c r="W197" s="36">
        <v>22.753</v>
      </c>
      <c r="X197" s="173">
        <v>0.14327101640058215</v>
      </c>
      <c r="Y197" s="36">
        <v>16.478658119925523</v>
      </c>
      <c r="Z197" s="92">
        <v>0.10376276085612605</v>
      </c>
    </row>
    <row r="198" spans="2:26" x14ac:dyDescent="0.2">
      <c r="B198" s="1" t="s">
        <v>613</v>
      </c>
      <c r="C198" s="36">
        <v>360.15721641221381</v>
      </c>
      <c r="D198" s="36">
        <v>503.5813</v>
      </c>
      <c r="E198" s="36">
        <v>264.7</v>
      </c>
      <c r="F198" s="36">
        <v>390.21064688256155</v>
      </c>
      <c r="G198" s="36">
        <v>423.65500000000003</v>
      </c>
      <c r="H198" s="173">
        <v>1.2905370574154493</v>
      </c>
      <c r="I198" s="173">
        <v>1.1886589323860215</v>
      </c>
      <c r="J198" s="171">
        <f t="shared" si="3"/>
        <v>0.47416186959789031</v>
      </c>
      <c r="K198" s="171">
        <v>8.5708458712311808E-2</v>
      </c>
      <c r="L198" s="114">
        <v>208.1033694655994</v>
      </c>
      <c r="M198" s="176">
        <v>0.53331033155594687</v>
      </c>
      <c r="N198" s="36">
        <v>34.018854199922998</v>
      </c>
      <c r="O198" s="183">
        <v>8.718074320038062E-2</v>
      </c>
      <c r="P198" s="36" t="s">
        <v>480</v>
      </c>
      <c r="Q198" s="183" t="e">
        <v>#VALUE!</v>
      </c>
      <c r="R198" s="36">
        <v>172.67145692385159</v>
      </c>
      <c r="S198" s="183">
        <v>0.44250831775950766</v>
      </c>
      <c r="T198" s="36">
        <v>41.081894131577933</v>
      </c>
      <c r="U198" s="183">
        <v>0.10528132550914739</v>
      </c>
      <c r="V198" s="36">
        <v>12.2</v>
      </c>
      <c r="W198" s="36">
        <v>22.7</v>
      </c>
      <c r="X198" s="173">
        <v>5.8173707409966774E-2</v>
      </c>
      <c r="Y198" s="36">
        <v>28.187567163656766</v>
      </c>
      <c r="Z198" s="92">
        <v>7.2236796686227123E-2</v>
      </c>
    </row>
  </sheetData>
  <autoFilter ref="A1:Z1" xr:uid="{40B99B7E-0635-43B9-AB65-303DA01D54B7}"/>
  <conditionalFormatting sqref="B2:B198">
    <cfRule type="duplicateValues" dxfId="2" priority="42"/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E7EF0-114E-4F16-B809-9E2FB360E3EC}">
  <dimension ref="A1:H147"/>
  <sheetViews>
    <sheetView topLeftCell="A5" zoomScale="85" zoomScaleNormal="85" workbookViewId="0">
      <selection activeCell="H41" sqref="H41"/>
    </sheetView>
  </sheetViews>
  <sheetFormatPr defaultRowHeight="12.75" x14ac:dyDescent="0.2"/>
  <cols>
    <col min="1" max="1" width="18.140625" bestFit="1" customWidth="1"/>
    <col min="2" max="2" width="7.85546875" bestFit="1" customWidth="1"/>
    <col min="3" max="3" width="16.140625" bestFit="1" customWidth="1"/>
    <col min="4" max="4" width="16.28515625" bestFit="1" customWidth="1"/>
    <col min="5" max="5" width="10.5703125" bestFit="1" customWidth="1"/>
    <col min="6" max="6" width="12" bestFit="1" customWidth="1"/>
    <col min="7" max="7" width="14.7109375" bestFit="1" customWidth="1"/>
    <col min="8" max="8" width="14.85546875" bestFit="1" customWidth="1"/>
  </cols>
  <sheetData>
    <row r="1" spans="1:8" x14ac:dyDescent="0.2">
      <c r="A1" t="s">
        <v>0</v>
      </c>
      <c r="B1" t="s">
        <v>902</v>
      </c>
      <c r="C1" t="s">
        <v>965</v>
      </c>
      <c r="D1" t="s">
        <v>966</v>
      </c>
      <c r="E1" t="s">
        <v>967</v>
      </c>
      <c r="F1" t="s">
        <v>979</v>
      </c>
      <c r="G1" t="s">
        <v>974</v>
      </c>
      <c r="H1" t="s">
        <v>981</v>
      </c>
    </row>
    <row r="2" spans="1:8" x14ac:dyDescent="0.2">
      <c r="A2" t="s">
        <v>1</v>
      </c>
      <c r="B2">
        <v>6.8784829639362091</v>
      </c>
      <c r="C2">
        <v>0.21069837856813745</v>
      </c>
      <c r="D2">
        <v>0.1136051286698079</v>
      </c>
      <c r="E2">
        <v>0.65247372236317502</v>
      </c>
      <c r="F2">
        <v>0.15829104748097136</v>
      </c>
      <c r="G2">
        <v>0.41064697354113811</v>
      </c>
      <c r="H2">
        <v>0.24918575570859006</v>
      </c>
    </row>
    <row r="3" spans="1:8" x14ac:dyDescent="0.2">
      <c r="A3" t="s">
        <v>7</v>
      </c>
      <c r="B3">
        <v>4.4892381363590719</v>
      </c>
      <c r="C3">
        <v>7.5282748940534994E-2</v>
      </c>
      <c r="D3">
        <v>1.3397856210463003E-2</v>
      </c>
      <c r="E3">
        <v>0.79669143488302041</v>
      </c>
      <c r="F3">
        <v>0.21164273521437896</v>
      </c>
      <c r="G3">
        <v>0.42810523144894064</v>
      </c>
      <c r="H3">
        <v>0.2829972991471616</v>
      </c>
    </row>
    <row r="4" spans="1:8" x14ac:dyDescent="0.2">
      <c r="A4" t="s">
        <v>9</v>
      </c>
      <c r="B4">
        <v>13.695968421757499</v>
      </c>
      <c r="C4">
        <v>0.46418660740669865</v>
      </c>
      <c r="D4">
        <v>0.20340544504430613</v>
      </c>
      <c r="E4">
        <v>0.8709037817895926</v>
      </c>
      <c r="F4">
        <v>0.25636930006119946</v>
      </c>
      <c r="G4">
        <v>0.36045472818525676</v>
      </c>
      <c r="H4">
        <v>0.28179107087920752</v>
      </c>
    </row>
    <row r="5" spans="1:8" x14ac:dyDescent="0.2">
      <c r="A5" t="s">
        <v>11</v>
      </c>
      <c r="B5">
        <v>8.7912989797462213</v>
      </c>
      <c r="C5">
        <v>0.77253054348321704</v>
      </c>
      <c r="D5">
        <v>0.2188899261151187</v>
      </c>
      <c r="E5">
        <v>0.74036718925317502</v>
      </c>
      <c r="F5">
        <v>0.40864399631607928</v>
      </c>
      <c r="G5">
        <v>0.11068787166254691</v>
      </c>
      <c r="H5">
        <v>4.0826302631850615E-2</v>
      </c>
    </row>
    <row r="6" spans="1:8" x14ac:dyDescent="0.2">
      <c r="A6" t="s">
        <v>17</v>
      </c>
      <c r="B6">
        <v>5.8193584976969408</v>
      </c>
      <c r="C6">
        <v>0.19371211053150994</v>
      </c>
      <c r="D6">
        <v>7.2605999763788898E-2</v>
      </c>
      <c r="E6">
        <v>0.8603991968820125</v>
      </c>
      <c r="F6">
        <v>0.30624778552025511</v>
      </c>
      <c r="G6">
        <v>0.29703554978150465</v>
      </c>
      <c r="H6">
        <v>0.40103169059199528</v>
      </c>
    </row>
    <row r="7" spans="1:8" x14ac:dyDescent="0.2">
      <c r="A7" t="s">
        <v>19</v>
      </c>
      <c r="B7">
        <v>8.7672232562038896</v>
      </c>
      <c r="C7">
        <v>0.27055815935236471</v>
      </c>
      <c r="D7">
        <v>0.10840677397719656</v>
      </c>
      <c r="E7">
        <v>0.83702213279678073</v>
      </c>
      <c r="F7">
        <v>0.27397719651240776</v>
      </c>
      <c r="G7">
        <v>0.3056673373574782</v>
      </c>
      <c r="H7">
        <v>0.21276932914404878</v>
      </c>
    </row>
    <row r="8" spans="1:8" x14ac:dyDescent="0.2">
      <c r="A8" t="s">
        <v>23</v>
      </c>
      <c r="B8">
        <v>13.27660805415711</v>
      </c>
      <c r="C8">
        <v>0.62876434812188042</v>
      </c>
      <c r="D8">
        <v>0.30594599654365151</v>
      </c>
      <c r="E8">
        <v>0.75349984737580866</v>
      </c>
      <c r="F8">
        <v>0.41796603523991765</v>
      </c>
      <c r="G8">
        <v>2.6210494618110591E-2</v>
      </c>
      <c r="H8">
        <v>-3.9516806217013457E-2</v>
      </c>
    </row>
    <row r="9" spans="1:8" x14ac:dyDescent="0.2">
      <c r="A9" t="s">
        <v>29</v>
      </c>
      <c r="B9">
        <v>9.4107769728211519</v>
      </c>
      <c r="C9">
        <v>0.10562194763831495</v>
      </c>
      <c r="D9">
        <v>4.2015298921332267E-2</v>
      </c>
      <c r="E9">
        <v>0.75326326682307521</v>
      </c>
      <c r="F9">
        <v>0.16919487967053917</v>
      </c>
      <c r="G9">
        <v>0.33769630663144479</v>
      </c>
      <c r="H9">
        <v>2.3714983354860525E-2</v>
      </c>
    </row>
    <row r="10" spans="1:8" x14ac:dyDescent="0.2">
      <c r="A10" t="s">
        <v>31</v>
      </c>
      <c r="B10">
        <v>12.712227161154997</v>
      </c>
      <c r="C10">
        <v>-0.10518749251227991</v>
      </c>
      <c r="D10">
        <v>0.25282277859597468</v>
      </c>
      <c r="E10">
        <v>0.87182577145691786</v>
      </c>
      <c r="F10">
        <v>0.48525014504395947</v>
      </c>
      <c r="G10">
        <v>-5.8508501807470879E-2</v>
      </c>
      <c r="H10">
        <v>-0.13449689685759542</v>
      </c>
    </row>
    <row r="11" spans="1:8" x14ac:dyDescent="0.2">
      <c r="A11" t="s">
        <v>33</v>
      </c>
      <c r="B11">
        <v>10.483709258423414</v>
      </c>
      <c r="C11">
        <v>1.0992936741910104</v>
      </c>
      <c r="D11">
        <v>0.28482204336323713</v>
      </c>
      <c r="E11">
        <v>0.70649098895806062</v>
      </c>
      <c r="F11">
        <v>0.28142574515120466</v>
      </c>
      <c r="G11">
        <v>-4.4409677493748537E-2</v>
      </c>
      <c r="H11">
        <v>-0.137903072523548</v>
      </c>
    </row>
    <row r="12" spans="1:8" x14ac:dyDescent="0.2">
      <c r="A12" t="s">
        <v>37</v>
      </c>
      <c r="B12">
        <v>6.0739128685507477</v>
      </c>
      <c r="C12">
        <v>0.5381253563197107</v>
      </c>
      <c r="D12">
        <v>0.14021314793477901</v>
      </c>
      <c r="E12">
        <v>0.85236806652495634</v>
      </c>
      <c r="F12">
        <v>0.37970630937781852</v>
      </c>
      <c r="G12">
        <v>0.19092963381018804</v>
      </c>
      <c r="H12">
        <v>0.13211163371598883</v>
      </c>
    </row>
    <row r="13" spans="1:8" x14ac:dyDescent="0.2">
      <c r="A13" t="s">
        <v>43</v>
      </c>
      <c r="B13">
        <v>4.2819173577627767</v>
      </c>
      <c r="C13">
        <v>3.0559006211180125E-2</v>
      </c>
      <c r="D13">
        <v>3.3148505303760789E-2</v>
      </c>
      <c r="E13">
        <v>0.85486981677917073</v>
      </c>
      <c r="F13">
        <v>0.25578592092574737</v>
      </c>
      <c r="G13">
        <v>0.34715525554484089</v>
      </c>
      <c r="H13">
        <v>0.18998194877144337</v>
      </c>
    </row>
    <row r="14" spans="1:8" x14ac:dyDescent="0.2">
      <c r="A14" t="s">
        <v>49</v>
      </c>
      <c r="B14">
        <v>6.8486821580377111</v>
      </c>
      <c r="C14">
        <v>8.9373405287196173E-2</v>
      </c>
      <c r="D14">
        <v>3.3457797796119682E-2</v>
      </c>
      <c r="E14">
        <v>0.89545407388358411</v>
      </c>
      <c r="F14">
        <v>0.22848902461718351</v>
      </c>
      <c r="G14">
        <v>0.50062601249283711</v>
      </c>
      <c r="H14">
        <v>0.43366146404157885</v>
      </c>
    </row>
    <row r="15" spans="1:8" x14ac:dyDescent="0.2">
      <c r="A15" t="s">
        <v>51</v>
      </c>
      <c r="B15">
        <v>16.244587217549903</v>
      </c>
      <c r="C15">
        <v>1.0728747773805511</v>
      </c>
      <c r="D15">
        <v>0.32427403147904221</v>
      </c>
      <c r="E15">
        <v>0.81234907806795387</v>
      </c>
      <c r="F15">
        <v>0.19842224811699938</v>
      </c>
      <c r="G15">
        <v>4.5932971932313299E-2</v>
      </c>
      <c r="H15">
        <v>-0.31811310458675307</v>
      </c>
    </row>
    <row r="16" spans="1:8" x14ac:dyDescent="0.2">
      <c r="A16" t="s">
        <v>55</v>
      </c>
      <c r="B16">
        <v>5.0403782767313832</v>
      </c>
      <c r="C16">
        <v>0.31501266301693209</v>
      </c>
      <c r="D16">
        <v>0.16425784080600758</v>
      </c>
      <c r="E16">
        <v>0.88006613303762016</v>
      </c>
      <c r="F16">
        <v>6.4733952045345974E-2</v>
      </c>
      <c r="G16">
        <v>0.25307575733177318</v>
      </c>
      <c r="H16">
        <v>0.10323290266826267</v>
      </c>
    </row>
    <row r="17" spans="1:8" x14ac:dyDescent="0.2">
      <c r="A17" t="s">
        <v>57</v>
      </c>
      <c r="B17">
        <v>8.8228827508875813</v>
      </c>
      <c r="C17">
        <v>1.1667297493398761</v>
      </c>
      <c r="D17">
        <v>0.28899937720859659</v>
      </c>
      <c r="E17">
        <v>0.79280240098719257</v>
      </c>
      <c r="F17">
        <v>0.55817645019947282</v>
      </c>
      <c r="G17">
        <v>-0.17765987856258086</v>
      </c>
      <c r="H17">
        <v>-0.22092738611271831</v>
      </c>
    </row>
    <row r="18" spans="1:8" x14ac:dyDescent="0.2">
      <c r="A18" t="s">
        <v>59</v>
      </c>
      <c r="B18">
        <v>7.5790309498922568</v>
      </c>
      <c r="C18">
        <v>0.27891642354852392</v>
      </c>
      <c r="D18">
        <v>0.17074887275201789</v>
      </c>
      <c r="E18">
        <v>0.74903642068615961</v>
      </c>
      <c r="F18">
        <v>0.42976486419382226</v>
      </c>
      <c r="G18">
        <v>0.1310568696990225</v>
      </c>
      <c r="H18">
        <v>8.3799201194223835E-2</v>
      </c>
    </row>
    <row r="19" spans="1:8" x14ac:dyDescent="0.2">
      <c r="A19" t="s">
        <v>61</v>
      </c>
      <c r="B19">
        <v>4.9626469266478219</v>
      </c>
      <c r="C19">
        <v>6.2958319932165732E-2</v>
      </c>
      <c r="D19">
        <v>2.8465388663426294E-2</v>
      </c>
      <c r="E19">
        <v>0.84702230782544607</v>
      </c>
      <c r="F19">
        <v>0.34594041478658438</v>
      </c>
      <c r="G19">
        <v>0.30666060593348987</v>
      </c>
      <c r="H19">
        <v>0.2030865917039695</v>
      </c>
    </row>
    <row r="20" spans="1:8" x14ac:dyDescent="0.2">
      <c r="A20" t="s">
        <v>63</v>
      </c>
      <c r="B20">
        <v>4.3851549979818829</v>
      </c>
      <c r="C20">
        <v>0.24771107254723557</v>
      </c>
      <c r="D20">
        <v>7.1619985310756862E-2</v>
      </c>
      <c r="E20">
        <v>0.76438323562474364</v>
      </c>
      <c r="F20">
        <v>0.18171255400943553</v>
      </c>
      <c r="G20">
        <v>0.21514513898538351</v>
      </c>
      <c r="H20">
        <v>0.12152605918890333</v>
      </c>
    </row>
    <row r="21" spans="1:8" x14ac:dyDescent="0.2">
      <c r="A21" t="s">
        <v>67</v>
      </c>
      <c r="B21">
        <v>6.1711440295976496</v>
      </c>
      <c r="C21">
        <v>0.13975737893036835</v>
      </c>
      <c r="D21">
        <v>6.3581033618146598E-2</v>
      </c>
      <c r="E21">
        <v>0.88264760994686642</v>
      </c>
      <c r="F21">
        <v>0.20250360646487209</v>
      </c>
      <c r="G21">
        <v>0.25035919713763116</v>
      </c>
      <c r="H21">
        <v>0.16792960779188498</v>
      </c>
    </row>
    <row r="22" spans="1:8" x14ac:dyDescent="0.2">
      <c r="A22" t="s">
        <v>71</v>
      </c>
      <c r="B22">
        <v>8.405979501872979</v>
      </c>
      <c r="C22">
        <v>0.46772793424758136</v>
      </c>
      <c r="D22">
        <v>1.003082767454107</v>
      </c>
      <c r="E22">
        <v>0.4120739852790079</v>
      </c>
      <c r="F22">
        <v>5.4475715675295321E-2</v>
      </c>
      <c r="G22">
        <v>0.34420158714463439</v>
      </c>
      <c r="H22">
        <v>0.11994384890125027</v>
      </c>
    </row>
    <row r="23" spans="1:8" x14ac:dyDescent="0.2">
      <c r="A23" t="s">
        <v>73</v>
      </c>
      <c r="B23">
        <v>3.0304767971825153</v>
      </c>
      <c r="C23">
        <v>0.34083333333333332</v>
      </c>
      <c r="D23">
        <v>-1.180070437124503E-2</v>
      </c>
      <c r="E23">
        <v>0.78785995442303713</v>
      </c>
      <c r="F23">
        <v>0.33001864512119328</v>
      </c>
      <c r="G23">
        <v>0.26434638491816864</v>
      </c>
      <c r="H23">
        <v>8.5428483887666037E-2</v>
      </c>
    </row>
    <row r="24" spans="1:8" x14ac:dyDescent="0.2">
      <c r="A24" t="s">
        <v>79</v>
      </c>
      <c r="B24">
        <v>8.6072936991121516</v>
      </c>
      <c r="C24">
        <v>8.3425907010143588E-2</v>
      </c>
      <c r="D24">
        <v>7.5705500520764524E-2</v>
      </c>
      <c r="E24">
        <v>0.73217241692812174</v>
      </c>
      <c r="F24">
        <v>0.30181365285433243</v>
      </c>
      <c r="G24">
        <v>0.1382021117066432</v>
      </c>
      <c r="H24">
        <v>3.955165157037363E-2</v>
      </c>
    </row>
    <row r="25" spans="1:8" x14ac:dyDescent="0.2">
      <c r="A25" t="s">
        <v>81</v>
      </c>
      <c r="B25">
        <v>12.711549657216436</v>
      </c>
      <c r="C25">
        <v>-0.30553776015824852</v>
      </c>
      <c r="D25">
        <v>0.73726930799352219</v>
      </c>
      <c r="E25">
        <v>0.47515737788724272</v>
      </c>
      <c r="F25">
        <v>9.7392589715798408E-2</v>
      </c>
      <c r="G25">
        <v>0.3374990340356307</v>
      </c>
      <c r="H25">
        <v>0.1897375945406666</v>
      </c>
    </row>
    <row r="26" spans="1:8" x14ac:dyDescent="0.2">
      <c r="A26" t="s">
        <v>83</v>
      </c>
      <c r="B26">
        <v>8.6317822551499823</v>
      </c>
      <c r="C26">
        <v>0.3101325757575758</v>
      </c>
      <c r="D26">
        <v>0.33777285869172391</v>
      </c>
      <c r="E26">
        <v>0.66669678352005779</v>
      </c>
      <c r="F26">
        <v>0.28370075894470548</v>
      </c>
      <c r="G26">
        <v>6.1528731478135174E-2</v>
      </c>
      <c r="H26">
        <v>-4.517528008673654E-2</v>
      </c>
    </row>
    <row r="27" spans="1:8" x14ac:dyDescent="0.2">
      <c r="A27" t="s">
        <v>85</v>
      </c>
      <c r="B27">
        <v>3.9623645009432589</v>
      </c>
      <c r="C27">
        <v>0.54325062437370764</v>
      </c>
      <c r="D27">
        <v>2.8701272821758383E-2</v>
      </c>
      <c r="E27">
        <v>0.66204989520726754</v>
      </c>
      <c r="F27">
        <v>0.18804109488317342</v>
      </c>
      <c r="G27">
        <v>0.35220537069472913</v>
      </c>
      <c r="H27">
        <v>9.9335982673200984E-2</v>
      </c>
    </row>
    <row r="28" spans="1:8" x14ac:dyDescent="0.2">
      <c r="A28" t="s">
        <v>87</v>
      </c>
      <c r="B28">
        <v>8.4314404888257499</v>
      </c>
      <c r="C28">
        <v>0.32532052717873361</v>
      </c>
      <c r="D28">
        <v>0.20237266299744738</v>
      </c>
      <c r="E28">
        <v>0.62616458462270208</v>
      </c>
      <c r="F28">
        <v>0.26054192287300054</v>
      </c>
      <c r="G28">
        <v>0.11049378006511108</v>
      </c>
      <c r="H28">
        <v>4.5352465055309668E-2</v>
      </c>
    </row>
    <row r="29" spans="1:8" x14ac:dyDescent="0.2">
      <c r="A29" t="s">
        <v>89</v>
      </c>
      <c r="B29">
        <v>7.494461652207109</v>
      </c>
      <c r="C29">
        <v>0.20052893609353972</v>
      </c>
      <c r="D29">
        <v>6.0124762155143952E-2</v>
      </c>
      <c r="E29">
        <v>0.87117950854779347</v>
      </c>
      <c r="F29">
        <v>0.52121490497789513</v>
      </c>
      <c r="G29">
        <v>-0.12485180339031537</v>
      </c>
      <c r="H29">
        <v>-0.14799918208566143</v>
      </c>
    </row>
    <row r="30" spans="1:8" x14ac:dyDescent="0.2">
      <c r="A30" t="s">
        <v>97</v>
      </c>
      <c r="B30">
        <v>14.87319186873027</v>
      </c>
      <c r="C30">
        <v>0.5131144403158524</v>
      </c>
      <c r="D30">
        <v>0.24844386259407103</v>
      </c>
      <c r="E30">
        <v>0.83627025868933325</v>
      </c>
      <c r="F30">
        <v>0.30221593966604288</v>
      </c>
      <c r="G30">
        <v>0.29743909980964922</v>
      </c>
      <c r="H30">
        <v>0.20995365661793713</v>
      </c>
    </row>
    <row r="31" spans="1:8" x14ac:dyDescent="0.2">
      <c r="A31" t="s">
        <v>101</v>
      </c>
      <c r="B31">
        <v>9.6667303011646322</v>
      </c>
      <c r="C31">
        <v>0.55748198828590667</v>
      </c>
      <c r="D31">
        <v>0.13407566857822273</v>
      </c>
      <c r="E31">
        <v>0.55116954899297743</v>
      </c>
      <c r="F31">
        <v>0.18775252735350578</v>
      </c>
      <c r="G31">
        <v>4.2780837645805925E-2</v>
      </c>
      <c r="H31">
        <v>5.3461994018760582E-2</v>
      </c>
    </row>
    <row r="32" spans="1:8" x14ac:dyDescent="0.2">
      <c r="A32" t="s">
        <v>105</v>
      </c>
      <c r="B32">
        <v>13.80264657246844</v>
      </c>
      <c r="C32">
        <v>5.7521636773199228E-2</v>
      </c>
      <c r="D32">
        <v>9.8193444027594667E-2</v>
      </c>
      <c r="E32">
        <v>0.89861346901551586</v>
      </c>
      <c r="F32">
        <v>0.20235068486568944</v>
      </c>
      <c r="G32">
        <v>0.43761536213199226</v>
      </c>
      <c r="H32">
        <v>0.30083750676574428</v>
      </c>
    </row>
    <row r="33" spans="1:8" x14ac:dyDescent="0.2">
      <c r="A33" t="s">
        <v>107</v>
      </c>
      <c r="B33">
        <v>5.397203530724207</v>
      </c>
      <c r="C33">
        <v>1.2952603245863212</v>
      </c>
      <c r="D33">
        <v>0.18236074557512727</v>
      </c>
      <c r="E33">
        <v>0.66590708286343891</v>
      </c>
      <c r="F33">
        <v>0.56225112661050991</v>
      </c>
      <c r="G33">
        <v>-0.19213684348227064</v>
      </c>
      <c r="H33">
        <v>-0.25167377453250095</v>
      </c>
    </row>
    <row r="34" spans="1:8" x14ac:dyDescent="0.2">
      <c r="A34" t="s">
        <v>113</v>
      </c>
      <c r="B34">
        <v>11.057836911899347</v>
      </c>
      <c r="C34">
        <v>0.62784175590306368</v>
      </c>
      <c r="D34">
        <v>0.31519733798005456</v>
      </c>
      <c r="E34">
        <v>0.70098153174246813</v>
      </c>
      <c r="F34">
        <v>0.43462988668694685</v>
      </c>
      <c r="G34">
        <v>-0.16941854797937722</v>
      </c>
      <c r="H34">
        <v>-0.22722663595105191</v>
      </c>
    </row>
    <row r="35" spans="1:8" x14ac:dyDescent="0.2">
      <c r="A35" t="s">
        <v>115</v>
      </c>
      <c r="B35">
        <v>9.7835447500662127</v>
      </c>
      <c r="C35">
        <v>0.53130694925788191</v>
      </c>
      <c r="D35">
        <v>0.24618641590165691</v>
      </c>
      <c r="E35">
        <v>0.762424464362504</v>
      </c>
      <c r="F35">
        <v>0.44725817491409769</v>
      </c>
      <c r="G35">
        <v>3.4080313081651117E-3</v>
      </c>
      <c r="H35">
        <v>-3.8053292150637866E-2</v>
      </c>
    </row>
    <row r="36" spans="1:8" x14ac:dyDescent="0.2">
      <c r="A36" t="s">
        <v>123</v>
      </c>
      <c r="B36">
        <v>6.7995780656109917</v>
      </c>
      <c r="C36">
        <v>0.36288125211219985</v>
      </c>
      <c r="D36">
        <v>0.21456790793125591</v>
      </c>
      <c r="E36">
        <v>0.60719161055548021</v>
      </c>
      <c r="F36">
        <v>0.21320020509085089</v>
      </c>
      <c r="G36">
        <v>0.19625825432557015</v>
      </c>
      <c r="H36">
        <v>5.0853760092755822E-2</v>
      </c>
    </row>
    <row r="37" spans="1:8" x14ac:dyDescent="0.2">
      <c r="A37" t="s">
        <v>127</v>
      </c>
      <c r="B37">
        <v>8.4313421144344218</v>
      </c>
      <c r="C37">
        <v>0.63529305238937317</v>
      </c>
      <c r="D37">
        <v>0.29012158698208257</v>
      </c>
      <c r="E37">
        <v>0.71608316536046746</v>
      </c>
      <c r="F37">
        <v>0.42152705171925225</v>
      </c>
      <c r="G37">
        <v>-3.7534647241411888E-2</v>
      </c>
      <c r="H37">
        <v>-0.12790277669230971</v>
      </c>
    </row>
    <row r="38" spans="1:8" x14ac:dyDescent="0.2">
      <c r="A38" t="s">
        <v>129</v>
      </c>
      <c r="B38">
        <v>10.734431432785303</v>
      </c>
      <c r="C38">
        <v>0.62897696029405803</v>
      </c>
      <c r="D38">
        <v>0.26431414661111607</v>
      </c>
      <c r="E38">
        <v>0.80223336455862504</v>
      </c>
      <c r="F38">
        <v>0.48223715957670954</v>
      </c>
      <c r="G38">
        <v>-5.5513968374604379E-2</v>
      </c>
      <c r="H38">
        <v>-0.1265161452563327</v>
      </c>
    </row>
    <row r="39" spans="1:8" x14ac:dyDescent="0.2">
      <c r="A39" t="s">
        <v>135</v>
      </c>
      <c r="B39">
        <v>3.3505499743254004</v>
      </c>
      <c r="C39">
        <v>3.0231366055673434E-2</v>
      </c>
      <c r="D39">
        <v>4.7487300909792252E-2</v>
      </c>
      <c r="E39">
        <v>0.56401542074891919</v>
      </c>
      <c r="F39">
        <v>0.19828958856392076</v>
      </c>
      <c r="G39">
        <v>0.17174638575849141</v>
      </c>
      <c r="H39">
        <v>1.0619681589690514E-2</v>
      </c>
    </row>
    <row r="40" spans="1:8" x14ac:dyDescent="0.2">
      <c r="A40" t="s">
        <v>137</v>
      </c>
      <c r="B40">
        <v>11.578912315589761</v>
      </c>
      <c r="C40">
        <v>1.1134141162325091</v>
      </c>
      <c r="D40">
        <v>0.27870379794405276</v>
      </c>
      <c r="E40">
        <v>0.83089453283393444</v>
      </c>
      <c r="F40">
        <v>0.54026948100245054</v>
      </c>
      <c r="G40">
        <v>-5.8953862534937762E-3</v>
      </c>
      <c r="H40">
        <v>-8.7178644035064382E-2</v>
      </c>
    </row>
    <row r="41" spans="1:8" x14ac:dyDescent="0.2">
      <c r="A41" t="s">
        <v>139</v>
      </c>
      <c r="B41">
        <v>8.8058083841738704</v>
      </c>
      <c r="C41">
        <v>0.81375278594672318</v>
      </c>
      <c r="D41">
        <v>0.44355718873420802</v>
      </c>
      <c r="E41">
        <v>0.55167283034571557</v>
      </c>
      <c r="F41">
        <v>0.43418015216828026</v>
      </c>
      <c r="G41">
        <v>-0.2867072605783651</v>
      </c>
      <c r="H41">
        <v>-0.32097260499846886</v>
      </c>
    </row>
    <row r="42" spans="1:8" x14ac:dyDescent="0.2">
      <c r="A42" t="s">
        <v>147</v>
      </c>
      <c r="B42">
        <v>4.5666477547702611</v>
      </c>
      <c r="C42">
        <v>0.1346855648529989</v>
      </c>
      <c r="D42">
        <v>8.9842079791757845E-2</v>
      </c>
      <c r="E42">
        <v>0.65566369754343934</v>
      </c>
      <c r="F42">
        <v>0.36086482575212958</v>
      </c>
      <c r="G42">
        <v>1.9566177541594419E-2</v>
      </c>
      <c r="H42">
        <v>1.9614338271570129E-2</v>
      </c>
    </row>
    <row r="43" spans="1:8" x14ac:dyDescent="0.2">
      <c r="A43" t="s">
        <v>153</v>
      </c>
      <c r="B43">
        <v>3.5961818133555128</v>
      </c>
      <c r="C43">
        <v>2.3629205994025022</v>
      </c>
      <c r="D43">
        <v>8.1155047470734543E-2</v>
      </c>
      <c r="E43">
        <v>0.78162312134613177</v>
      </c>
      <c r="F43">
        <v>0.30699894706106162</v>
      </c>
      <c r="G43">
        <v>0.34477556473804827</v>
      </c>
      <c r="H43">
        <v>7.5428893232798611E-2</v>
      </c>
    </row>
    <row r="44" spans="1:8" x14ac:dyDescent="0.2">
      <c r="A44" t="s">
        <v>155</v>
      </c>
      <c r="B44">
        <v>14.861419475569958</v>
      </c>
      <c r="C44">
        <v>1.6183106670809533</v>
      </c>
      <c r="D44">
        <v>0.21314041853990284</v>
      </c>
      <c r="E44">
        <v>0.68860084305431146</v>
      </c>
      <c r="F44">
        <v>0.40494762545927565</v>
      </c>
      <c r="G44">
        <v>-0.15957917798215387</v>
      </c>
      <c r="H44">
        <v>-0.22516716492845568</v>
      </c>
    </row>
    <row r="45" spans="1:8" x14ac:dyDescent="0.2">
      <c r="A45" t="s">
        <v>157</v>
      </c>
      <c r="B45">
        <v>3.6876907194425934</v>
      </c>
      <c r="C45">
        <v>0.3251374027028725</v>
      </c>
      <c r="D45">
        <v>8.0987787740784078E-2</v>
      </c>
      <c r="E45">
        <v>0.84096872684757851</v>
      </c>
      <c r="F45">
        <v>0.28510463458172064</v>
      </c>
      <c r="G45">
        <v>0.35636412722889443</v>
      </c>
      <c r="H45">
        <v>0.1301536113691058</v>
      </c>
    </row>
    <row r="46" spans="1:8" x14ac:dyDescent="0.2">
      <c r="A46" t="s">
        <v>161</v>
      </c>
      <c r="B46">
        <v>9.1242249141037206</v>
      </c>
      <c r="C46">
        <v>0.68382524385030896</v>
      </c>
      <c r="D46">
        <v>0.3669350534706135</v>
      </c>
      <c r="E46">
        <v>0.83004221347896434</v>
      </c>
      <c r="F46">
        <v>0.4353895551279573</v>
      </c>
      <c r="G46">
        <v>-7.7149426348448957E-2</v>
      </c>
      <c r="H46">
        <v>-0.13688015485851276</v>
      </c>
    </row>
    <row r="47" spans="1:8" x14ac:dyDescent="0.2">
      <c r="A47" t="s">
        <v>163</v>
      </c>
      <c r="B47">
        <v>4.2973055477195112</v>
      </c>
      <c r="C47">
        <v>0.13988492299692795</v>
      </c>
      <c r="D47">
        <v>4.5615783060939163E-2</v>
      </c>
      <c r="E47">
        <v>0.55351752109061769</v>
      </c>
      <c r="F47">
        <v>0.20830207251709093</v>
      </c>
      <c r="G47">
        <v>0.19488262938976889</v>
      </c>
      <c r="H47">
        <v>9.621988776192282E-2</v>
      </c>
    </row>
    <row r="48" spans="1:8" x14ac:dyDescent="0.2">
      <c r="A48" t="s">
        <v>165</v>
      </c>
      <c r="B48">
        <v>4.0279244294026775</v>
      </c>
      <c r="C48">
        <v>0.11136597237976012</v>
      </c>
      <c r="D48">
        <v>7.4866249518044548E-2</v>
      </c>
      <c r="E48">
        <v>0.65626694351170867</v>
      </c>
      <c r="F48">
        <v>0.46864329256768161</v>
      </c>
      <c r="G48">
        <v>-0.1616257708135406</v>
      </c>
      <c r="H48">
        <v>-0.32442046693600513</v>
      </c>
    </row>
    <row r="49" spans="1:8" x14ac:dyDescent="0.2">
      <c r="A49" t="s">
        <v>167</v>
      </c>
      <c r="B49">
        <v>8.482147237151251</v>
      </c>
      <c r="C49">
        <v>0.63643417237029742</v>
      </c>
      <c r="D49">
        <v>0.19889173489578238</v>
      </c>
      <c r="E49">
        <v>0.60480442215913743</v>
      </c>
      <c r="F49">
        <v>0.25291965872639571</v>
      </c>
      <c r="G49">
        <v>0.12320178424324617</v>
      </c>
      <c r="H49">
        <v>1.0140546239076941E-2</v>
      </c>
    </row>
    <row r="50" spans="1:8" x14ac:dyDescent="0.2">
      <c r="A50" t="s">
        <v>169</v>
      </c>
      <c r="B50">
        <v>22.136584064642975</v>
      </c>
      <c r="C50">
        <v>0.26534234418731656</v>
      </c>
      <c r="D50">
        <v>0.54474176377499628</v>
      </c>
      <c r="E50">
        <v>0.70131395962211673</v>
      </c>
      <c r="F50">
        <v>0.62028245336402432</v>
      </c>
      <c r="G50">
        <v>-0.39612405888840929</v>
      </c>
      <c r="H50">
        <v>-0.57122404450199005</v>
      </c>
    </row>
    <row r="51" spans="1:8" x14ac:dyDescent="0.2">
      <c r="A51" t="s">
        <v>171</v>
      </c>
      <c r="B51">
        <v>5.0692676563895098</v>
      </c>
      <c r="C51">
        <v>-7.5559459240402582E-2</v>
      </c>
      <c r="D51">
        <v>4.5144101474923204E-3</v>
      </c>
      <c r="E51">
        <v>0.57631465170524854</v>
      </c>
      <c r="F51">
        <v>8.4959660175673718E-2</v>
      </c>
      <c r="G51">
        <v>0.27209922755812105</v>
      </c>
      <c r="H51">
        <v>0.18931979666366661</v>
      </c>
    </row>
    <row r="52" spans="1:8" x14ac:dyDescent="0.2">
      <c r="A52" t="s">
        <v>173</v>
      </c>
      <c r="B52">
        <v>9.9139302995662302</v>
      </c>
      <c r="C52">
        <v>0.2905696602248326</v>
      </c>
      <c r="D52">
        <v>0.18951518188509064</v>
      </c>
      <c r="E52">
        <v>0.76791838483736197</v>
      </c>
      <c r="F52">
        <v>0.24998434050016441</v>
      </c>
      <c r="G52">
        <v>0.2628016411155828</v>
      </c>
      <c r="H52">
        <v>0.166605485032055</v>
      </c>
    </row>
    <row r="53" spans="1:8" x14ac:dyDescent="0.2">
      <c r="A53" t="s">
        <v>175</v>
      </c>
      <c r="B53">
        <v>3.553216316167136</v>
      </c>
      <c r="C53">
        <v>-9.2134739848125456E-3</v>
      </c>
      <c r="D53">
        <v>6.3792419977218628E-2</v>
      </c>
      <c r="E53">
        <v>0.55141779914388933</v>
      </c>
      <c r="F53">
        <v>0.10827098606532287</v>
      </c>
      <c r="G53">
        <v>0.21546212246659341</v>
      </c>
      <c r="H53">
        <v>4.819837721477066E-2</v>
      </c>
    </row>
    <row r="54" spans="1:8" x14ac:dyDescent="0.2">
      <c r="A54" t="s">
        <v>179</v>
      </c>
      <c r="B54">
        <v>5.2193951657931921</v>
      </c>
      <c r="C54">
        <v>0.22749359525812771</v>
      </c>
      <c r="D54">
        <v>2.540134236457936E-2</v>
      </c>
      <c r="E54">
        <v>0.71700598229941115</v>
      </c>
      <c r="F54">
        <v>0.46260940887439295</v>
      </c>
      <c r="G54">
        <v>3.0305247390167545E-2</v>
      </c>
      <c r="H54">
        <v>-7.793685572468817E-2</v>
      </c>
    </row>
    <row r="55" spans="1:8" x14ac:dyDescent="0.2">
      <c r="A55" t="s">
        <v>181</v>
      </c>
      <c r="B55">
        <v>7.0573659717429269</v>
      </c>
      <c r="C55">
        <v>0.14805082820137833</v>
      </c>
      <c r="D55">
        <v>8.4931082781860345E-2</v>
      </c>
      <c r="E55">
        <v>0.56069079800967758</v>
      </c>
      <c r="F55">
        <v>0.2179976452437985</v>
      </c>
      <c r="G55">
        <v>0.13823535382241892</v>
      </c>
      <c r="H55">
        <v>1.0832333013623581E-2</v>
      </c>
    </row>
    <row r="56" spans="1:8" x14ac:dyDescent="0.2">
      <c r="A56" t="s">
        <v>183</v>
      </c>
      <c r="B56">
        <v>5.4855305487078994</v>
      </c>
      <c r="C56">
        <v>0.28468018374342524</v>
      </c>
      <c r="D56">
        <v>0.15533940728225715</v>
      </c>
      <c r="E56">
        <v>0.59195940671389624</v>
      </c>
      <c r="F56">
        <v>0.14052470449453497</v>
      </c>
      <c r="G56">
        <v>0.1855197460953957</v>
      </c>
      <c r="H56">
        <v>4.177908225325213E-2</v>
      </c>
    </row>
    <row r="57" spans="1:8" x14ac:dyDescent="0.2">
      <c r="A57" t="s">
        <v>185</v>
      </c>
      <c r="B57">
        <v>4.6597305248887695</v>
      </c>
      <c r="C57">
        <v>0.83250964638723002</v>
      </c>
      <c r="D57">
        <v>0.20546846268667451</v>
      </c>
      <c r="E57">
        <v>0.72702756269789404</v>
      </c>
      <c r="F57">
        <v>0.54680841091168686</v>
      </c>
      <c r="G57">
        <v>-0.18767712021459937</v>
      </c>
      <c r="H57">
        <v>-0.27097319670889908</v>
      </c>
    </row>
    <row r="58" spans="1:8" x14ac:dyDescent="0.2">
      <c r="A58" t="s">
        <v>187</v>
      </c>
      <c r="B58">
        <v>15.777604713227186</v>
      </c>
      <c r="C58">
        <v>0.50941135795322068</v>
      </c>
      <c r="D58">
        <v>0.56704682863946054</v>
      </c>
      <c r="E58">
        <v>0.86369568575644429</v>
      </c>
      <c r="F58">
        <v>0.61951131163870943</v>
      </c>
      <c r="G58">
        <v>-0.19213006120590004</v>
      </c>
      <c r="H58">
        <v>-0.21851944579096239</v>
      </c>
    </row>
    <row r="59" spans="1:8" x14ac:dyDescent="0.2">
      <c r="A59" t="s">
        <v>189</v>
      </c>
      <c r="B59">
        <v>14.554801675289482</v>
      </c>
      <c r="C59">
        <v>0.89252826669774998</v>
      </c>
      <c r="D59">
        <v>0.3814239960581427</v>
      </c>
      <c r="E59">
        <v>0.86476966442513215</v>
      </c>
      <c r="F59">
        <v>0.40909090909090912</v>
      </c>
      <c r="G59">
        <v>-8.3431879773343209E-2</v>
      </c>
      <c r="H59">
        <v>-0.12112952697708795</v>
      </c>
    </row>
    <row r="60" spans="1:8" x14ac:dyDescent="0.2">
      <c r="A60" t="s">
        <v>191</v>
      </c>
      <c r="B60">
        <v>3.1700619223842232</v>
      </c>
      <c r="C60">
        <v>0.19234918319817987</v>
      </c>
      <c r="D60">
        <v>7.2713000882189682E-2</v>
      </c>
      <c r="E60">
        <v>0.85330143641298495</v>
      </c>
      <c r="F60">
        <v>0.57881645664164783</v>
      </c>
      <c r="G60">
        <v>2.8356900667701995E-2</v>
      </c>
      <c r="H60">
        <v>-1.0834570505356555E-2</v>
      </c>
    </row>
    <row r="61" spans="1:8" x14ac:dyDescent="0.2">
      <c r="A61" t="s">
        <v>193</v>
      </c>
      <c r="B61">
        <v>8.1780436163455441</v>
      </c>
      <c r="C61">
        <v>0.23505201523506333</v>
      </c>
      <c r="D61">
        <v>0.58252707226738099</v>
      </c>
      <c r="E61">
        <v>0.72472666906013439</v>
      </c>
      <c r="F61">
        <v>6.7446691644649833E-3</v>
      </c>
      <c r="G61">
        <v>0.46110768456550882</v>
      </c>
      <c r="H61">
        <v>0.42550945573158794</v>
      </c>
    </row>
    <row r="62" spans="1:8" x14ac:dyDescent="0.2">
      <c r="A62" t="s">
        <v>195</v>
      </c>
      <c r="B62">
        <v>7.2006525678528055</v>
      </c>
      <c r="C62">
        <v>0.36040773176125146</v>
      </c>
      <c r="D62">
        <v>0.1851860649785193</v>
      </c>
      <c r="E62">
        <v>0.84533496607909919</v>
      </c>
      <c r="F62">
        <v>0.43008734839589802</v>
      </c>
      <c r="G62">
        <v>0.11518518267148996</v>
      </c>
      <c r="H62">
        <v>9.1813351439375343E-2</v>
      </c>
    </row>
    <row r="63" spans="1:8" x14ac:dyDescent="0.2">
      <c r="A63" t="s">
        <v>197</v>
      </c>
      <c r="B63">
        <v>6.473576229902072</v>
      </c>
      <c r="C63">
        <v>0.15598901800536319</v>
      </c>
      <c r="D63">
        <v>0.11455611954642619</v>
      </c>
      <c r="E63">
        <v>0.69230493276187233</v>
      </c>
      <c r="F63">
        <v>0.22081623409978404</v>
      </c>
      <c r="G63">
        <v>-9.5939818062313938E-3</v>
      </c>
      <c r="H63">
        <v>-0.23347012720172772</v>
      </c>
    </row>
    <row r="64" spans="1:8" x14ac:dyDescent="0.2">
      <c r="A64" t="s">
        <v>201</v>
      </c>
      <c r="B64">
        <v>22.467830979838748</v>
      </c>
      <c r="C64">
        <v>1.7300679737920546</v>
      </c>
      <c r="D64">
        <v>0.76024916182035529</v>
      </c>
      <c r="E64">
        <v>0.80511087341464949</v>
      </c>
      <c r="F64">
        <v>0.65548794189819592</v>
      </c>
      <c r="G64">
        <v>-0.40360259948046345</v>
      </c>
      <c r="H64">
        <v>-0.44139034453003517</v>
      </c>
    </row>
    <row r="65" spans="1:8" x14ac:dyDescent="0.2">
      <c r="A65" t="s">
        <v>203</v>
      </c>
      <c r="B65">
        <v>3.1333043981481481</v>
      </c>
      <c r="C65">
        <v>0.38318934005005534</v>
      </c>
      <c r="D65">
        <v>5.967078189300401E-2</v>
      </c>
      <c r="E65">
        <v>0.34246399373184011</v>
      </c>
      <c r="F65">
        <v>5.3712705761316877E-2</v>
      </c>
      <c r="G65">
        <v>0.15413966049382716</v>
      </c>
      <c r="H65">
        <v>0.11844135802469134</v>
      </c>
    </row>
    <row r="66" spans="1:8" x14ac:dyDescent="0.2">
      <c r="A66" t="s">
        <v>205</v>
      </c>
      <c r="B66">
        <v>9.2367482147325468</v>
      </c>
      <c r="C66">
        <v>0.40418826658305984</v>
      </c>
      <c r="D66">
        <v>0.11651685176986892</v>
      </c>
      <c r="E66">
        <v>0.72852385657525642</v>
      </c>
      <c r="F66">
        <v>0.12753065270532982</v>
      </c>
      <c r="G66">
        <v>0.3204203799588089</v>
      </c>
      <c r="H66">
        <v>0.12069220256770544</v>
      </c>
    </row>
    <row r="67" spans="1:8" x14ac:dyDescent="0.2">
      <c r="A67" t="s">
        <v>207</v>
      </c>
      <c r="B67">
        <v>10.673920095443743</v>
      </c>
      <c r="C67">
        <v>0.64747447674276948</v>
      </c>
      <c r="D67">
        <v>0.21665138383569471</v>
      </c>
      <c r="E67">
        <v>0.77642204217040689</v>
      </c>
      <c r="F67">
        <v>0.54118476449650466</v>
      </c>
      <c r="G67">
        <v>-6.6416225436546669E-2</v>
      </c>
      <c r="H67">
        <v>-0.16722539085440391</v>
      </c>
    </row>
    <row r="68" spans="1:8" x14ac:dyDescent="0.2">
      <c r="A68" t="s">
        <v>211</v>
      </c>
      <c r="B68">
        <v>11.85648084293884</v>
      </c>
      <c r="C68">
        <v>0.27315351259660992</v>
      </c>
      <c r="D68">
        <v>0.32675608348697449</v>
      </c>
      <c r="E68">
        <v>0.72801054611815585</v>
      </c>
      <c r="F68">
        <v>0.62767230095843951</v>
      </c>
      <c r="G68">
        <v>-0.20314882317894153</v>
      </c>
      <c r="H68">
        <v>-0.25911901444461649</v>
      </c>
    </row>
    <row r="69" spans="1:8" x14ac:dyDescent="0.2">
      <c r="A69" t="s">
        <v>213</v>
      </c>
      <c r="B69">
        <v>5.5497190152101465</v>
      </c>
      <c r="C69">
        <v>0.44002435792360201</v>
      </c>
      <c r="D69">
        <v>9.2588012202160064E-2</v>
      </c>
      <c r="E69">
        <v>0.66866135379671465</v>
      </c>
      <c r="F69">
        <v>0.11566520123723734</v>
      </c>
      <c r="G69">
        <v>0.2095776850470347</v>
      </c>
      <c r="H69">
        <v>0.14413653216825575</v>
      </c>
    </row>
    <row r="70" spans="1:8" x14ac:dyDescent="0.2">
      <c r="A70" t="s">
        <v>215</v>
      </c>
      <c r="B70">
        <v>3.9945480509117797</v>
      </c>
      <c r="C70">
        <v>1.4755733281942571</v>
      </c>
      <c r="D70">
        <v>0.18481063775957018</v>
      </c>
      <c r="E70">
        <v>0.68025418110004043</v>
      </c>
      <c r="F70">
        <v>0.72608401611427897</v>
      </c>
      <c r="G70">
        <v>-0.42935893194247121</v>
      </c>
      <c r="H70">
        <v>-0.44895429908724671</v>
      </c>
    </row>
    <row r="71" spans="1:8" x14ac:dyDescent="0.2">
      <c r="A71" t="s">
        <v>217</v>
      </c>
      <c r="B71">
        <v>9.1623513917404615</v>
      </c>
      <c r="C71">
        <v>0.39125794311802092</v>
      </c>
      <c r="D71">
        <v>0.18003272596659103</v>
      </c>
      <c r="E71">
        <v>0.59036668010725346</v>
      </c>
      <c r="F71">
        <v>0.29519886124278849</v>
      </c>
      <c r="G71">
        <v>4.7195455613744906E-2</v>
      </c>
      <c r="H71">
        <v>-1.0447476597386358E-2</v>
      </c>
    </row>
    <row r="72" spans="1:8" x14ac:dyDescent="0.2">
      <c r="A72" t="s">
        <v>219</v>
      </c>
      <c r="B72">
        <v>9.5690336011449766</v>
      </c>
      <c r="C72">
        <v>0.43253408243689451</v>
      </c>
      <c r="D72">
        <v>0.2349013248079701</v>
      </c>
      <c r="E72">
        <v>0.49505345881129004</v>
      </c>
      <c r="F72">
        <v>0.19130951993717502</v>
      </c>
      <c r="G72">
        <v>-3.5297233748913803E-2</v>
      </c>
      <c r="H72">
        <v>-0.11313237392019553</v>
      </c>
    </row>
    <row r="73" spans="1:8" x14ac:dyDescent="0.2">
      <c r="A73" t="s">
        <v>221</v>
      </c>
      <c r="B73">
        <v>2.4078956528201854</v>
      </c>
      <c r="C73">
        <v>0.17685003236208213</v>
      </c>
      <c r="D73">
        <v>0.19094642049782906</v>
      </c>
      <c r="E73">
        <v>0.34100618747945993</v>
      </c>
      <c r="F73">
        <v>6.6124946581527427E-2</v>
      </c>
      <c r="G73">
        <v>0.12581462043700831</v>
      </c>
      <c r="H73">
        <v>8.233101492001163E-2</v>
      </c>
    </row>
    <row r="74" spans="1:8" x14ac:dyDescent="0.2">
      <c r="A74" t="s">
        <v>223</v>
      </c>
      <c r="B74">
        <v>6.7534491374941066</v>
      </c>
      <c r="C74">
        <v>0.98914982268878537</v>
      </c>
      <c r="D74">
        <v>0.23761000627341433</v>
      </c>
      <c r="E74">
        <v>0.73267809586697963</v>
      </c>
      <c r="F74">
        <v>0.42973244064180216</v>
      </c>
      <c r="G74">
        <v>6.2447056988831899E-2</v>
      </c>
      <c r="H74">
        <v>-3.9696454737572787E-2</v>
      </c>
    </row>
    <row r="75" spans="1:8" x14ac:dyDescent="0.2">
      <c r="A75" t="s">
        <v>225</v>
      </c>
      <c r="B75">
        <v>12.179941347200387</v>
      </c>
      <c r="C75">
        <v>0.56630613907146776</v>
      </c>
      <c r="D75">
        <v>0.24470915467408383</v>
      </c>
      <c r="E75">
        <v>0.6194763558189732</v>
      </c>
      <c r="F75">
        <v>0.17359414681339944</v>
      </c>
      <c r="G75">
        <v>0.18834804692223969</v>
      </c>
      <c r="H75">
        <v>0.1092716168823316</v>
      </c>
    </row>
    <row r="76" spans="1:8" x14ac:dyDescent="0.2">
      <c r="A76" t="s">
        <v>227</v>
      </c>
      <c r="B76">
        <v>13.117476745709421</v>
      </c>
      <c r="C76">
        <v>0.82163933003558087</v>
      </c>
      <c r="D76">
        <v>0.52388552100329933</v>
      </c>
      <c r="E76">
        <v>0.52415945118683227</v>
      </c>
      <c r="F76">
        <v>0.43523337660636235</v>
      </c>
      <c r="G76">
        <v>-0.23658039850886703</v>
      </c>
      <c r="H76">
        <v>-0.28080821314150284</v>
      </c>
    </row>
    <row r="77" spans="1:8" x14ac:dyDescent="0.2">
      <c r="A77" t="s">
        <v>229</v>
      </c>
      <c r="B77">
        <v>4.4908074310281174</v>
      </c>
      <c r="C77">
        <v>0.30085269705620998</v>
      </c>
      <c r="D77">
        <v>7.4856765799364622E-2</v>
      </c>
      <c r="E77">
        <v>0.79773963771628198</v>
      </c>
      <c r="F77">
        <v>0.44235604635817416</v>
      </c>
      <c r="G77">
        <v>2.0510319938192006E-2</v>
      </c>
      <c r="H77">
        <v>-6.636852248580738E-2</v>
      </c>
    </row>
    <row r="78" spans="1:8" x14ac:dyDescent="0.2">
      <c r="A78" t="s">
        <v>241</v>
      </c>
      <c r="B78">
        <v>6.7505558121124158</v>
      </c>
      <c r="C78">
        <v>0.47472880284088148</v>
      </c>
      <c r="D78">
        <v>0.1762724303997889</v>
      </c>
      <c r="E78">
        <v>0.90019708259201003</v>
      </c>
      <c r="F78">
        <v>0.56033117825570655</v>
      </c>
      <c r="G78">
        <v>-8.4031534503232599E-2</v>
      </c>
      <c r="H78">
        <v>-0.10523436469191186</v>
      </c>
    </row>
    <row r="79" spans="1:8" x14ac:dyDescent="0.2">
      <c r="A79" t="s">
        <v>243</v>
      </c>
      <c r="B79">
        <v>9.0514543449026164</v>
      </c>
      <c r="C79">
        <v>1.2128193125585127</v>
      </c>
      <c r="D79">
        <v>0.25507824501493381</v>
      </c>
      <c r="E79">
        <v>0.74437778330125193</v>
      </c>
      <c r="F79">
        <v>0.63955918868960371</v>
      </c>
      <c r="G79">
        <v>-0.34254040686400428</v>
      </c>
      <c r="H79">
        <v>-0.36914925230302753</v>
      </c>
    </row>
    <row r="80" spans="1:8" x14ac:dyDescent="0.2">
      <c r="A80" t="s">
        <v>245</v>
      </c>
      <c r="B80">
        <v>9.679609598549451</v>
      </c>
      <c r="C80">
        <v>0.66520418176328522</v>
      </c>
      <c r="D80">
        <v>0.31555089667677128</v>
      </c>
      <c r="E80">
        <v>0.76684702958527584</v>
      </c>
      <c r="F80">
        <v>0.49234779159701952</v>
      </c>
      <c r="G80">
        <v>-0.17408844944329543</v>
      </c>
      <c r="H80">
        <v>-0.19658894523613904</v>
      </c>
    </row>
    <row r="81" spans="1:8" x14ac:dyDescent="0.2">
      <c r="A81" t="s">
        <v>247</v>
      </c>
      <c r="B81">
        <v>5.291464596351231</v>
      </c>
      <c r="C81">
        <v>0.44266059659262341</v>
      </c>
      <c r="D81">
        <v>0.27187065021134593</v>
      </c>
      <c r="E81">
        <v>0.63627342087059102</v>
      </c>
      <c r="F81">
        <v>3.7884262798690331E-2</v>
      </c>
      <c r="G81">
        <v>0.33725429140417862</v>
      </c>
      <c r="H81">
        <v>0.24665552810936545</v>
      </c>
    </row>
    <row r="82" spans="1:8" x14ac:dyDescent="0.2">
      <c r="A82" t="s">
        <v>251</v>
      </c>
      <c r="B82">
        <v>10.876286242974013</v>
      </c>
      <c r="C82">
        <v>0.23976507317746279</v>
      </c>
      <c r="D82">
        <v>0.18090878735600224</v>
      </c>
      <c r="E82">
        <v>0.70751016911802767</v>
      </c>
      <c r="F82">
        <v>0.20368412265568483</v>
      </c>
      <c r="G82">
        <v>0.2457844064778229</v>
      </c>
      <c r="H82">
        <v>0.14145890144137127</v>
      </c>
    </row>
    <row r="83" spans="1:8" x14ac:dyDescent="0.2">
      <c r="A83" t="s">
        <v>253</v>
      </c>
      <c r="B83">
        <v>4.7603930115540498</v>
      </c>
      <c r="C83">
        <v>0.48386803989758087</v>
      </c>
      <c r="D83">
        <v>0.17939844250499792</v>
      </c>
      <c r="E83">
        <v>0.75537864054497039</v>
      </c>
      <c r="F83">
        <v>0.5924919598103191</v>
      </c>
      <c r="G83">
        <v>-4.3202941148065041E-2</v>
      </c>
      <c r="H83">
        <v>0.13635747211584634</v>
      </c>
    </row>
    <row r="84" spans="1:8" x14ac:dyDescent="0.2">
      <c r="A84" t="s">
        <v>257</v>
      </c>
      <c r="B84">
        <v>6.8716627546177129</v>
      </c>
      <c r="C84">
        <v>0.52307205386236633</v>
      </c>
      <c r="D84">
        <v>0.31887370772507673</v>
      </c>
      <c r="E84">
        <v>0.70741808526214944</v>
      </c>
      <c r="F84">
        <v>0.33921478801732324</v>
      </c>
      <c r="G84">
        <v>-5.4009471058260393E-2</v>
      </c>
      <c r="H84">
        <v>-0.10750678901855586</v>
      </c>
    </row>
    <row r="85" spans="1:8" x14ac:dyDescent="0.2">
      <c r="A85" t="s">
        <v>259</v>
      </c>
      <c r="B85">
        <v>10.497366882585414</v>
      </c>
      <c r="C85">
        <v>0.605036970311151</v>
      </c>
      <c r="D85">
        <v>0.21729844335835513</v>
      </c>
      <c r="E85">
        <v>0.74233956395664935</v>
      </c>
      <c r="F85">
        <v>0.21969927273577627</v>
      </c>
      <c r="G85">
        <v>3.5092642393346273E-2</v>
      </c>
      <c r="H85">
        <v>-3.6651622508554908E-2</v>
      </c>
    </row>
    <row r="86" spans="1:8" x14ac:dyDescent="0.2">
      <c r="A86" t="s">
        <v>263</v>
      </c>
      <c r="B86">
        <v>6.524921793063541</v>
      </c>
      <c r="C86">
        <v>0.40505726099963801</v>
      </c>
      <c r="D86">
        <v>0.17806318035514068</v>
      </c>
      <c r="E86">
        <v>0.70365447448971064</v>
      </c>
      <c r="F86">
        <v>0.50447090521138471</v>
      </c>
      <c r="G86">
        <v>-0.21380507217218181</v>
      </c>
      <c r="H86">
        <v>-0.24352193410726553</v>
      </c>
    </row>
    <row r="87" spans="1:8" x14ac:dyDescent="0.2">
      <c r="A87" t="s">
        <v>265</v>
      </c>
      <c r="B87">
        <v>6.8152068050041343</v>
      </c>
      <c r="C87">
        <v>0.55570518269975855</v>
      </c>
      <c r="D87">
        <v>6.44086484290749E-2</v>
      </c>
      <c r="E87">
        <v>0.62332135603532324</v>
      </c>
      <c r="F87">
        <v>0.3963750489629525</v>
      </c>
      <c r="G87">
        <v>-0.148054296892001</v>
      </c>
      <c r="H87">
        <v>-0.16283748168422885</v>
      </c>
    </row>
    <row r="88" spans="1:8" x14ac:dyDescent="0.2">
      <c r="A88" t="s">
        <v>267</v>
      </c>
      <c r="B88">
        <v>4.4463076619771114</v>
      </c>
      <c r="C88">
        <v>0.67737895815375593</v>
      </c>
      <c r="D88">
        <v>0.21536079842022415</v>
      </c>
      <c r="E88">
        <v>0.71251830040758768</v>
      </c>
      <c r="F88">
        <v>0.64699703630446226</v>
      </c>
      <c r="G88">
        <v>-0.52720814709237873</v>
      </c>
      <c r="H88">
        <v>-0.57156338979545007</v>
      </c>
    </row>
    <row r="89" spans="1:8" x14ac:dyDescent="0.2">
      <c r="A89" t="s">
        <v>269</v>
      </c>
      <c r="B89">
        <v>11.848405086788029</v>
      </c>
      <c r="C89">
        <v>0.59836556229341797</v>
      </c>
      <c r="D89">
        <v>0.32774285993421692</v>
      </c>
      <c r="E89">
        <v>0.69223629840944378</v>
      </c>
      <c r="F89">
        <v>0.38263262448301688</v>
      </c>
      <c r="G89">
        <v>-0.20080926173185265</v>
      </c>
      <c r="H89">
        <v>-0.3190529846614778</v>
      </c>
    </row>
    <row r="90" spans="1:8" x14ac:dyDescent="0.2">
      <c r="A90" t="s">
        <v>271</v>
      </c>
      <c r="B90">
        <v>5.6924428545236712</v>
      </c>
      <c r="C90">
        <v>0.21334230062857293</v>
      </c>
      <c r="D90">
        <v>8.8234917900679388E-2</v>
      </c>
      <c r="E90">
        <v>0.666298567071818</v>
      </c>
      <c r="F90">
        <v>0.31251465678603868</v>
      </c>
      <c r="G90">
        <v>0.10634750760020978</v>
      </c>
      <c r="H90">
        <v>4.2834057467392654E-2</v>
      </c>
    </row>
    <row r="91" spans="1:8" x14ac:dyDescent="0.2">
      <c r="A91" t="s">
        <v>275</v>
      </c>
      <c r="B91">
        <v>1.4192394945218827</v>
      </c>
      <c r="C91">
        <v>-1.0221395225329341E-2</v>
      </c>
      <c r="D91">
        <v>1.3954699502491508E-2</v>
      </c>
      <c r="E91">
        <v>0.803981239901987</v>
      </c>
      <c r="F91">
        <v>0.34445264200297476</v>
      </c>
      <c r="G91">
        <v>9.3816454472644931E-2</v>
      </c>
      <c r="H91">
        <v>8.3248837108374787E-2</v>
      </c>
    </row>
    <row r="92" spans="1:8" x14ac:dyDescent="0.2">
      <c r="A92" t="s">
        <v>277</v>
      </c>
      <c r="B92">
        <v>3.4921278591528968</v>
      </c>
      <c r="C92">
        <v>-8.4620109981472548E-3</v>
      </c>
      <c r="D92">
        <v>-1.4085207919166232E-2</v>
      </c>
      <c r="E92">
        <v>0.83030820149922224</v>
      </c>
      <c r="F92">
        <v>0.23971725083413989</v>
      </c>
      <c r="G92">
        <v>0.35425007028919331</v>
      </c>
      <c r="H92">
        <v>0.16390927344611117</v>
      </c>
    </row>
    <row r="93" spans="1:8" x14ac:dyDescent="0.2">
      <c r="A93" t="s">
        <v>279</v>
      </c>
      <c r="B93">
        <v>6.0297203138158766</v>
      </c>
      <c r="C93">
        <v>0.26288861771324312</v>
      </c>
      <c r="D93">
        <v>0.13434688178715493</v>
      </c>
      <c r="E93">
        <v>0.71389566349394595</v>
      </c>
      <c r="F93">
        <v>0.37303754266211603</v>
      </c>
      <c r="G93">
        <v>-0.21606597921023002</v>
      </c>
      <c r="H93">
        <v>-0.23881920127653916</v>
      </c>
    </row>
    <row r="94" spans="1:8" x14ac:dyDescent="0.2">
      <c r="A94" t="s">
        <v>287</v>
      </c>
      <c r="B94">
        <v>5.194544536837423</v>
      </c>
      <c r="C94">
        <v>4.9398731478281145E-2</v>
      </c>
      <c r="D94">
        <v>0.10723573897272698</v>
      </c>
      <c r="E94">
        <v>0.74643259270702</v>
      </c>
      <c r="F94">
        <v>0.38884183690928381</v>
      </c>
      <c r="G94">
        <v>4.1850597132395723E-2</v>
      </c>
      <c r="H94">
        <v>-3.8488770243618048E-2</v>
      </c>
    </row>
    <row r="95" spans="1:8" x14ac:dyDescent="0.2">
      <c r="A95" t="s">
        <v>289</v>
      </c>
      <c r="B95">
        <v>8.9161560112089067</v>
      </c>
      <c r="C95">
        <v>0.39380070372250281</v>
      </c>
      <c r="D95">
        <v>0.39882973076400785</v>
      </c>
      <c r="E95">
        <v>0.78003135531497281</v>
      </c>
      <c r="F95">
        <v>0.66160949053785467</v>
      </c>
      <c r="G95">
        <v>-0.29694347402076365</v>
      </c>
      <c r="H95">
        <v>-0.34458133247744022</v>
      </c>
    </row>
    <row r="96" spans="1:8" x14ac:dyDescent="0.2">
      <c r="A96" t="s">
        <v>291</v>
      </c>
      <c r="B96">
        <v>4.7822922843776761</v>
      </c>
      <c r="C96">
        <v>0.32328157988154638</v>
      </c>
      <c r="D96">
        <v>0.17218253183859034</v>
      </c>
      <c r="E96">
        <v>0.69293761861751924</v>
      </c>
      <c r="F96">
        <v>0.41392050000470637</v>
      </c>
      <c r="G96">
        <v>-6.748499114904602E-2</v>
      </c>
      <c r="H96">
        <v>-0.10987946987452818</v>
      </c>
    </row>
    <row r="97" spans="1:8" x14ac:dyDescent="0.2">
      <c r="A97" t="s">
        <v>293</v>
      </c>
      <c r="B97">
        <v>2.2672898692591894</v>
      </c>
      <c r="C97">
        <v>0.45327548730273737</v>
      </c>
      <c r="D97">
        <v>9.5959012522825571E-2</v>
      </c>
      <c r="E97">
        <v>0.51518485568527572</v>
      </c>
      <c r="F97">
        <v>0.3067190359511896</v>
      </c>
      <c r="G97">
        <v>-6.6681664062389165E-2</v>
      </c>
      <c r="H97">
        <v>-0.10494352130105246</v>
      </c>
    </row>
    <row r="98" spans="1:8" x14ac:dyDescent="0.2">
      <c r="A98" t="s">
        <v>299</v>
      </c>
      <c r="B98">
        <v>3.6840805425402654</v>
      </c>
      <c r="C98">
        <v>0.54400297289035671</v>
      </c>
      <c r="D98">
        <v>0.17472622601444865</v>
      </c>
      <c r="E98">
        <v>0.75474664005567371</v>
      </c>
      <c r="F98">
        <v>0.58653431831151026</v>
      </c>
      <c r="G98">
        <v>-0.32206534861783442</v>
      </c>
      <c r="H98">
        <v>-0.35757347546418328</v>
      </c>
    </row>
    <row r="99" spans="1:8" x14ac:dyDescent="0.2">
      <c r="A99" t="s">
        <v>303</v>
      </c>
      <c r="B99">
        <v>6.5848614235065375</v>
      </c>
      <c r="C99">
        <v>0.19795010308202202</v>
      </c>
      <c r="D99">
        <v>0.12118158993992911</v>
      </c>
      <c r="E99">
        <v>0.59635545611995044</v>
      </c>
      <c r="F99">
        <v>0.37096782977611004</v>
      </c>
      <c r="G99">
        <v>-0.24097986569870977</v>
      </c>
      <c r="H99">
        <v>-0.3447641020578105</v>
      </c>
    </row>
    <row r="100" spans="1:8" x14ac:dyDescent="0.2">
      <c r="A100" t="s">
        <v>305</v>
      </c>
      <c r="B100">
        <v>5.4709495393238363</v>
      </c>
      <c r="C100">
        <v>0.66700036075036095</v>
      </c>
      <c r="D100">
        <v>0.25131331930295331</v>
      </c>
      <c r="E100">
        <v>0.70595174026734853</v>
      </c>
      <c r="F100">
        <v>0.45291797637918807</v>
      </c>
      <c r="G100">
        <v>-0.21769450921622832</v>
      </c>
      <c r="H100">
        <v>-0.2655258416875409</v>
      </c>
    </row>
    <row r="101" spans="1:8" x14ac:dyDescent="0.2">
      <c r="A101" t="s">
        <v>307</v>
      </c>
      <c r="B101">
        <v>4.3861318210659901</v>
      </c>
      <c r="C101">
        <v>8.0677995157177398E-2</v>
      </c>
      <c r="D101">
        <v>6.989213197969546E-2</v>
      </c>
      <c r="E101">
        <v>0.50090814362927738</v>
      </c>
      <c r="F101">
        <v>0.27474619289340102</v>
      </c>
      <c r="G101">
        <v>-4.4693393384950028E-2</v>
      </c>
      <c r="H101">
        <v>-0.15946938451776649</v>
      </c>
    </row>
    <row r="102" spans="1:8" x14ac:dyDescent="0.2">
      <c r="A102" t="s">
        <v>313</v>
      </c>
      <c r="B102">
        <v>2.0845468026345038</v>
      </c>
      <c r="C102">
        <v>0.18196377927817697</v>
      </c>
      <c r="D102">
        <v>3.4475093708797866E-2</v>
      </c>
      <c r="E102">
        <v>0.51473002068741491</v>
      </c>
      <c r="F102">
        <v>0.22949292197886184</v>
      </c>
      <c r="G102">
        <v>2.0635727792309023E-2</v>
      </c>
      <c r="H102">
        <v>-3.6627147080944304E-3</v>
      </c>
    </row>
    <row r="103" spans="1:8" x14ac:dyDescent="0.2">
      <c r="A103" t="s">
        <v>317</v>
      </c>
      <c r="B103">
        <v>3.1261234370689972</v>
      </c>
      <c r="C103">
        <v>0.19392354540136958</v>
      </c>
      <c r="D103">
        <v>1.7802077457975241E-2</v>
      </c>
      <c r="E103">
        <v>0.8117360266383209</v>
      </c>
      <c r="F103">
        <v>0.37674202220730935</v>
      </c>
      <c r="G103">
        <v>0.16492942904952795</v>
      </c>
      <c r="H103">
        <v>6.3183463541559445E-2</v>
      </c>
    </row>
    <row r="104" spans="1:8" x14ac:dyDescent="0.2">
      <c r="A104" t="s">
        <v>325</v>
      </c>
      <c r="B104">
        <v>2.9872603654706951</v>
      </c>
      <c r="C104">
        <v>4.3233630085697757E-2</v>
      </c>
      <c r="D104">
        <v>0.1109023118563639</v>
      </c>
      <c r="E104">
        <v>0.71395387976494418</v>
      </c>
      <c r="F104">
        <v>0.29406135042717996</v>
      </c>
      <c r="G104">
        <v>9.2239978466538378E-2</v>
      </c>
      <c r="H104">
        <v>3.6190930381431376E-2</v>
      </c>
    </row>
    <row r="105" spans="1:8" x14ac:dyDescent="0.2">
      <c r="A105" t="s">
        <v>329</v>
      </c>
      <c r="B105">
        <v>17.748484580908862</v>
      </c>
      <c r="C105">
        <v>-0.40020780206952206</v>
      </c>
      <c r="D105">
        <v>1.4443445708518534</v>
      </c>
      <c r="E105">
        <v>0.25056812394409728</v>
      </c>
      <c r="F105">
        <v>0.20959295280444246</v>
      </c>
      <c r="G105">
        <v>-0.29354885163447586</v>
      </c>
      <c r="H105">
        <v>-0.31713433716531614</v>
      </c>
    </row>
    <row r="106" spans="1:8" x14ac:dyDescent="0.2">
      <c r="A106" t="s">
        <v>331</v>
      </c>
      <c r="B106">
        <v>6.5029585116891679</v>
      </c>
      <c r="C106">
        <v>0.62478098626399348</v>
      </c>
      <c r="D106">
        <v>0.34531610141587099</v>
      </c>
      <c r="E106">
        <v>0.66982218315619402</v>
      </c>
      <c r="F106">
        <v>0.12600428054000659</v>
      </c>
      <c r="G106">
        <v>0.210594336516299</v>
      </c>
      <c r="H106">
        <v>-1.6795940704626276E-2</v>
      </c>
    </row>
    <row r="107" spans="1:8" x14ac:dyDescent="0.2">
      <c r="A107" t="s">
        <v>339</v>
      </c>
      <c r="B107">
        <v>3.0324282434353118</v>
      </c>
      <c r="C107">
        <v>0.45358087706013761</v>
      </c>
      <c r="D107">
        <v>-3.2419882822799839E-2</v>
      </c>
      <c r="E107">
        <v>0.58941031848887282</v>
      </c>
      <c r="F107">
        <v>0.2658610466200616</v>
      </c>
      <c r="G107">
        <v>-8.3200956968570536E-2</v>
      </c>
      <c r="H107">
        <v>-0.19867034104867806</v>
      </c>
    </row>
    <row r="108" spans="1:8" x14ac:dyDescent="0.2">
      <c r="A108" t="s">
        <v>343</v>
      </c>
      <c r="B108">
        <v>1.8922186261158191</v>
      </c>
      <c r="C108">
        <v>0.10640776935934515</v>
      </c>
      <c r="D108">
        <v>0.12643285236175972</v>
      </c>
      <c r="E108">
        <v>0.83011981789181555</v>
      </c>
      <c r="F108">
        <v>0.53193765196918985</v>
      </c>
      <c r="G108">
        <v>-0.25936626435609172</v>
      </c>
      <c r="H108">
        <v>-0.28542567914031614</v>
      </c>
    </row>
    <row r="109" spans="1:8" x14ac:dyDescent="0.2">
      <c r="A109" t="s">
        <v>351</v>
      </c>
      <c r="B109">
        <v>1.2564512643181329</v>
      </c>
      <c r="C109">
        <v>1.7831295617627901E-2</v>
      </c>
      <c r="D109">
        <v>8.4287875513293642E-3</v>
      </c>
      <c r="E109">
        <v>0.77716878910365639</v>
      </c>
      <c r="F109">
        <v>0.43812405446293501</v>
      </c>
      <c r="G109">
        <v>-4.0006784613153233E-2</v>
      </c>
      <c r="H109">
        <v>-8.4296520423600627E-2</v>
      </c>
    </row>
    <row r="110" spans="1:8" x14ac:dyDescent="0.2">
      <c r="A110" t="s">
        <v>353</v>
      </c>
      <c r="B110">
        <v>13.295965615260796</v>
      </c>
      <c r="C110">
        <v>0.88295608434900386</v>
      </c>
      <c r="D110">
        <v>0.35823144628240677</v>
      </c>
      <c r="E110">
        <v>0.54570361240958798</v>
      </c>
      <c r="F110">
        <v>0.2116168361930203</v>
      </c>
      <c r="G110">
        <v>3.130244186444741E-2</v>
      </c>
      <c r="H110">
        <v>-0.15712901126750914</v>
      </c>
    </row>
    <row r="111" spans="1:8" x14ac:dyDescent="0.2">
      <c r="A111" t="s">
        <v>355</v>
      </c>
      <c r="B111">
        <v>1.3798672786228776</v>
      </c>
      <c r="C111">
        <v>0.3473959314838877</v>
      </c>
      <c r="D111">
        <v>0.10785176133707775</v>
      </c>
      <c r="E111">
        <v>0.32237014296227734</v>
      </c>
      <c r="F111">
        <v>0.10027346639823038</v>
      </c>
      <c r="G111">
        <v>0.15434104903624257</v>
      </c>
      <c r="H111">
        <v>6.6964827721336634E-2</v>
      </c>
    </row>
    <row r="112" spans="1:8" x14ac:dyDescent="0.2">
      <c r="A112" t="s">
        <v>361</v>
      </c>
      <c r="B112">
        <v>2.5730514031152456</v>
      </c>
      <c r="C112">
        <v>5.9285844839904921E-2</v>
      </c>
      <c r="D112">
        <v>0.13566846010258682</v>
      </c>
      <c r="E112">
        <v>0.51478408726353231</v>
      </c>
      <c r="F112">
        <v>0.14176248215714263</v>
      </c>
      <c r="G112">
        <v>5.2352119966745631E-2</v>
      </c>
      <c r="H112">
        <v>-4.2261141001709773E-2</v>
      </c>
    </row>
    <row r="113" spans="1:8" x14ac:dyDescent="0.2">
      <c r="A113" t="s">
        <v>363</v>
      </c>
      <c r="B113">
        <v>2.3407707391181458</v>
      </c>
      <c r="C113">
        <v>-5.9092625275486447E-3</v>
      </c>
      <c r="D113">
        <v>6.0804126625211952E-2</v>
      </c>
      <c r="E113">
        <v>0.5408246156655846</v>
      </c>
      <c r="F113">
        <v>0.18246537591859807</v>
      </c>
      <c r="G113">
        <v>0.14979331543244773</v>
      </c>
      <c r="H113">
        <v>8.4802501413227815E-2</v>
      </c>
    </row>
    <row r="114" spans="1:8" x14ac:dyDescent="0.2">
      <c r="A114" t="s">
        <v>365</v>
      </c>
      <c r="B114">
        <v>4.1829782557931896</v>
      </c>
      <c r="C114">
        <v>0.33594524167798268</v>
      </c>
      <c r="D114">
        <v>0.19284075768190023</v>
      </c>
      <c r="E114">
        <v>0.85252949591562377</v>
      </c>
      <c r="F114">
        <v>0.49302894191013868</v>
      </c>
      <c r="G114">
        <v>4.9642175244845543E-2</v>
      </c>
      <c r="H114">
        <v>-2.1799151110561674E-2</v>
      </c>
    </row>
    <row r="115" spans="1:8" x14ac:dyDescent="0.2">
      <c r="A115" t="s">
        <v>367</v>
      </c>
      <c r="B115">
        <v>2.094648772085701</v>
      </c>
      <c r="C115">
        <v>0.13345406360424014</v>
      </c>
      <c r="D115">
        <v>4.8298222232614041E-2</v>
      </c>
      <c r="E115">
        <v>0.79022188481056888</v>
      </c>
      <c r="F115">
        <v>0.49486777806355076</v>
      </c>
      <c r="G115">
        <v>-3.383291636465665E-2</v>
      </c>
      <c r="H115">
        <v>-8.1343964086137158E-2</v>
      </c>
    </row>
    <row r="116" spans="1:8" x14ac:dyDescent="0.2">
      <c r="A116" t="s">
        <v>369</v>
      </c>
      <c r="B116">
        <v>5.505567784072456</v>
      </c>
      <c r="C116">
        <v>0.5972450361661048</v>
      </c>
      <c r="D116">
        <v>0.39676325190343875</v>
      </c>
      <c r="E116">
        <v>0.87099917488234413</v>
      </c>
      <c r="F116">
        <v>0.2613214015083174</v>
      </c>
      <c r="G116">
        <v>0.11639635938702053</v>
      </c>
      <c r="H116">
        <v>5.3675170497600407E-2</v>
      </c>
    </row>
    <row r="117" spans="1:8" x14ac:dyDescent="0.2">
      <c r="A117" t="s">
        <v>371</v>
      </c>
      <c r="B117">
        <v>10.372073537785733</v>
      </c>
      <c r="C117">
        <v>0.12816041848299911</v>
      </c>
      <c r="D117">
        <v>2.5665012608801829E-2</v>
      </c>
      <c r="E117">
        <v>0.6535019975037103</v>
      </c>
      <c r="F117">
        <v>0.67664524526153091</v>
      </c>
      <c r="G117">
        <v>-1.1143740340030912</v>
      </c>
      <c r="H117">
        <v>-1.1697714146262099</v>
      </c>
    </row>
    <row r="118" spans="1:8" x14ac:dyDescent="0.2">
      <c r="A118" t="s">
        <v>383</v>
      </c>
      <c r="B118">
        <v>3.1716395354047759</v>
      </c>
      <c r="C118">
        <v>0.12036186125458033</v>
      </c>
      <c r="D118">
        <v>8.9157738796050046E-2</v>
      </c>
      <c r="E118">
        <v>0.54081939028252479</v>
      </c>
      <c r="F118">
        <v>0.27482441807348168</v>
      </c>
      <c r="G118">
        <v>-5.2773514104278572E-2</v>
      </c>
      <c r="H118">
        <v>-0.12710149340941534</v>
      </c>
    </row>
    <row r="119" spans="1:8" x14ac:dyDescent="0.2">
      <c r="A119" t="s">
        <v>385</v>
      </c>
      <c r="B119">
        <v>2.1984070980367059</v>
      </c>
      <c r="C119">
        <v>5.4317624345670466E-2</v>
      </c>
      <c r="D119">
        <v>4.5909889906875501E-2</v>
      </c>
      <c r="E119">
        <v>0.85231386595492098</v>
      </c>
      <c r="F119">
        <v>0.43699714186323541</v>
      </c>
      <c r="G119">
        <v>0.19263254750238168</v>
      </c>
      <c r="H119">
        <v>5.4889192725901793E-2</v>
      </c>
    </row>
    <row r="120" spans="1:8" x14ac:dyDescent="0.2">
      <c r="A120" t="s">
        <v>391</v>
      </c>
      <c r="B120">
        <v>1.3186901678116907</v>
      </c>
      <c r="C120">
        <v>-1.7472805940090159E-2</v>
      </c>
      <c r="D120">
        <v>0.11687126928708191</v>
      </c>
      <c r="E120">
        <v>0.68128167371624215</v>
      </c>
      <c r="F120">
        <v>0.43153508277959235</v>
      </c>
      <c r="G120">
        <v>-9.7116792431580154E-2</v>
      </c>
      <c r="H120">
        <v>-0.13914855276495103</v>
      </c>
    </row>
    <row r="121" spans="1:8" x14ac:dyDescent="0.2">
      <c r="A121" t="s">
        <v>395</v>
      </c>
      <c r="B121">
        <v>3.2315363661572087</v>
      </c>
      <c r="C121">
        <v>-0.11629549549549546</v>
      </c>
      <c r="D121">
        <v>7.7772521897988778E-2</v>
      </c>
      <c r="E121">
        <v>0.63566967234935934</v>
      </c>
      <c r="F121">
        <v>0.28840099825468546</v>
      </c>
      <c r="G121">
        <v>2.6946351966333371E-2</v>
      </c>
      <c r="H121">
        <v>-3.2454695222405273E-2</v>
      </c>
    </row>
    <row r="122" spans="1:8" x14ac:dyDescent="0.2">
      <c r="A122" t="s">
        <v>397</v>
      </c>
      <c r="B122">
        <v>1.2071086833678661</v>
      </c>
      <c r="C122">
        <v>-0.4208763758140347</v>
      </c>
      <c r="D122">
        <v>1.0939254096816726</v>
      </c>
      <c r="E122">
        <v>0.41391975074461967</v>
      </c>
      <c r="F122">
        <v>0.19540403089093994</v>
      </c>
      <c r="G122">
        <v>-0.77476925974759847</v>
      </c>
      <c r="H122">
        <v>-0.81159625164814475</v>
      </c>
    </row>
    <row r="123" spans="1:8" x14ac:dyDescent="0.2">
      <c r="A123" t="s">
        <v>399</v>
      </c>
      <c r="B123">
        <v>2.5160229501974896</v>
      </c>
      <c r="C123">
        <v>-0.80681445032914445</v>
      </c>
      <c r="D123">
        <v>0.20755124106546718</v>
      </c>
      <c r="E123">
        <v>0.8503453377377399</v>
      </c>
      <c r="F123">
        <v>0.28332800411495862</v>
      </c>
      <c r="G123">
        <v>-0.13064671777998982</v>
      </c>
      <c r="H123">
        <v>-0.27934203627576876</v>
      </c>
    </row>
    <row r="124" spans="1:8" x14ac:dyDescent="0.2">
      <c r="A124" t="s">
        <v>409</v>
      </c>
      <c r="B124">
        <v>0.97118829069961554</v>
      </c>
      <c r="C124">
        <v>-0.25126432360998513</v>
      </c>
      <c r="D124">
        <v>-3.982098141349466E-2</v>
      </c>
      <c r="E124">
        <v>0.56622606522251473</v>
      </c>
      <c r="F124">
        <v>0.15005284263262289</v>
      </c>
      <c r="G124">
        <v>-0.18292972351403164</v>
      </c>
      <c r="H124">
        <v>-0.39573463359162725</v>
      </c>
    </row>
    <row r="125" spans="1:8" x14ac:dyDescent="0.2">
      <c r="A125" t="s">
        <v>411</v>
      </c>
      <c r="B125">
        <v>0.58065960776479209</v>
      </c>
      <c r="C125">
        <v>-0.56821375812753172</v>
      </c>
      <c r="D125">
        <v>3.6360003995604906E-2</v>
      </c>
      <c r="E125">
        <v>0.5148919555518755</v>
      </c>
      <c r="F125">
        <v>0.43114241001564946</v>
      </c>
      <c r="G125">
        <v>-0.3627509739286785</v>
      </c>
      <c r="H125">
        <v>-0.62696531372440323</v>
      </c>
    </row>
    <row r="126" spans="1:8" x14ac:dyDescent="0.2">
      <c r="A126" t="s">
        <v>413</v>
      </c>
      <c r="B126">
        <v>4.7459682221316868</v>
      </c>
      <c r="C126">
        <v>2.9887357583190728E-2</v>
      </c>
      <c r="D126">
        <v>0.21000344730326859</v>
      </c>
      <c r="E126">
        <v>0.59622677011593583</v>
      </c>
      <c r="F126">
        <v>0.48735466482810497</v>
      </c>
      <c r="G126">
        <v>-0.38988999968660876</v>
      </c>
      <c r="H126">
        <v>-0.65422214829671888</v>
      </c>
    </row>
    <row r="127" spans="1:8" x14ac:dyDescent="0.2">
      <c r="A127" t="s">
        <v>557</v>
      </c>
      <c r="B127">
        <v>13.781501875059311</v>
      </c>
      <c r="C127">
        <v>1.1924151747874554</v>
      </c>
      <c r="D127">
        <v>0.41861445945455178</v>
      </c>
      <c r="E127">
        <v>0.56464883488461426</v>
      </c>
      <c r="F127">
        <v>0.26441089397157597</v>
      </c>
      <c r="G127">
        <v>-4.8478571838612518E-2</v>
      </c>
      <c r="H127">
        <v>-6.1180473140551542E-2</v>
      </c>
    </row>
    <row r="128" spans="1:8" x14ac:dyDescent="0.2">
      <c r="A128" t="s">
        <v>558</v>
      </c>
      <c r="B128">
        <v>16.751270540623491</v>
      </c>
      <c r="C128">
        <v>1.9452743178440652</v>
      </c>
      <c r="D128">
        <v>0.41248745064788483</v>
      </c>
      <c r="E128">
        <v>0.72058509256244452</v>
      </c>
      <c r="F128">
        <v>0.57193834821916245</v>
      </c>
      <c r="G128">
        <v>-0.5601978766236132</v>
      </c>
      <c r="H128">
        <v>-0.57740024240406573</v>
      </c>
    </row>
    <row r="129" spans="1:8" x14ac:dyDescent="0.2">
      <c r="A129" t="s">
        <v>145</v>
      </c>
      <c r="B129">
        <v>19.979064961561519</v>
      </c>
      <c r="C129">
        <v>1.3675568004979766</v>
      </c>
      <c r="D129">
        <v>0.36080641938435365</v>
      </c>
      <c r="E129">
        <v>0.80084028022065901</v>
      </c>
      <c r="F129">
        <v>0.61211837580321193</v>
      </c>
      <c r="G129">
        <f>H129</f>
        <v>-0.1545058735684163</v>
      </c>
      <c r="H129">
        <v>-0.1545058735684163</v>
      </c>
    </row>
    <row r="130" spans="1:8" x14ac:dyDescent="0.2">
      <c r="A130" t="s">
        <v>559</v>
      </c>
      <c r="B130">
        <v>12.341002906740716</v>
      </c>
      <c r="C130">
        <v>0.7763643247336256</v>
      </c>
      <c r="D130">
        <v>0.35545257465776769</v>
      </c>
      <c r="E130">
        <v>0.5315153933100274</v>
      </c>
      <c r="F130">
        <v>0.20434265439015278</v>
      </c>
      <c r="G130">
        <v>-0.13976900967206404</v>
      </c>
      <c r="H130">
        <v>-0.1828748518211786</v>
      </c>
    </row>
    <row r="131" spans="1:8" x14ac:dyDescent="0.2">
      <c r="A131" t="s">
        <v>561</v>
      </c>
      <c r="B131">
        <v>5.0521327571755377</v>
      </c>
      <c r="C131">
        <v>0.11328428300139391</v>
      </c>
      <c r="D131">
        <v>0.33553348864665233</v>
      </c>
      <c r="E131">
        <v>0.68894832236776027</v>
      </c>
      <c r="F131">
        <v>7.164089431901971E-2</v>
      </c>
      <c r="G131">
        <v>0.21141868003285524</v>
      </c>
      <c r="H131">
        <v>1.5162871570295377E-2</v>
      </c>
    </row>
    <row r="132" spans="1:8" x14ac:dyDescent="0.2">
      <c r="A132" t="s">
        <v>563</v>
      </c>
      <c r="B132">
        <v>8.0903977346864426</v>
      </c>
      <c r="C132">
        <v>0.77000237846557962</v>
      </c>
      <c r="D132">
        <v>0.31412919220305247</v>
      </c>
      <c r="E132">
        <v>0.81491501857683057</v>
      </c>
      <c r="F132">
        <v>0.39813392069455072</v>
      </c>
      <c r="G132">
        <v>-5.4056317346436011E-2</v>
      </c>
      <c r="H132">
        <v>-8.0099085189414249E-2</v>
      </c>
    </row>
    <row r="133" spans="1:8" x14ac:dyDescent="0.2">
      <c r="A133" t="s">
        <v>564</v>
      </c>
      <c r="B133">
        <v>17.244657073674794</v>
      </c>
      <c r="C133">
        <v>2.7737902615619219</v>
      </c>
      <c r="D133">
        <v>0.30814478940144041</v>
      </c>
      <c r="E133">
        <v>0.70405158039363003</v>
      </c>
      <c r="F133">
        <v>0.53354616820123701</v>
      </c>
      <c r="G133">
        <v>-0.35956445966162343</v>
      </c>
      <c r="H133">
        <v>-0.3813291383272413</v>
      </c>
    </row>
    <row r="134" spans="1:8" x14ac:dyDescent="0.2">
      <c r="A134" t="s">
        <v>570</v>
      </c>
      <c r="B134">
        <v>9.9784416791877995</v>
      </c>
      <c r="C134">
        <v>1.4046334851745246</v>
      </c>
      <c r="D134">
        <v>0.26594888056913724</v>
      </c>
      <c r="E134">
        <v>0.73876460508669539</v>
      </c>
      <c r="F134">
        <v>0.46143629164141686</v>
      </c>
      <c r="G134">
        <f>H134</f>
        <v>-0.54499389854146074</v>
      </c>
      <c r="H134">
        <v>-0.54499389854146074</v>
      </c>
    </row>
    <row r="135" spans="1:8" x14ac:dyDescent="0.2">
      <c r="A135" t="s">
        <v>577</v>
      </c>
      <c r="B135">
        <v>4.6560804107299809</v>
      </c>
      <c r="C135">
        <v>0.28070980646034038</v>
      </c>
      <c r="D135">
        <v>0.24161319405935378</v>
      </c>
      <c r="E135">
        <v>0.71521263015639036</v>
      </c>
      <c r="F135">
        <v>0.34298669503449786</v>
      </c>
      <c r="G135">
        <v>0.1336569982156936</v>
      </c>
      <c r="H135">
        <v>-7.1294967909305918E-3</v>
      </c>
    </row>
    <row r="136" spans="1:8" x14ac:dyDescent="0.2">
      <c r="A136" t="s">
        <v>588</v>
      </c>
      <c r="B136">
        <v>14.998912459019817</v>
      </c>
      <c r="C136">
        <v>0.87239657788823166</v>
      </c>
      <c r="D136">
        <v>0.19034512100899992</v>
      </c>
      <c r="E136">
        <v>0.69785207155645024</v>
      </c>
      <c r="F136">
        <v>0.1708351604752657</v>
      </c>
      <c r="G136">
        <v>0.24562399507193719</v>
      </c>
      <c r="H136">
        <v>0.21254360285143767</v>
      </c>
    </row>
    <row r="137" spans="1:8" x14ac:dyDescent="0.2">
      <c r="A137" t="s">
        <v>590</v>
      </c>
      <c r="B137">
        <v>6.6975160973945673</v>
      </c>
      <c r="C137">
        <v>0.31582002714828628</v>
      </c>
      <c r="D137">
        <v>0.1806401563981197</v>
      </c>
      <c r="E137">
        <v>0.75606256595479848</v>
      </c>
      <c r="F137">
        <v>0.2070979423544346</v>
      </c>
      <c r="G137">
        <v>0.13472280991789756</v>
      </c>
      <c r="H137">
        <v>8.0269276089363087E-2</v>
      </c>
    </row>
    <row r="138" spans="1:8" x14ac:dyDescent="0.2">
      <c r="A138" t="s">
        <v>597</v>
      </c>
      <c r="B138">
        <v>10.846570118058157</v>
      </c>
      <c r="C138">
        <v>1.148917759574531</v>
      </c>
      <c r="D138">
        <v>1.2798168039962041</v>
      </c>
      <c r="E138">
        <v>0.70484323193662135</v>
      </c>
      <c r="F138">
        <v>0.17770238652316328</v>
      </c>
      <c r="G138">
        <v>0.28234674777725782</v>
      </c>
      <c r="H138">
        <v>0.111911265793168</v>
      </c>
    </row>
    <row r="139" spans="1:8" x14ac:dyDescent="0.2">
      <c r="A139" t="s">
        <v>598</v>
      </c>
      <c r="B139">
        <v>6.4165872222518496</v>
      </c>
      <c r="C139">
        <v>0.24684197049157583</v>
      </c>
      <c r="D139">
        <v>0.70360160621062073</v>
      </c>
      <c r="E139">
        <v>0.52622289206330197</v>
      </c>
      <c r="F139">
        <v>0.14528740118616318</v>
      </c>
      <c r="G139">
        <v>0.16291078586997595</v>
      </c>
      <c r="H139">
        <v>0.10941369794934695</v>
      </c>
    </row>
    <row r="140" spans="1:8" x14ac:dyDescent="0.2">
      <c r="A140" t="s">
        <v>599</v>
      </c>
      <c r="B140">
        <v>7.7263998579922211</v>
      </c>
      <c r="C140">
        <v>2.2863142914736962</v>
      </c>
      <c r="D140">
        <v>0.4558973541973701</v>
      </c>
      <c r="E140">
        <v>0.69782487363062351</v>
      </c>
      <c r="F140">
        <v>0.2563865212843971</v>
      </c>
      <c r="G140">
        <v>0.24663092218361932</v>
      </c>
      <c r="H140">
        <v>0.11731849456823912</v>
      </c>
    </row>
    <row r="141" spans="1:8" x14ac:dyDescent="0.2">
      <c r="A141" t="s">
        <v>602</v>
      </c>
      <c r="B141">
        <v>5.4928569017809679</v>
      </c>
      <c r="C141">
        <v>0.45442934870135626</v>
      </c>
      <c r="D141">
        <v>0.30537113040322628</v>
      </c>
      <c r="E141">
        <v>0.82861537193777279</v>
      </c>
      <c r="F141">
        <v>0.19589767041169956</v>
      </c>
      <c r="G141">
        <v>0.46475072954811325</v>
      </c>
      <c r="H141">
        <v>0.10145241590998064</v>
      </c>
    </row>
    <row r="142" spans="1:8" x14ac:dyDescent="0.2">
      <c r="A142" t="s">
        <v>603</v>
      </c>
      <c r="B142">
        <v>8.8287788008931152</v>
      </c>
      <c r="C142">
        <v>0.8045863366715571</v>
      </c>
      <c r="D142">
        <v>0.2840470593780009</v>
      </c>
      <c r="E142">
        <v>0.3100982094023409</v>
      </c>
      <c r="F142">
        <v>3.2649358147316829E-2</v>
      </c>
      <c r="G142">
        <v>0.10094083408446888</v>
      </c>
      <c r="H142">
        <v>5.2382229436047437E-2</v>
      </c>
    </row>
    <row r="143" spans="1:8" x14ac:dyDescent="0.2">
      <c r="A143" t="s">
        <v>604</v>
      </c>
      <c r="B143">
        <v>2.2580376340856949</v>
      </c>
      <c r="C143">
        <v>0.66015724320847935</v>
      </c>
      <c r="D143">
        <v>0.17845259402515357</v>
      </c>
      <c r="E143">
        <v>0.54085333932219193</v>
      </c>
      <c r="F143">
        <v>0.31338514576751675</v>
      </c>
      <c r="G143">
        <v>-0.1280555922593665</v>
      </c>
      <c r="H143">
        <v>-7.820955807276965E-2</v>
      </c>
    </row>
    <row r="144" spans="1:8" x14ac:dyDescent="0.2">
      <c r="A144" t="s">
        <v>605</v>
      </c>
      <c r="B144">
        <v>13.079168592601427</v>
      </c>
      <c r="C144">
        <v>0.3454840910002811</v>
      </c>
      <c r="D144">
        <v>0.1779265510608794</v>
      </c>
      <c r="E144">
        <v>0.94920005481524361</v>
      </c>
      <c r="F144">
        <v>0.12311569027986936</v>
      </c>
      <c r="G144">
        <v>0.31101734086808713</v>
      </c>
      <c r="H144">
        <v>0.23566135357180129</v>
      </c>
    </row>
    <row r="145" spans="1:8" x14ac:dyDescent="0.2">
      <c r="A145" t="s">
        <v>607</v>
      </c>
      <c r="B145">
        <v>5.3446900578751544</v>
      </c>
      <c r="C145">
        <v>0.1005459508644222</v>
      </c>
      <c r="D145">
        <v>0.11512505167424569</v>
      </c>
      <c r="E145">
        <v>0.72405952873088053</v>
      </c>
      <c r="F145">
        <v>0.13249276560562215</v>
      </c>
      <c r="G145">
        <v>0.23790822653989252</v>
      </c>
      <c r="H145">
        <v>0.18211657709797435</v>
      </c>
    </row>
    <row r="146" spans="1:8" x14ac:dyDescent="0.2">
      <c r="A146" t="s">
        <v>608</v>
      </c>
      <c r="B146">
        <v>3.2369381488124351</v>
      </c>
      <c r="C146">
        <v>0.19116290361738297</v>
      </c>
      <c r="D146">
        <v>0.11091975107342789</v>
      </c>
      <c r="E146">
        <v>0.69071462825322683</v>
      </c>
      <c r="F146">
        <v>0.24008324727793176</v>
      </c>
      <c r="G146">
        <v>9.3039476783158506E-2</v>
      </c>
      <c r="H146">
        <v>5.6450316593293103E-2</v>
      </c>
    </row>
    <row r="147" spans="1:8" x14ac:dyDescent="0.2">
      <c r="A147" t="s">
        <v>610</v>
      </c>
      <c r="B147">
        <v>3.7845551496307817</v>
      </c>
      <c r="C147">
        <v>0.18801366700526354</v>
      </c>
      <c r="D147">
        <v>9.9755926933540628E-2</v>
      </c>
      <c r="E147">
        <v>0.54170228592672098</v>
      </c>
      <c r="F147">
        <v>0.19603575592693354</v>
      </c>
      <c r="G147">
        <v>0.25324523902059848</v>
      </c>
      <c r="H147">
        <v>0.10298638861940536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D8796-BB77-4ADB-9946-F2FCB825A012}">
  <dimension ref="A1:L198"/>
  <sheetViews>
    <sheetView zoomScale="85" zoomScaleNormal="85" workbookViewId="0">
      <selection activeCell="H41" sqref="H41"/>
    </sheetView>
  </sheetViews>
  <sheetFormatPr defaultRowHeight="12.75" x14ac:dyDescent="0.2"/>
  <cols>
    <col min="1" max="1" width="18.140625" bestFit="1" customWidth="1"/>
    <col min="2" max="3" width="9.7109375" bestFit="1" customWidth="1"/>
    <col min="4" max="4" width="7.85546875" bestFit="1" customWidth="1"/>
    <col min="5" max="5" width="16.140625" bestFit="1" customWidth="1"/>
    <col min="6" max="6" width="16.28515625" bestFit="1" customWidth="1"/>
    <col min="7" max="7" width="10.5703125" bestFit="1" customWidth="1"/>
    <col min="8" max="8" width="11.7109375" bestFit="1" customWidth="1"/>
    <col min="9" max="9" width="12" bestFit="1" customWidth="1"/>
    <col min="10" max="10" width="11.85546875" bestFit="1" customWidth="1"/>
    <col min="11" max="11" width="14.7109375" bestFit="1" customWidth="1"/>
    <col min="12" max="12" width="14.85546875" bestFit="1" customWidth="1"/>
  </cols>
  <sheetData>
    <row r="1" spans="1:12" x14ac:dyDescent="0.2">
      <c r="A1" t="s">
        <v>0</v>
      </c>
      <c r="B1" t="s">
        <v>963</v>
      </c>
      <c r="C1" t="s">
        <v>964</v>
      </c>
      <c r="D1" t="s">
        <v>902</v>
      </c>
      <c r="E1" t="s">
        <v>965</v>
      </c>
      <c r="F1" t="s">
        <v>966</v>
      </c>
      <c r="G1" t="s">
        <v>967</v>
      </c>
      <c r="H1" t="s">
        <v>978</v>
      </c>
      <c r="I1" t="s">
        <v>979</v>
      </c>
      <c r="J1" t="s">
        <v>980</v>
      </c>
      <c r="K1" t="s">
        <v>974</v>
      </c>
      <c r="L1" t="s">
        <v>981</v>
      </c>
    </row>
    <row r="2" spans="1:12" x14ac:dyDescent="0.2">
      <c r="A2" t="s">
        <v>1</v>
      </c>
      <c r="B2">
        <v>110360</v>
      </c>
      <c r="C2">
        <v>122897.462</v>
      </c>
      <c r="D2">
        <v>6.8784829639362091</v>
      </c>
      <c r="E2">
        <v>0.21069837856813745</v>
      </c>
      <c r="F2">
        <v>0.1136051286698079</v>
      </c>
      <c r="G2">
        <v>0.65247372236317502</v>
      </c>
      <c r="H2">
        <v>0.13343602754621239</v>
      </c>
      <c r="I2">
        <v>0.15829104748097136</v>
      </c>
      <c r="J2">
        <v>4.3077201884740846E-2</v>
      </c>
      <c r="K2">
        <v>0.41064697354113811</v>
      </c>
      <c r="L2">
        <v>0.24918575570859006</v>
      </c>
    </row>
    <row r="3" spans="1:12" x14ac:dyDescent="0.2">
      <c r="A3" t="s">
        <v>7</v>
      </c>
      <c r="B3">
        <v>39836</v>
      </c>
      <c r="C3">
        <v>40369.717000000004</v>
      </c>
      <c r="D3">
        <v>4.4892381363590719</v>
      </c>
      <c r="E3">
        <v>7.5282748940534994E-2</v>
      </c>
      <c r="F3">
        <v>1.3397856210463003E-2</v>
      </c>
      <c r="G3">
        <v>0.79669143488302041</v>
      </c>
      <c r="H3">
        <v>0.15290189778090169</v>
      </c>
      <c r="I3">
        <v>0.21164273521437896</v>
      </c>
      <c r="J3">
        <v>3.2357666432372728E-2</v>
      </c>
      <c r="K3">
        <v>0.42810523144894064</v>
      </c>
      <c r="L3">
        <v>0.2829972991471616</v>
      </c>
    </row>
    <row r="4" spans="1:12" x14ac:dyDescent="0.2">
      <c r="A4" t="s">
        <v>9</v>
      </c>
      <c r="B4">
        <v>8571.9779999999992</v>
      </c>
      <c r="C4">
        <v>10315.565000000001</v>
      </c>
      <c r="D4">
        <v>13.695968421757499</v>
      </c>
      <c r="E4">
        <v>0.46418660740669865</v>
      </c>
      <c r="F4">
        <v>0.20340544504430613</v>
      </c>
      <c r="G4">
        <v>0.8709037817895926</v>
      </c>
      <c r="H4">
        <v>0.14279772999884041</v>
      </c>
      <c r="I4">
        <v>0.25636930006119946</v>
      </c>
      <c r="J4">
        <v>7.2877695206403942E-2</v>
      </c>
      <c r="K4">
        <v>0.36045472818525676</v>
      </c>
      <c r="L4">
        <v>0.28179107087920752</v>
      </c>
    </row>
    <row r="5" spans="1:12" x14ac:dyDescent="0.2">
      <c r="A5" t="s">
        <v>11</v>
      </c>
      <c r="B5">
        <v>11817.844000000001</v>
      </c>
      <c r="C5">
        <v>14404.651</v>
      </c>
      <c r="D5">
        <v>8.7912989797462213</v>
      </c>
      <c r="E5">
        <v>0.77253054348321704</v>
      </c>
      <c r="F5">
        <v>0.2188899261151187</v>
      </c>
      <c r="G5">
        <v>0.74036718925317502</v>
      </c>
      <c r="H5">
        <v>0.13141762575305613</v>
      </c>
      <c r="I5">
        <v>0.40864399631607928</v>
      </c>
      <c r="J5">
        <v>9.2094463254041928E-2</v>
      </c>
      <c r="K5">
        <v>0.11068787166254691</v>
      </c>
      <c r="L5">
        <v>4.0826302631850615E-2</v>
      </c>
    </row>
    <row r="6" spans="1:12" x14ac:dyDescent="0.2">
      <c r="A6" t="s">
        <v>15</v>
      </c>
      <c r="B6">
        <v>13325.8</v>
      </c>
      <c r="C6">
        <v>14165.857</v>
      </c>
      <c r="D6">
        <v>4.6235952438127539</v>
      </c>
      <c r="E6">
        <v>0.14210048166749517</v>
      </c>
      <c r="F6">
        <v>6.303989253928477E-2</v>
      </c>
      <c r="G6">
        <v>0.41146497404822785</v>
      </c>
      <c r="H6">
        <v>0</v>
      </c>
      <c r="I6" t="e">
        <v>#VALUE!</v>
      </c>
      <c r="J6" t="e">
        <v>#VALUE!</v>
      </c>
      <c r="K6">
        <v>0.24967356556454398</v>
      </c>
      <c r="L6">
        <v>0.144803088745141</v>
      </c>
    </row>
    <row r="7" spans="1:12" x14ac:dyDescent="0.2">
      <c r="A7" t="s">
        <v>17</v>
      </c>
      <c r="B7">
        <v>8467</v>
      </c>
      <c r="C7">
        <v>9081.755000000001</v>
      </c>
      <c r="D7">
        <v>5.8193584976969408</v>
      </c>
      <c r="E7">
        <v>0.19371211053150994</v>
      </c>
      <c r="F7">
        <v>7.2605999763788898E-2</v>
      </c>
      <c r="G7">
        <v>0.8603991968820125</v>
      </c>
      <c r="H7">
        <v>0.20727530412188497</v>
      </c>
      <c r="I7">
        <v>0.30624778552025511</v>
      </c>
      <c r="J7">
        <v>7.7241053501830637E-2</v>
      </c>
      <c r="K7">
        <v>0.29703554978150465</v>
      </c>
      <c r="L7">
        <v>0.40103169059199528</v>
      </c>
    </row>
    <row r="8" spans="1:12" x14ac:dyDescent="0.2">
      <c r="A8" t="s">
        <v>19</v>
      </c>
      <c r="B8">
        <v>5964</v>
      </c>
      <c r="C8">
        <v>6610.5380000000005</v>
      </c>
      <c r="D8">
        <v>8.7672232562038896</v>
      </c>
      <c r="E8">
        <v>0.27055815935236471</v>
      </c>
      <c r="F8">
        <v>0.10840677397719656</v>
      </c>
      <c r="G8">
        <v>0.83702213279678073</v>
      </c>
      <c r="H8">
        <v>0.19885982562038901</v>
      </c>
      <c r="I8">
        <v>0.27397719651240776</v>
      </c>
      <c r="J8">
        <v>0.11133467471495641</v>
      </c>
      <c r="K8">
        <v>0.3056673373574782</v>
      </c>
      <c r="L8">
        <v>0.21276932914404878</v>
      </c>
    </row>
    <row r="9" spans="1:12" x14ac:dyDescent="0.2">
      <c r="A9" t="s">
        <v>23</v>
      </c>
      <c r="B9">
        <v>2264.8180000000002</v>
      </c>
      <c r="C9">
        <v>2957.73</v>
      </c>
      <c r="D9">
        <v>13.27660805415711</v>
      </c>
      <c r="E9">
        <v>0.62876434812188042</v>
      </c>
      <c r="F9">
        <v>0.30594599654365151</v>
      </c>
      <c r="G9">
        <v>0.75349984737580866</v>
      </c>
      <c r="H9">
        <v>0.16668800760149377</v>
      </c>
      <c r="I9">
        <v>0.41796603523991765</v>
      </c>
      <c r="J9">
        <v>9.2958021350942971E-2</v>
      </c>
      <c r="K9">
        <v>2.6210494618110591E-2</v>
      </c>
      <c r="L9">
        <v>-3.9516806217013457E-2</v>
      </c>
    </row>
    <row r="10" spans="1:12" x14ac:dyDescent="0.2">
      <c r="A10" t="s">
        <v>29</v>
      </c>
      <c r="B10">
        <v>3957.0110000000004</v>
      </c>
      <c r="C10">
        <v>4123.2660000000005</v>
      </c>
      <c r="D10">
        <v>9.4107769728211519</v>
      </c>
      <c r="E10">
        <v>0.10562194763831495</v>
      </c>
      <c r="F10">
        <v>4.2015298921332267E-2</v>
      </c>
      <c r="G10">
        <v>0.75326326682307521</v>
      </c>
      <c r="H10">
        <v>0</v>
      </c>
      <c r="I10">
        <v>0.16919487967053917</v>
      </c>
      <c r="J10">
        <v>7.4576744921861463E-2</v>
      </c>
      <c r="K10">
        <v>0.33769630663144479</v>
      </c>
      <c r="L10">
        <v>2.3714983354860525E-2</v>
      </c>
    </row>
    <row r="11" spans="1:12" x14ac:dyDescent="0.2">
      <c r="A11" t="s">
        <v>31</v>
      </c>
      <c r="B11">
        <v>2240.6999999999998</v>
      </c>
      <c r="C11">
        <v>2807.2000000000003</v>
      </c>
      <c r="D11">
        <v>12.712227161154997</v>
      </c>
      <c r="E11">
        <v>-0.10518749251227991</v>
      </c>
      <c r="F11">
        <v>0.25282277859597468</v>
      </c>
      <c r="G11">
        <v>0.87182577145691786</v>
      </c>
      <c r="H11">
        <v>0.33717141964564645</v>
      </c>
      <c r="I11">
        <v>0.48525014504395947</v>
      </c>
      <c r="J11">
        <v>0.13620743517650735</v>
      </c>
      <c r="K11">
        <v>-5.8508501807470879E-2</v>
      </c>
      <c r="L11">
        <v>-0.13449689685759542</v>
      </c>
    </row>
    <row r="12" spans="1:12" x14ac:dyDescent="0.2">
      <c r="A12" t="s">
        <v>33</v>
      </c>
      <c r="B12">
        <v>2428.232</v>
      </c>
      <c r="C12">
        <v>3119.846</v>
      </c>
      <c r="D12">
        <v>10.483709258423414</v>
      </c>
      <c r="E12">
        <v>1.0992936741910104</v>
      </c>
      <c r="F12">
        <v>0.28482204336323713</v>
      </c>
      <c r="G12">
        <v>0.70649098895806062</v>
      </c>
      <c r="H12">
        <v>0.37499876453320768</v>
      </c>
      <c r="I12">
        <v>0.28142574515120466</v>
      </c>
      <c r="J12">
        <v>9.1798889068260364E-2</v>
      </c>
      <c r="K12">
        <v>-4.4409677493748537E-2</v>
      </c>
      <c r="L12">
        <v>-0.137903072523548</v>
      </c>
    </row>
    <row r="13" spans="1:12" x14ac:dyDescent="0.2">
      <c r="A13" t="s">
        <v>35</v>
      </c>
      <c r="B13">
        <v>3426.9</v>
      </c>
      <c r="C13">
        <v>3662.9560000000001</v>
      </c>
      <c r="D13">
        <v>6.7460976100849166</v>
      </c>
      <c r="E13">
        <v>0.16091331007147938</v>
      </c>
      <c r="F13">
        <v>6.8883247249700963E-2</v>
      </c>
      <c r="G13">
        <v>0.69325044891269261</v>
      </c>
      <c r="H13">
        <v>0</v>
      </c>
      <c r="I13" t="e">
        <v>#VALUE!</v>
      </c>
      <c r="J13" t="e">
        <v>#VALUE!</v>
      </c>
      <c r="K13">
        <v>0.41957037546073656</v>
      </c>
      <c r="L13">
        <v>0.26672697189880062</v>
      </c>
    </row>
    <row r="14" spans="1:12" x14ac:dyDescent="0.2">
      <c r="A14" t="s">
        <v>37</v>
      </c>
      <c r="B14">
        <v>3156.587</v>
      </c>
      <c r="C14">
        <v>3599.1820000000002</v>
      </c>
      <c r="D14">
        <v>6.0739128685507477</v>
      </c>
      <c r="E14">
        <v>0.5381253563197107</v>
      </c>
      <c r="F14">
        <v>0.14021314793477901</v>
      </c>
      <c r="G14">
        <v>0.85236806652495634</v>
      </c>
      <c r="H14">
        <v>0.18321370518221103</v>
      </c>
      <c r="I14">
        <v>0.37970630937781852</v>
      </c>
      <c r="J14">
        <v>7.5814796170674215E-2</v>
      </c>
      <c r="K14">
        <v>0.19092963381018804</v>
      </c>
      <c r="L14">
        <v>0.13211163371598883</v>
      </c>
    </row>
    <row r="15" spans="1:12" x14ac:dyDescent="0.2">
      <c r="A15" t="s">
        <v>39</v>
      </c>
      <c r="B15">
        <v>10956</v>
      </c>
      <c r="C15">
        <v>8994.0679999999993</v>
      </c>
      <c r="D15">
        <v>3.5265642479006938</v>
      </c>
      <c r="E15">
        <v>-5.4212707182320442E-2</v>
      </c>
      <c r="F15">
        <v>-0.17907374954362909</v>
      </c>
      <c r="G15">
        <v>0.49744432274552758</v>
      </c>
      <c r="H15">
        <v>0</v>
      </c>
      <c r="I15" t="e">
        <v>#VALUE!</v>
      </c>
      <c r="J15" t="e">
        <v>#VALUE!</v>
      </c>
      <c r="K15">
        <v>0.2787513691128149</v>
      </c>
      <c r="L15">
        <v>8.7511865644395767E-2</v>
      </c>
    </row>
    <row r="16" spans="1:12" x14ac:dyDescent="0.2">
      <c r="A16" t="s">
        <v>43</v>
      </c>
      <c r="B16">
        <v>4148</v>
      </c>
      <c r="C16">
        <v>4285.5</v>
      </c>
      <c r="D16">
        <v>4.2819173577627767</v>
      </c>
      <c r="E16">
        <v>3.0559006211180125E-2</v>
      </c>
      <c r="F16">
        <v>3.3148505303760789E-2</v>
      </c>
      <c r="G16">
        <v>0.85486981677917073</v>
      </c>
      <c r="H16">
        <v>0.15477338476374156</v>
      </c>
      <c r="I16">
        <v>0.25578592092574737</v>
      </c>
      <c r="J16">
        <v>9.7878495660559311E-2</v>
      </c>
      <c r="K16">
        <v>0.34715525554484089</v>
      </c>
      <c r="L16">
        <v>0.18998194877144337</v>
      </c>
    </row>
    <row r="17" spans="1:12" x14ac:dyDescent="0.2">
      <c r="A17" t="s">
        <v>45</v>
      </c>
      <c r="B17">
        <v>3721.3010000000004</v>
      </c>
      <c r="C17">
        <v>4117.8980000000001</v>
      </c>
      <c r="D17">
        <v>5.8467694497166445</v>
      </c>
      <c r="E17">
        <v>0.28402636164449746</v>
      </c>
      <c r="F17">
        <v>0.10657482423485765</v>
      </c>
      <c r="G17">
        <v>0.59173364014800356</v>
      </c>
      <c r="H17">
        <v>0</v>
      </c>
      <c r="I17" t="e">
        <v>#VALUE!</v>
      </c>
      <c r="J17" t="e">
        <v>#VALUE!</v>
      </c>
      <c r="K17">
        <v>0.33040998296026036</v>
      </c>
      <c r="L17">
        <v>0.11992017639997811</v>
      </c>
    </row>
    <row r="18" spans="1:12" x14ac:dyDescent="0.2">
      <c r="A18" t="s">
        <v>49</v>
      </c>
      <c r="B18">
        <v>1896.9269999999999</v>
      </c>
      <c r="C18">
        <v>1960.394</v>
      </c>
      <c r="D18">
        <v>6.8486821580377111</v>
      </c>
      <c r="E18">
        <v>8.9373405287196173E-2</v>
      </c>
      <c r="F18">
        <v>3.3457797796119682E-2</v>
      </c>
      <c r="G18">
        <v>0.89545407388358411</v>
      </c>
      <c r="H18">
        <v>0.1014198226921753</v>
      </c>
      <c r="I18">
        <v>0.22848902461718351</v>
      </c>
      <c r="J18">
        <v>4.8481043287380066E-2</v>
      </c>
      <c r="K18">
        <v>0.50062601249283711</v>
      </c>
      <c r="L18">
        <v>0.43366146404157885</v>
      </c>
    </row>
    <row r="19" spans="1:12" x14ac:dyDescent="0.2">
      <c r="A19" t="s">
        <v>51</v>
      </c>
      <c r="B19">
        <v>947.42399999999998</v>
      </c>
      <c r="C19">
        <v>1254.6490000000001</v>
      </c>
      <c r="D19">
        <v>16.244587217549903</v>
      </c>
      <c r="E19">
        <v>1.0728747773805511</v>
      </c>
      <c r="F19">
        <v>0.32427403147904221</v>
      </c>
      <c r="G19">
        <v>0.81234907806795387</v>
      </c>
      <c r="H19">
        <v>0.43884892086330929</v>
      </c>
      <c r="I19">
        <v>0.19842224811699938</v>
      </c>
      <c r="J19">
        <v>0.15963496808187252</v>
      </c>
      <c r="K19">
        <v>4.5932971932313299E-2</v>
      </c>
      <c r="L19">
        <v>-0.31811310458675307</v>
      </c>
    </row>
    <row r="20" spans="1:12" x14ac:dyDescent="0.2">
      <c r="A20" t="s">
        <v>53</v>
      </c>
      <c r="B20">
        <v>4283.41</v>
      </c>
      <c r="C20">
        <v>4236.25</v>
      </c>
      <c r="D20">
        <v>4.7534037600883412</v>
      </c>
      <c r="E20">
        <v>2.7177675616061676E-2</v>
      </c>
      <c r="F20">
        <v>-1.1009919666807533E-2</v>
      </c>
      <c r="G20">
        <v>0.34756374010426272</v>
      </c>
      <c r="H20">
        <v>0</v>
      </c>
      <c r="I20" t="e">
        <v>#VALUE!</v>
      </c>
      <c r="J20" t="e">
        <v>#VALUE!</v>
      </c>
      <c r="K20">
        <v>0.28531660522807761</v>
      </c>
      <c r="L20">
        <v>0.13138682449479014</v>
      </c>
    </row>
    <row r="21" spans="1:12" x14ac:dyDescent="0.2">
      <c r="A21" t="s">
        <v>55</v>
      </c>
      <c r="B21">
        <v>2794.5149999999999</v>
      </c>
      <c r="C21">
        <v>3253.5360000000001</v>
      </c>
      <c r="D21">
        <v>5.0403782767313832</v>
      </c>
      <c r="E21">
        <v>0.31501266301693209</v>
      </c>
      <c r="F21">
        <v>0.16425784080600758</v>
      </c>
      <c r="G21">
        <v>0.88006613303762016</v>
      </c>
      <c r="H21">
        <v>0.12216788959801611</v>
      </c>
      <c r="I21">
        <v>6.4733952045345974E-2</v>
      </c>
      <c r="J21">
        <v>6.9099646987044266E-2</v>
      </c>
      <c r="K21">
        <v>0.25307575733177318</v>
      </c>
      <c r="L21">
        <v>0.10323290266826267</v>
      </c>
    </row>
    <row r="22" spans="1:12" x14ac:dyDescent="0.2">
      <c r="A22" t="s">
        <v>57</v>
      </c>
      <c r="B22">
        <v>1448.318</v>
      </c>
      <c r="C22">
        <v>1866.8810000000001</v>
      </c>
      <c r="D22">
        <v>8.8228827508875813</v>
      </c>
      <c r="E22">
        <v>1.1667297493398761</v>
      </c>
      <c r="F22">
        <v>0.28899937720859659</v>
      </c>
      <c r="G22">
        <v>0.79280240098719257</v>
      </c>
      <c r="H22">
        <v>0.20790599854451852</v>
      </c>
      <c r="I22">
        <v>0.55817645019947282</v>
      </c>
      <c r="J22">
        <v>0.10988125535966549</v>
      </c>
      <c r="K22">
        <v>-0.17765987856258086</v>
      </c>
      <c r="L22">
        <v>-0.22092738611271831</v>
      </c>
    </row>
    <row r="23" spans="1:12" x14ac:dyDescent="0.2">
      <c r="A23" t="s">
        <v>59</v>
      </c>
      <c r="B23">
        <v>1631.1849999999999</v>
      </c>
      <c r="C23">
        <v>1909.7080000000001</v>
      </c>
      <c r="D23">
        <v>7.5790309498922568</v>
      </c>
      <c r="E23">
        <v>0.27891642354852392</v>
      </c>
      <c r="F23">
        <v>0.17074887275201789</v>
      </c>
      <c r="G23">
        <v>0.74903642068615961</v>
      </c>
      <c r="H23">
        <v>0.12911717555029012</v>
      </c>
      <c r="I23">
        <v>0.42976486419382226</v>
      </c>
      <c r="J23">
        <v>5.386390875345224E-2</v>
      </c>
      <c r="K23">
        <v>0.1310568696990225</v>
      </c>
      <c r="L23">
        <v>8.3799201194223835E-2</v>
      </c>
    </row>
    <row r="24" spans="1:12" x14ac:dyDescent="0.2">
      <c r="A24" t="s">
        <v>61</v>
      </c>
      <c r="B24">
        <v>2908.3389999999999</v>
      </c>
      <c r="C24">
        <v>2991.1260000000002</v>
      </c>
      <c r="D24">
        <v>4.9626469266478219</v>
      </c>
      <c r="E24">
        <v>6.2958319932165732E-2</v>
      </c>
      <c r="F24">
        <v>2.8465388663426294E-2</v>
      </c>
      <c r="G24">
        <v>0.84702230782544607</v>
      </c>
      <c r="H24">
        <v>0.14296854665154235</v>
      </c>
      <c r="I24">
        <v>0.34594041478658438</v>
      </c>
      <c r="J24">
        <v>0.104033608186666</v>
      </c>
      <c r="K24">
        <v>0.30666060593348987</v>
      </c>
      <c r="L24">
        <v>0.2030865917039695</v>
      </c>
    </row>
    <row r="25" spans="1:12" x14ac:dyDescent="0.2">
      <c r="A25" t="s">
        <v>63</v>
      </c>
      <c r="B25">
        <v>3022.62</v>
      </c>
      <c r="C25">
        <v>3239.1</v>
      </c>
      <c r="D25">
        <v>4.3851549979818829</v>
      </c>
      <c r="E25">
        <v>0.24771107254723557</v>
      </c>
      <c r="F25">
        <v>7.1619985310756862E-2</v>
      </c>
      <c r="G25">
        <v>0.76438323562474364</v>
      </c>
      <c r="H25">
        <v>0.30067987375191063</v>
      </c>
      <c r="I25">
        <v>0.18171255400943553</v>
      </c>
      <c r="J25">
        <v>6.5123634462817021E-2</v>
      </c>
      <c r="K25">
        <v>0.21514513898538351</v>
      </c>
      <c r="L25">
        <v>0.12152605918890333</v>
      </c>
    </row>
    <row r="26" spans="1:12" x14ac:dyDescent="0.2">
      <c r="A26" t="s">
        <v>65</v>
      </c>
      <c r="B26">
        <v>4329.9000000000005</v>
      </c>
      <c r="C26">
        <v>4491.5709999999999</v>
      </c>
      <c r="D26">
        <v>3.3126001524284621</v>
      </c>
      <c r="E26">
        <v>0.49461511908871264</v>
      </c>
      <c r="F26">
        <v>3.7338275710755209E-2</v>
      </c>
      <c r="G26">
        <v>0.26797385268509921</v>
      </c>
      <c r="H26">
        <v>0</v>
      </c>
      <c r="I26" t="e">
        <v>#VALUE!</v>
      </c>
      <c r="J26" t="e">
        <v>#VALUE!</v>
      </c>
      <c r="K26">
        <v>0.1870943901706737</v>
      </c>
      <c r="L26">
        <v>0.102868026624565</v>
      </c>
    </row>
    <row r="27" spans="1:12" x14ac:dyDescent="0.2">
      <c r="A27" t="s">
        <v>67</v>
      </c>
      <c r="B27">
        <v>2069.8940000000002</v>
      </c>
      <c r="C27">
        <v>2201.5</v>
      </c>
      <c r="D27">
        <v>6.1711440295976496</v>
      </c>
      <c r="E27">
        <v>0.13975737893036835</v>
      </c>
      <c r="F27">
        <v>6.3581033618146598E-2</v>
      </c>
      <c r="G27">
        <v>0.88264760994686642</v>
      </c>
      <c r="H27">
        <v>0.38853342248443634</v>
      </c>
      <c r="I27">
        <v>0.20250360646487209</v>
      </c>
      <c r="J27">
        <v>6.4825058674502167E-2</v>
      </c>
      <c r="K27">
        <v>0.25035919713763116</v>
      </c>
      <c r="L27">
        <v>0.16792960779188498</v>
      </c>
    </row>
    <row r="28" spans="1:12" x14ac:dyDescent="0.2">
      <c r="A28" t="s">
        <v>69</v>
      </c>
      <c r="B28">
        <v>1172.3630000000001</v>
      </c>
      <c r="C28">
        <v>1282.5710000000001</v>
      </c>
      <c r="D28">
        <v>9.9933617829972441</v>
      </c>
      <c r="E28">
        <v>0.18604401774468496</v>
      </c>
      <c r="F28">
        <v>9.4005013805451121E-2</v>
      </c>
      <c r="G28">
        <v>0.86669401123104972</v>
      </c>
      <c r="H28">
        <v>0.17293790404507817</v>
      </c>
      <c r="I28" t="e">
        <v>#VALUE!</v>
      </c>
      <c r="J28" t="e">
        <v>#VALUE!</v>
      </c>
      <c r="K28">
        <v>0.42422782022291733</v>
      </c>
      <c r="L28">
        <v>0.28499047878143197</v>
      </c>
    </row>
    <row r="29" spans="1:12" x14ac:dyDescent="0.2">
      <c r="A29" t="s">
        <v>71</v>
      </c>
      <c r="B29">
        <v>2174.3449999999998</v>
      </c>
      <c r="C29">
        <v>4355.393</v>
      </c>
      <c r="D29">
        <v>8.405979501872979</v>
      </c>
      <c r="E29">
        <v>0.46772793424758136</v>
      </c>
      <c r="F29">
        <v>1.003082767454107</v>
      </c>
      <c r="G29">
        <v>0.4120739852790079</v>
      </c>
      <c r="H29">
        <v>7.0519627749966091E-2</v>
      </c>
      <c r="I29">
        <v>5.4475715675295321E-2</v>
      </c>
      <c r="J29">
        <v>5.5269058038167826E-2</v>
      </c>
      <c r="K29">
        <v>0.34420158714463439</v>
      </c>
      <c r="L29">
        <v>0.11994384890125027</v>
      </c>
    </row>
    <row r="30" spans="1:12" x14ac:dyDescent="0.2">
      <c r="A30" t="s">
        <v>73</v>
      </c>
      <c r="B30">
        <v>4827</v>
      </c>
      <c r="C30">
        <v>4770.0380000000005</v>
      </c>
      <c r="D30">
        <v>3.0304767971825153</v>
      </c>
      <c r="E30">
        <v>0.34083333333333332</v>
      </c>
      <c r="F30">
        <v>-1.180070437124503E-2</v>
      </c>
      <c r="G30">
        <v>0.78785995442303713</v>
      </c>
      <c r="H30">
        <v>0.19825978868862648</v>
      </c>
      <c r="I30">
        <v>0.33001864512119328</v>
      </c>
      <c r="J30">
        <v>0.11974311166355915</v>
      </c>
      <c r="K30">
        <v>0.26434638491816864</v>
      </c>
      <c r="L30">
        <v>8.5428483887666037E-2</v>
      </c>
    </row>
    <row r="31" spans="1:12" x14ac:dyDescent="0.2">
      <c r="A31" t="s">
        <v>75</v>
      </c>
      <c r="B31">
        <v>1536.6029999999998</v>
      </c>
      <c r="C31">
        <v>1642.25</v>
      </c>
      <c r="D31">
        <v>7.5880043836957238</v>
      </c>
      <c r="E31">
        <v>0.13432070075872213</v>
      </c>
      <c r="F31">
        <v>6.8753607795897898E-2</v>
      </c>
      <c r="G31">
        <v>0.43144584919205209</v>
      </c>
      <c r="H31">
        <v>5.8792023704235905E-2</v>
      </c>
      <c r="I31" t="e">
        <v>#VALUE!</v>
      </c>
      <c r="J31" t="e">
        <v>#VALUE!</v>
      </c>
      <c r="K31">
        <v>0.35299163154048252</v>
      </c>
      <c r="L31">
        <v>0.18362450808699454</v>
      </c>
    </row>
    <row r="32" spans="1:12" x14ac:dyDescent="0.2">
      <c r="A32" t="s">
        <v>77</v>
      </c>
      <c r="B32">
        <v>7841.5</v>
      </c>
      <c r="C32">
        <v>8247.7070000000003</v>
      </c>
      <c r="D32">
        <v>1.7029083721226805</v>
      </c>
      <c r="E32">
        <v>9.8541628724730615E-2</v>
      </c>
      <c r="F32">
        <v>5.1802206210546542E-2</v>
      </c>
      <c r="G32">
        <v>0.45042401978854496</v>
      </c>
      <c r="H32">
        <v>0</v>
      </c>
      <c r="I32" t="e">
        <v>#VALUE!</v>
      </c>
      <c r="J32">
        <v>2.120767710259517E-2</v>
      </c>
      <c r="K32">
        <v>0.2897532359880125</v>
      </c>
      <c r="L32">
        <v>0.11279729643563094</v>
      </c>
    </row>
    <row r="33" spans="1:12" x14ac:dyDescent="0.2">
      <c r="A33" t="s">
        <v>79</v>
      </c>
      <c r="B33">
        <v>1235.683</v>
      </c>
      <c r="C33">
        <v>1329.231</v>
      </c>
      <c r="D33">
        <v>8.6072936991121516</v>
      </c>
      <c r="E33">
        <v>8.3425907010143588E-2</v>
      </c>
      <c r="F33">
        <v>7.5705500520764524E-2</v>
      </c>
      <c r="G33">
        <v>0.73217241692812174</v>
      </c>
      <c r="H33">
        <v>0.19103524123905566</v>
      </c>
      <c r="I33">
        <v>0.30181365285433243</v>
      </c>
      <c r="J33">
        <v>0.11739823239455427</v>
      </c>
      <c r="K33">
        <v>0.1382021117066432</v>
      </c>
      <c r="L33">
        <v>3.955165157037363E-2</v>
      </c>
    </row>
    <row r="34" spans="1:12" x14ac:dyDescent="0.2">
      <c r="A34" t="s">
        <v>81</v>
      </c>
      <c r="B34">
        <v>790.56539690225225</v>
      </c>
      <c r="C34">
        <v>1373.425</v>
      </c>
      <c r="D34">
        <v>12.711549657216436</v>
      </c>
      <c r="E34">
        <v>-0.30553776015824852</v>
      </c>
      <c r="F34">
        <v>0.73726930799352219</v>
      </c>
      <c r="G34">
        <v>0.47515737788724272</v>
      </c>
      <c r="H34">
        <v>0</v>
      </c>
      <c r="I34">
        <v>9.7392589715798408E-2</v>
      </c>
      <c r="J34">
        <v>6.0702984284998117E-2</v>
      </c>
      <c r="K34">
        <v>0.3374990340356307</v>
      </c>
      <c r="L34">
        <v>0.1897375945406666</v>
      </c>
    </row>
    <row r="35" spans="1:12" x14ac:dyDescent="0.2">
      <c r="A35" t="s">
        <v>83</v>
      </c>
      <c r="B35">
        <v>1106.8</v>
      </c>
      <c r="C35">
        <v>1480.6469999999999</v>
      </c>
      <c r="D35">
        <v>8.6317822551499823</v>
      </c>
      <c r="E35">
        <v>0.3101325757575758</v>
      </c>
      <c r="F35">
        <v>0.33777285869172391</v>
      </c>
      <c r="G35">
        <v>0.66669678352005779</v>
      </c>
      <c r="H35">
        <v>0.3436031803397181</v>
      </c>
      <c r="I35">
        <v>0.28370075894470548</v>
      </c>
      <c r="J35">
        <v>0.14212143115287315</v>
      </c>
      <c r="K35">
        <v>6.1528731478135174E-2</v>
      </c>
      <c r="L35">
        <v>-4.517528008673654E-2</v>
      </c>
    </row>
    <row r="36" spans="1:12" x14ac:dyDescent="0.2">
      <c r="A36" t="s">
        <v>85</v>
      </c>
      <c r="B36">
        <v>2815.241</v>
      </c>
      <c r="C36">
        <v>2896.0419999999999</v>
      </c>
      <c r="D36">
        <v>3.9623645009432589</v>
      </c>
      <c r="E36">
        <v>0.54325062437370764</v>
      </c>
      <c r="F36">
        <v>2.8701272821758383E-2</v>
      </c>
      <c r="G36">
        <v>0.66204989520726754</v>
      </c>
      <c r="H36">
        <v>0.11489638009676614</v>
      </c>
      <c r="I36">
        <v>0.18804109488317342</v>
      </c>
      <c r="J36">
        <v>7.2929102694938019E-2</v>
      </c>
      <c r="K36">
        <v>0.35220537069472913</v>
      </c>
      <c r="L36">
        <v>9.9335982673200984E-2</v>
      </c>
    </row>
    <row r="37" spans="1:12" x14ac:dyDescent="0.2">
      <c r="A37" t="s">
        <v>87</v>
      </c>
      <c r="B37">
        <v>1035.461</v>
      </c>
      <c r="C37">
        <v>1245.01</v>
      </c>
      <c r="D37">
        <v>8.4314404888257499</v>
      </c>
      <c r="E37">
        <v>0.32532052717873361</v>
      </c>
      <c r="F37">
        <v>0.20237266299744738</v>
      </c>
      <c r="G37">
        <v>0.62616458462270208</v>
      </c>
      <c r="H37">
        <v>0.14542604694913666</v>
      </c>
      <c r="I37">
        <v>0.26054192287300054</v>
      </c>
      <c r="J37">
        <v>0.11793684165796683</v>
      </c>
      <c r="K37">
        <v>0.11049378006511108</v>
      </c>
      <c r="L37">
        <v>4.5352465055309668E-2</v>
      </c>
    </row>
    <row r="38" spans="1:12" x14ac:dyDescent="0.2">
      <c r="A38" t="s">
        <v>89</v>
      </c>
      <c r="B38">
        <v>992.76900000000001</v>
      </c>
      <c r="C38">
        <v>1052.4590000000001</v>
      </c>
      <c r="D38">
        <v>7.494461652207109</v>
      </c>
      <c r="E38">
        <v>0.20052893609353972</v>
      </c>
      <c r="F38">
        <v>6.0124762155143952E-2</v>
      </c>
      <c r="G38">
        <v>0.87117950854779347</v>
      </c>
      <c r="H38">
        <v>0.33658182316329377</v>
      </c>
      <c r="I38">
        <v>0.52121490497789513</v>
      </c>
      <c r="J38">
        <v>0.10362027823189483</v>
      </c>
      <c r="K38">
        <v>-0.12485180339031537</v>
      </c>
      <c r="L38">
        <v>-0.14799918208566143</v>
      </c>
    </row>
    <row r="39" spans="1:12" x14ac:dyDescent="0.2">
      <c r="A39" t="s">
        <v>91</v>
      </c>
      <c r="B39">
        <v>891.15700000000004</v>
      </c>
      <c r="C39">
        <v>1005.667</v>
      </c>
      <c r="D39">
        <v>8.9233470645464266</v>
      </c>
      <c r="E39">
        <v>0.17871205738297957</v>
      </c>
      <c r="F39">
        <v>0.12849587670859353</v>
      </c>
      <c r="G39">
        <v>0.47459202044047005</v>
      </c>
      <c r="H39">
        <v>5.3103998509802422E-2</v>
      </c>
      <c r="I39" t="e">
        <v>#VALUE!</v>
      </c>
      <c r="J39" t="e">
        <v>#VALUE!</v>
      </c>
      <c r="K39">
        <v>0.25003450570438207</v>
      </c>
      <c r="L39">
        <v>0.16302177810642904</v>
      </c>
    </row>
    <row r="40" spans="1:12" x14ac:dyDescent="0.2">
      <c r="A40" t="s">
        <v>93</v>
      </c>
      <c r="B40">
        <v>5643.5</v>
      </c>
      <c r="C40">
        <v>5758.5690000000004</v>
      </c>
      <c r="D40">
        <v>1.8427016036147781</v>
      </c>
      <c r="E40">
        <v>4.0679341311844287E-2</v>
      </c>
      <c r="F40">
        <v>2.0389651811818954E-2</v>
      </c>
      <c r="G40">
        <v>0.4041640825728714</v>
      </c>
      <c r="H40">
        <v>0</v>
      </c>
      <c r="I40" t="e">
        <v>#VALUE!</v>
      </c>
      <c r="J40" t="e">
        <v>#VALUE!</v>
      </c>
      <c r="K40">
        <v>0.24087888721538053</v>
      </c>
      <c r="L40">
        <v>0.15103216089306282</v>
      </c>
    </row>
    <row r="41" spans="1:12" x14ac:dyDescent="0.2">
      <c r="A41" t="s">
        <v>95</v>
      </c>
      <c r="B41">
        <v>1381.0119999999999</v>
      </c>
      <c r="C41">
        <v>1551.74</v>
      </c>
      <c r="D41">
        <v>7.1772018635609252</v>
      </c>
      <c r="E41">
        <v>0.35598059815800315</v>
      </c>
      <c r="F41">
        <v>0.12362528348776114</v>
      </c>
      <c r="G41">
        <v>0.75099853434657993</v>
      </c>
      <c r="H41">
        <v>0</v>
      </c>
      <c r="I41">
        <v>0</v>
      </c>
      <c r="J41" t="e">
        <v>#VALUE!</v>
      </c>
      <c r="K41">
        <v>0.3922833400433885</v>
      </c>
      <c r="L41">
        <v>0.11645137406451864</v>
      </c>
    </row>
    <row r="42" spans="1:12" x14ac:dyDescent="0.2">
      <c r="A42" t="s">
        <v>97</v>
      </c>
      <c r="B42">
        <v>498.02800000000002</v>
      </c>
      <c r="C42">
        <v>621.76</v>
      </c>
      <c r="D42">
        <v>14.87319186873027</v>
      </c>
      <c r="E42">
        <v>0.5131144403158524</v>
      </c>
      <c r="F42">
        <v>0.24844386259407103</v>
      </c>
      <c r="G42">
        <v>0.83627025868933325</v>
      </c>
      <c r="H42">
        <v>6.1100982274089007E-2</v>
      </c>
      <c r="I42">
        <v>0.30221593966604288</v>
      </c>
      <c r="J42">
        <v>0.18401977398861108</v>
      </c>
      <c r="K42">
        <v>0.29743909980964922</v>
      </c>
      <c r="L42">
        <v>0.20995365661793713</v>
      </c>
    </row>
    <row r="43" spans="1:12" x14ac:dyDescent="0.2">
      <c r="A43" t="s">
        <v>99</v>
      </c>
      <c r="B43">
        <v>2273.2000000000003</v>
      </c>
      <c r="C43">
        <v>2275</v>
      </c>
      <c r="D43">
        <v>4.0682190304416679</v>
      </c>
      <c r="E43">
        <v>7.5002364513383324E-2</v>
      </c>
      <c r="F43">
        <v>7.9183529825788135E-4</v>
      </c>
      <c r="G43">
        <v>0.48002815414393801</v>
      </c>
      <c r="H43">
        <v>0</v>
      </c>
      <c r="I43" t="e">
        <v>#VALUE!</v>
      </c>
      <c r="J43" t="e">
        <v>#VALUE!</v>
      </c>
      <c r="K43">
        <v>0.33767376385711761</v>
      </c>
      <c r="L43">
        <v>0.18783941831350603</v>
      </c>
    </row>
    <row r="44" spans="1:12" x14ac:dyDescent="0.2">
      <c r="A44" t="s">
        <v>101</v>
      </c>
      <c r="B44">
        <v>661.06700000000001</v>
      </c>
      <c r="C44">
        <v>749.7</v>
      </c>
      <c r="D44">
        <v>9.6667303011646322</v>
      </c>
      <c r="E44">
        <v>0.55748198828590667</v>
      </c>
      <c r="F44">
        <v>0.13407566857822273</v>
      </c>
      <c r="G44">
        <v>0.55116954899297743</v>
      </c>
      <c r="H44">
        <v>0.25966656934924898</v>
      </c>
      <c r="I44">
        <v>0.18775252735350578</v>
      </c>
      <c r="J44">
        <v>0.11483858670906277</v>
      </c>
      <c r="K44">
        <v>4.2780837645805925E-2</v>
      </c>
      <c r="L44">
        <v>5.3461994018760582E-2</v>
      </c>
    </row>
    <row r="45" spans="1:12" x14ac:dyDescent="0.2">
      <c r="A45" t="s">
        <v>105</v>
      </c>
      <c r="B45">
        <v>499.51400000000001</v>
      </c>
      <c r="C45">
        <v>548.56299999999999</v>
      </c>
      <c r="D45">
        <v>13.80264657246844</v>
      </c>
      <c r="E45">
        <v>5.7521636773199228E-2</v>
      </c>
      <c r="F45">
        <v>9.8193444027594667E-2</v>
      </c>
      <c r="G45">
        <v>0.89861346901551586</v>
      </c>
      <c r="H45">
        <v>0.16431171098307554</v>
      </c>
      <c r="I45">
        <v>0.20235068486568944</v>
      </c>
      <c r="J45">
        <v>0.11226111780650792</v>
      </c>
      <c r="K45">
        <v>0.43761536213199226</v>
      </c>
      <c r="L45">
        <v>0.30083750676574428</v>
      </c>
    </row>
    <row r="46" spans="1:12" x14ac:dyDescent="0.2">
      <c r="A46" t="s">
        <v>107</v>
      </c>
      <c r="B46">
        <v>1155.4570000000001</v>
      </c>
      <c r="C46">
        <v>1366.1669999999999</v>
      </c>
      <c r="D46">
        <v>5.397203530724207</v>
      </c>
      <c r="E46">
        <v>1.2952603245863212</v>
      </c>
      <c r="F46">
        <v>0.18236074557512727</v>
      </c>
      <c r="G46">
        <v>0.66590708286343891</v>
      </c>
      <c r="H46">
        <v>0.27156094947713327</v>
      </c>
      <c r="I46">
        <v>0.56225112661050991</v>
      </c>
      <c r="J46">
        <v>7.4776473724249351E-2</v>
      </c>
      <c r="K46">
        <v>-0.19213684348227064</v>
      </c>
      <c r="L46">
        <v>-0.25167377453250095</v>
      </c>
    </row>
    <row r="47" spans="1:12" x14ac:dyDescent="0.2">
      <c r="A47" t="s">
        <v>109</v>
      </c>
      <c r="B47">
        <v>3755.2129999999997</v>
      </c>
      <c r="C47">
        <v>3945.0750000000003</v>
      </c>
      <c r="D47">
        <v>2.5918986752549058</v>
      </c>
      <c r="E47">
        <v>0.11318772497789301</v>
      </c>
      <c r="F47">
        <v>5.0559582106261436E-2</v>
      </c>
      <c r="G47">
        <v>0.28680689389401604</v>
      </c>
      <c r="H47">
        <v>0</v>
      </c>
      <c r="I47" t="e">
        <v>#VALUE!</v>
      </c>
      <c r="J47" t="e">
        <v>#VALUE!</v>
      </c>
      <c r="K47">
        <v>0.2589136754692743</v>
      </c>
      <c r="L47">
        <v>8.1965075372945298E-2</v>
      </c>
    </row>
    <row r="48" spans="1:12" x14ac:dyDescent="0.2">
      <c r="A48" t="s">
        <v>113</v>
      </c>
      <c r="B48">
        <v>507.88499999999999</v>
      </c>
      <c r="C48">
        <v>667.96900000000005</v>
      </c>
      <c r="D48">
        <v>11.057836911899347</v>
      </c>
      <c r="E48">
        <v>0.62784175590306368</v>
      </c>
      <c r="F48">
        <v>0.31519733798005456</v>
      </c>
      <c r="G48">
        <v>0.70098153174246813</v>
      </c>
      <c r="H48">
        <v>0.2270021756893785</v>
      </c>
      <c r="I48">
        <v>0.43462988668694685</v>
      </c>
      <c r="J48">
        <v>0.1608238085393347</v>
      </c>
      <c r="K48">
        <v>-0.16941854797937722</v>
      </c>
      <c r="L48">
        <v>-0.22722663595105191</v>
      </c>
    </row>
    <row r="49" spans="1:12" x14ac:dyDescent="0.2">
      <c r="A49" t="s">
        <v>115</v>
      </c>
      <c r="B49">
        <v>581.47399999999993</v>
      </c>
      <c r="C49">
        <v>724.625</v>
      </c>
      <c r="D49">
        <v>9.7835447500662127</v>
      </c>
      <c r="E49">
        <v>0.53130694925788191</v>
      </c>
      <c r="F49">
        <v>0.24618641590165691</v>
      </c>
      <c r="G49">
        <v>0.762424464362504</v>
      </c>
      <c r="H49">
        <v>0.12923707680824939</v>
      </c>
      <c r="I49">
        <v>0.44725817491409769</v>
      </c>
      <c r="J49">
        <v>0.1243615363713597</v>
      </c>
      <c r="K49">
        <v>3.4080313081651117E-3</v>
      </c>
      <c r="L49">
        <v>-3.8053292150637866E-2</v>
      </c>
    </row>
    <row r="50" spans="1:12" x14ac:dyDescent="0.2">
      <c r="A50" t="s">
        <v>117</v>
      </c>
      <c r="B50">
        <v>1005.8890000000001</v>
      </c>
      <c r="C50">
        <v>1083.6669999999999</v>
      </c>
      <c r="D50">
        <v>6.4833613848048834</v>
      </c>
      <c r="E50">
        <v>0.14129704682330424</v>
      </c>
      <c r="F50">
        <v>7.732264693221591E-2</v>
      </c>
      <c r="G50">
        <v>0.69532425159563449</v>
      </c>
      <c r="H50">
        <v>0.11022090906650732</v>
      </c>
      <c r="I50" t="e">
        <v>#VALUE!</v>
      </c>
      <c r="J50" t="e">
        <v>#VALUE!</v>
      </c>
      <c r="K50">
        <v>0.2268610154798392</v>
      </c>
      <c r="L50">
        <v>0.13010516070858713</v>
      </c>
    </row>
    <row r="51" spans="1:12" x14ac:dyDescent="0.2">
      <c r="A51" t="s">
        <v>119</v>
      </c>
      <c r="B51">
        <v>2491.8389999999999</v>
      </c>
      <c r="C51">
        <v>2815.54</v>
      </c>
      <c r="D51">
        <v>2.2069370854216506</v>
      </c>
      <c r="E51">
        <v>0.27224543874115126</v>
      </c>
      <c r="F51">
        <v>0.12990446011961443</v>
      </c>
      <c r="G51">
        <v>0.40985914659070882</v>
      </c>
      <c r="H51">
        <v>0</v>
      </c>
      <c r="I51" t="e">
        <v>#VALUE!</v>
      </c>
      <c r="J51" t="e">
        <v>#VALUE!</v>
      </c>
      <c r="K51">
        <v>0.18645506391062988</v>
      </c>
      <c r="L51">
        <v>8.8813293544016694E-2</v>
      </c>
    </row>
    <row r="52" spans="1:12" x14ac:dyDescent="0.2">
      <c r="A52" t="s">
        <v>121</v>
      </c>
      <c r="B52">
        <v>2860.71</v>
      </c>
      <c r="C52">
        <v>3102.7919999999999</v>
      </c>
      <c r="D52">
        <v>2.1638498834205495</v>
      </c>
      <c r="E52">
        <v>0.11278938958034142</v>
      </c>
      <c r="F52">
        <v>8.4623048124416567E-2</v>
      </c>
      <c r="G52">
        <v>0.37347860909399733</v>
      </c>
      <c r="H52">
        <v>0</v>
      </c>
      <c r="I52" t="e">
        <v>#VALUE!</v>
      </c>
      <c r="J52" t="e">
        <v>#VALUE!</v>
      </c>
      <c r="K52">
        <v>0.14229020068444545</v>
      </c>
      <c r="L52">
        <v>9.5027916146690858E-2</v>
      </c>
    </row>
    <row r="53" spans="1:12" x14ac:dyDescent="0.2">
      <c r="A53" t="s">
        <v>123</v>
      </c>
      <c r="B53">
        <v>774.29099999999994</v>
      </c>
      <c r="C53">
        <v>940.42899999999997</v>
      </c>
      <c r="D53">
        <v>6.7995780656109917</v>
      </c>
      <c r="E53">
        <v>0.36288125211219985</v>
      </c>
      <c r="F53">
        <v>0.21456790793125591</v>
      </c>
      <c r="G53">
        <v>0.60719161055548021</v>
      </c>
      <c r="H53">
        <v>0.11552762462691676</v>
      </c>
      <c r="I53">
        <v>0.21320020509085089</v>
      </c>
      <c r="J53">
        <v>0.14590767553800832</v>
      </c>
      <c r="K53">
        <v>0.19625825432557015</v>
      </c>
      <c r="L53">
        <v>5.0853760092755822E-2</v>
      </c>
    </row>
    <row r="54" spans="1:12" x14ac:dyDescent="0.2">
      <c r="A54" t="s">
        <v>127</v>
      </c>
      <c r="B54">
        <v>614.04600000000005</v>
      </c>
      <c r="C54">
        <v>792.19399999999996</v>
      </c>
      <c r="D54">
        <v>8.4313421144344218</v>
      </c>
      <c r="E54">
        <v>0.63529305238937317</v>
      </c>
      <c r="F54">
        <v>0.29012158698208257</v>
      </c>
      <c r="G54">
        <v>0.71608316536046746</v>
      </c>
      <c r="H54">
        <v>0.21138970044589492</v>
      </c>
      <c r="I54">
        <v>0.42152705171925225</v>
      </c>
      <c r="J54">
        <v>8.5881188054315147E-2</v>
      </c>
      <c r="K54">
        <v>-3.7534647241411888E-2</v>
      </c>
      <c r="L54">
        <v>-0.12790277669230971</v>
      </c>
    </row>
    <row r="55" spans="1:12" x14ac:dyDescent="0.2">
      <c r="A55" t="s">
        <v>129</v>
      </c>
      <c r="B55">
        <v>441.399</v>
      </c>
      <c r="C55">
        <v>558.06700000000001</v>
      </c>
      <c r="D55">
        <v>10.734431432785303</v>
      </c>
      <c r="E55">
        <v>0.62897696029405803</v>
      </c>
      <c r="F55">
        <v>0.26431414661111607</v>
      </c>
      <c r="G55">
        <v>0.80223336455862504</v>
      </c>
      <c r="H55">
        <v>0.15943171597579511</v>
      </c>
      <c r="I55">
        <v>0.48223715957670954</v>
      </c>
      <c r="J55">
        <v>0.12865230777595779</v>
      </c>
      <c r="K55">
        <v>-5.5513968374604379E-2</v>
      </c>
      <c r="L55">
        <v>-0.1265161452563327</v>
      </c>
    </row>
    <row r="56" spans="1:12" x14ac:dyDescent="0.2">
      <c r="A56" t="s">
        <v>131</v>
      </c>
      <c r="B56">
        <v>882</v>
      </c>
      <c r="C56">
        <v>905.96699999999998</v>
      </c>
      <c r="D56">
        <v>3.8048057823129251</v>
      </c>
      <c r="E56">
        <v>-0.59166666666666667</v>
      </c>
      <c r="F56">
        <v>2.7173469387755E-2</v>
      </c>
      <c r="G56">
        <v>0.76530612244897955</v>
      </c>
      <c r="H56">
        <v>0.27097505668934241</v>
      </c>
      <c r="I56">
        <v>0</v>
      </c>
      <c r="J56" t="e">
        <v>#VALUE!</v>
      </c>
      <c r="K56">
        <v>8.390022675736962E-2</v>
      </c>
      <c r="L56">
        <v>-7.7908163265306127E-2</v>
      </c>
    </row>
    <row r="57" spans="1:12" x14ac:dyDescent="0.2">
      <c r="A57" t="s">
        <v>133</v>
      </c>
      <c r="B57">
        <v>750.7</v>
      </c>
      <c r="C57">
        <v>763.30000000000007</v>
      </c>
      <c r="D57">
        <v>8.3579846809644334</v>
      </c>
      <c r="E57">
        <v>6.6032377165577957E-2</v>
      </c>
      <c r="F57">
        <v>1.6784334621020358E-2</v>
      </c>
      <c r="G57">
        <v>0.39030238444118825</v>
      </c>
      <c r="H57">
        <v>0</v>
      </c>
      <c r="I57" t="e">
        <v>#VALUE!</v>
      </c>
      <c r="J57" t="e">
        <v>#VALUE!</v>
      </c>
      <c r="K57">
        <v>0.12055414946050352</v>
      </c>
      <c r="L57">
        <v>-1.2255228453443451E-2</v>
      </c>
    </row>
    <row r="58" spans="1:12" x14ac:dyDescent="0.2">
      <c r="A58" t="s">
        <v>135</v>
      </c>
      <c r="B58">
        <v>2007.8210000000001</v>
      </c>
      <c r="C58">
        <v>2103.1669999999999</v>
      </c>
      <c r="D58">
        <v>3.3505499743254004</v>
      </c>
      <c r="E58">
        <v>3.0231366055673434E-2</v>
      </c>
      <c r="F58">
        <v>4.7487300909792252E-2</v>
      </c>
      <c r="G58">
        <v>0.56401542074891919</v>
      </c>
      <c r="H58">
        <v>0.13253024049454606</v>
      </c>
      <c r="I58">
        <v>0.19828958856392076</v>
      </c>
      <c r="J58">
        <v>8.3013874244765834E-2</v>
      </c>
      <c r="K58">
        <v>0.17174638575849141</v>
      </c>
      <c r="L58">
        <v>1.0619681589690514E-2</v>
      </c>
    </row>
    <row r="59" spans="1:12" x14ac:dyDescent="0.2">
      <c r="A59" t="s">
        <v>137</v>
      </c>
      <c r="B59">
        <v>383.18099999999998</v>
      </c>
      <c r="C59">
        <v>489.97500000000002</v>
      </c>
      <c r="D59">
        <v>11.578912315589761</v>
      </c>
      <c r="E59">
        <v>1.1134141162325091</v>
      </c>
      <c r="F59">
        <v>0.27870379794405276</v>
      </c>
      <c r="G59">
        <v>0.83089453283393444</v>
      </c>
      <c r="H59">
        <v>0.1939866538267816</v>
      </c>
      <c r="I59">
        <v>0.54026948100245054</v>
      </c>
      <c r="J59">
        <v>0.1508112354213805</v>
      </c>
      <c r="K59">
        <v>-5.8953862534937762E-3</v>
      </c>
      <c r="L59">
        <v>-8.7178644035064382E-2</v>
      </c>
    </row>
    <row r="60" spans="1:12" x14ac:dyDescent="0.2">
      <c r="A60" t="s">
        <v>139</v>
      </c>
      <c r="B60">
        <v>509.43599999999998</v>
      </c>
      <c r="C60">
        <v>735.4</v>
      </c>
      <c r="D60">
        <v>8.8058083841738704</v>
      </c>
      <c r="E60">
        <v>0.81375278594672318</v>
      </c>
      <c r="F60">
        <v>0.44355718873420802</v>
      </c>
      <c r="G60">
        <v>0.55167283034571557</v>
      </c>
      <c r="H60">
        <v>0.31593173627305493</v>
      </c>
      <c r="I60">
        <v>0.43418015216828026</v>
      </c>
      <c r="J60">
        <v>0.13191843528922179</v>
      </c>
      <c r="K60">
        <v>-0.2867072605783651</v>
      </c>
      <c r="L60">
        <v>-0.32097260499846886</v>
      </c>
    </row>
    <row r="61" spans="1:12" x14ac:dyDescent="0.2">
      <c r="A61" t="s">
        <v>147</v>
      </c>
      <c r="B61">
        <v>851.31600000000003</v>
      </c>
      <c r="C61">
        <v>927.80000000000007</v>
      </c>
      <c r="D61">
        <v>4.5666477547702611</v>
      </c>
      <c r="E61">
        <v>0.1346855648529989</v>
      </c>
      <c r="F61">
        <v>8.9842079791757845E-2</v>
      </c>
      <c r="G61">
        <v>0.65566369754343934</v>
      </c>
      <c r="H61">
        <v>0.19133435762983428</v>
      </c>
      <c r="I61">
        <v>0.36086482575212958</v>
      </c>
      <c r="J61">
        <v>6.1261623181051453E-2</v>
      </c>
      <c r="K61">
        <v>1.9566177541594419E-2</v>
      </c>
      <c r="L61">
        <v>1.9614338271570129E-2</v>
      </c>
    </row>
    <row r="62" spans="1:12" x14ac:dyDescent="0.2">
      <c r="A62" t="s">
        <v>149</v>
      </c>
      <c r="B62">
        <v>5780</v>
      </c>
      <c r="C62">
        <v>5298.5830000000005</v>
      </c>
      <c r="D62">
        <v>0.91941595155709332</v>
      </c>
      <c r="E62">
        <v>-9.8002496878901377E-2</v>
      </c>
      <c r="F62">
        <v>-8.3290138408304459E-2</v>
      </c>
      <c r="G62">
        <v>0.1828719723183391</v>
      </c>
      <c r="H62">
        <v>2.249134948096886E-3</v>
      </c>
      <c r="I62" t="e">
        <v>#VALUE!</v>
      </c>
      <c r="J62" t="e">
        <v>#VALUE!</v>
      </c>
      <c r="K62">
        <v>0.11920415224913494</v>
      </c>
      <c r="L62">
        <v>5.9779135684311412E-3</v>
      </c>
    </row>
    <row r="63" spans="1:12" x14ac:dyDescent="0.2">
      <c r="A63" t="s">
        <v>151</v>
      </c>
      <c r="B63">
        <v>2454.6930000000002</v>
      </c>
      <c r="C63">
        <v>2523.6790000000001</v>
      </c>
      <c r="D63">
        <v>1.6162664333177303</v>
      </c>
      <c r="E63">
        <v>2.1358847613341357E-2</v>
      </c>
      <c r="F63">
        <v>2.8103718061688321E-2</v>
      </c>
      <c r="G63">
        <v>0.25177404838023532</v>
      </c>
      <c r="H63">
        <v>0</v>
      </c>
      <c r="I63" t="e">
        <v>#VALUE!</v>
      </c>
      <c r="J63" t="e">
        <v>#VALUE!</v>
      </c>
      <c r="K63">
        <v>0.1533263019041485</v>
      </c>
      <c r="L63">
        <v>9.3559459370275627E-2</v>
      </c>
    </row>
    <row r="64" spans="1:12" x14ac:dyDescent="0.2">
      <c r="A64" t="s">
        <v>153</v>
      </c>
      <c r="B64">
        <v>1130.17</v>
      </c>
      <c r="C64">
        <v>1221.8890000000001</v>
      </c>
      <c r="D64">
        <v>3.5961818133555128</v>
      </c>
      <c r="E64">
        <v>2.3629205994025022</v>
      </c>
      <c r="F64">
        <v>8.1155047470734543E-2</v>
      </c>
      <c r="G64">
        <v>0.78162312134613177</v>
      </c>
      <c r="H64">
        <v>0.13867913676703503</v>
      </c>
      <c r="I64">
        <v>0.30699894706106162</v>
      </c>
      <c r="J64">
        <v>0.1418954670536291</v>
      </c>
      <c r="K64">
        <v>0.34477556473804827</v>
      </c>
      <c r="L64">
        <v>7.5428893232798611E-2</v>
      </c>
    </row>
    <row r="65" spans="1:12" x14ac:dyDescent="0.2">
      <c r="A65" t="s">
        <v>155</v>
      </c>
      <c r="B65">
        <v>219.095</v>
      </c>
      <c r="C65">
        <v>265.79300000000001</v>
      </c>
      <c r="D65">
        <v>14.861419475569958</v>
      </c>
      <c r="E65">
        <v>1.6183106670809533</v>
      </c>
      <c r="F65">
        <v>0.21314041853990284</v>
      </c>
      <c r="G65">
        <v>0.68860084305431146</v>
      </c>
      <c r="H65">
        <v>0.20327255300212238</v>
      </c>
      <c r="I65">
        <v>0.40494762545927565</v>
      </c>
      <c r="J65">
        <v>0.17607886989662019</v>
      </c>
      <c r="K65">
        <v>-0.15957917798215387</v>
      </c>
      <c r="L65">
        <v>-0.22516716492845568</v>
      </c>
    </row>
    <row r="66" spans="1:12" x14ac:dyDescent="0.2">
      <c r="A66" t="s">
        <v>157</v>
      </c>
      <c r="B66">
        <v>1158.5079999999998</v>
      </c>
      <c r="C66">
        <v>1252.3330000000001</v>
      </c>
      <c r="D66">
        <v>3.6876907194425934</v>
      </c>
      <c r="E66">
        <v>0.3251374027028725</v>
      </c>
      <c r="F66">
        <v>8.0987787740784078E-2</v>
      </c>
      <c r="G66">
        <v>0.84096872684757851</v>
      </c>
      <c r="H66">
        <v>3.9709695573962374E-2</v>
      </c>
      <c r="I66">
        <v>0.28510463458172064</v>
      </c>
      <c r="J66">
        <v>0.27925314283544012</v>
      </c>
      <c r="K66">
        <v>0.35636412722889443</v>
      </c>
      <c r="L66">
        <v>0.1301536113691058</v>
      </c>
    </row>
    <row r="67" spans="1:12" x14ac:dyDescent="0.2">
      <c r="A67" t="s">
        <v>159</v>
      </c>
      <c r="B67">
        <v>1870.5889999999999</v>
      </c>
      <c r="C67">
        <v>1850.3410000000001</v>
      </c>
      <c r="D67">
        <v>2.8418674011233898</v>
      </c>
      <c r="E67">
        <v>-4.1979824404614091E-2</v>
      </c>
      <c r="F67">
        <v>-1.0824398090654719E-2</v>
      </c>
      <c r="G67">
        <v>0.49082454992963198</v>
      </c>
      <c r="H67">
        <v>0</v>
      </c>
      <c r="I67" t="e">
        <v>#VALUE!</v>
      </c>
      <c r="J67" t="e">
        <v>#VALUE!</v>
      </c>
      <c r="K67">
        <v>0.24631279238785217</v>
      </c>
      <c r="L67">
        <v>8.3474242604869381E-2</v>
      </c>
    </row>
    <row r="68" spans="1:12" x14ac:dyDescent="0.2">
      <c r="A68" t="s">
        <v>161</v>
      </c>
      <c r="B68">
        <v>346.63900000000001</v>
      </c>
      <c r="C68">
        <v>473.83300000000003</v>
      </c>
      <c r="D68">
        <v>9.1242249141037206</v>
      </c>
      <c r="E68">
        <v>0.68382524385030896</v>
      </c>
      <c r="F68">
        <v>0.3669350534706135</v>
      </c>
      <c r="G68">
        <v>0.83004221347896434</v>
      </c>
      <c r="H68">
        <v>0.13248941982869786</v>
      </c>
      <c r="I68">
        <v>0.4353895551279573</v>
      </c>
      <c r="J68">
        <v>0.18077885061980908</v>
      </c>
      <c r="K68">
        <v>-7.7149426348448957E-2</v>
      </c>
      <c r="L68">
        <v>-0.13688015485851276</v>
      </c>
    </row>
    <row r="69" spans="1:12" x14ac:dyDescent="0.2">
      <c r="A69" t="s">
        <v>163</v>
      </c>
      <c r="B69">
        <v>833.04499999999996</v>
      </c>
      <c r="C69">
        <v>871.04500000000007</v>
      </c>
      <c r="D69">
        <v>4.2973055477195112</v>
      </c>
      <c r="E69">
        <v>0.13988492299692795</v>
      </c>
      <c r="F69">
        <v>4.5615783060939163E-2</v>
      </c>
      <c r="G69">
        <v>0.55351752109061769</v>
      </c>
      <c r="H69">
        <v>0.10793054396821301</v>
      </c>
      <c r="I69">
        <v>0.20830207251709093</v>
      </c>
      <c r="J69">
        <v>0.11388340365766557</v>
      </c>
      <c r="K69">
        <v>0.19488262938976889</v>
      </c>
      <c r="L69">
        <v>9.621988776192282E-2</v>
      </c>
    </row>
    <row r="70" spans="1:12" x14ac:dyDescent="0.2">
      <c r="A70" t="s">
        <v>165</v>
      </c>
      <c r="B70">
        <v>793.64200000000005</v>
      </c>
      <c r="C70">
        <v>853.05899999999997</v>
      </c>
      <c r="D70">
        <v>4.0279244294026775</v>
      </c>
      <c r="E70">
        <v>0.11136597237976012</v>
      </c>
      <c r="F70">
        <v>7.4866249518044548E-2</v>
      </c>
      <c r="G70">
        <v>0.65626694351170867</v>
      </c>
      <c r="H70">
        <v>0.30652737632332966</v>
      </c>
      <c r="I70">
        <v>0.46864329256768161</v>
      </c>
      <c r="J70">
        <v>0.15825397345402586</v>
      </c>
      <c r="K70">
        <v>-0.1616257708135406</v>
      </c>
      <c r="L70">
        <v>-0.32442046693600513</v>
      </c>
    </row>
    <row r="71" spans="1:12" x14ac:dyDescent="0.2">
      <c r="A71" t="s">
        <v>167</v>
      </c>
      <c r="B71">
        <v>377.52699999999999</v>
      </c>
      <c r="C71">
        <v>452.61400000000003</v>
      </c>
      <c r="D71">
        <v>8.482147237151251</v>
      </c>
      <c r="E71">
        <v>0.63643417237029742</v>
      </c>
      <c r="F71">
        <v>0.19889173489578238</v>
      </c>
      <c r="G71">
        <v>0.60480442215913743</v>
      </c>
      <c r="H71">
        <v>9.9714722390716423E-2</v>
      </c>
      <c r="I71">
        <v>0.25291965872639571</v>
      </c>
      <c r="J71">
        <v>0.20992405841171624</v>
      </c>
      <c r="K71">
        <v>0.12320178424324617</v>
      </c>
      <c r="L71">
        <v>1.0140546239076941E-2</v>
      </c>
    </row>
    <row r="72" spans="1:12" x14ac:dyDescent="0.2">
      <c r="A72" t="s">
        <v>169</v>
      </c>
      <c r="B72">
        <v>166.82400000000001</v>
      </c>
      <c r="C72">
        <v>257.7</v>
      </c>
      <c r="D72">
        <v>22.136584064642975</v>
      </c>
      <c r="E72">
        <v>0.26534234418731656</v>
      </c>
      <c r="F72">
        <v>0.54474176377499628</v>
      </c>
      <c r="G72">
        <v>0.70131395962211673</v>
      </c>
      <c r="H72">
        <v>0</v>
      </c>
      <c r="I72">
        <v>0.62028245336402432</v>
      </c>
      <c r="J72">
        <v>0.28156020716443675</v>
      </c>
      <c r="K72">
        <v>-0.39612405888840929</v>
      </c>
      <c r="L72">
        <v>-0.57122404450199005</v>
      </c>
    </row>
    <row r="73" spans="1:12" x14ac:dyDescent="0.2">
      <c r="A73" t="s">
        <v>171</v>
      </c>
      <c r="B73">
        <v>558.87699999999995</v>
      </c>
      <c r="C73">
        <v>561.4</v>
      </c>
      <c r="D73">
        <v>5.0692676563895098</v>
      </c>
      <c r="E73">
        <v>-7.5559459240402582E-2</v>
      </c>
      <c r="F73">
        <v>4.5144101474923204E-3</v>
      </c>
      <c r="G73">
        <v>0.57631465170524854</v>
      </c>
      <c r="H73">
        <v>0.10324991008755058</v>
      </c>
      <c r="I73">
        <v>8.4959660175673718E-2</v>
      </c>
      <c r="J73">
        <v>8.2404536239637713E-2</v>
      </c>
      <c r="K73">
        <v>0.27209922755812105</v>
      </c>
      <c r="L73">
        <v>0.18931979666366661</v>
      </c>
    </row>
    <row r="74" spans="1:12" x14ac:dyDescent="0.2">
      <c r="A74" t="s">
        <v>173</v>
      </c>
      <c r="B74">
        <v>255.43600000000001</v>
      </c>
      <c r="C74">
        <v>303.84500000000003</v>
      </c>
      <c r="D74">
        <v>9.9139302995662302</v>
      </c>
      <c r="E74">
        <v>0.2905696602248326</v>
      </c>
      <c r="F74">
        <v>0.18951518188509064</v>
      </c>
      <c r="G74">
        <v>0.76791838483736197</v>
      </c>
      <c r="H74">
        <v>0.16761928623999747</v>
      </c>
      <c r="I74">
        <v>0.24998434050016441</v>
      </c>
      <c r="J74">
        <v>0.13832819179755398</v>
      </c>
      <c r="K74">
        <v>0.2628016411155828</v>
      </c>
      <c r="L74">
        <v>0.166605485032055</v>
      </c>
    </row>
    <row r="75" spans="1:12" x14ac:dyDescent="0.2">
      <c r="A75" t="s">
        <v>175</v>
      </c>
      <c r="B75">
        <v>996.43500000000006</v>
      </c>
      <c r="C75">
        <v>1060</v>
      </c>
      <c r="D75">
        <v>3.553216316167136</v>
      </c>
      <c r="E75">
        <v>-9.2134739848125456E-3</v>
      </c>
      <c r="F75">
        <v>6.3792419977218628E-2</v>
      </c>
      <c r="G75">
        <v>0.55141779914388933</v>
      </c>
      <c r="H75">
        <v>0.13741086975066108</v>
      </c>
      <c r="I75">
        <v>0.10827098606532287</v>
      </c>
      <c r="J75">
        <v>0.15357951095656014</v>
      </c>
      <c r="K75">
        <v>0.21546212246659341</v>
      </c>
      <c r="L75">
        <v>4.819837721477066E-2</v>
      </c>
    </row>
    <row r="76" spans="1:12" x14ac:dyDescent="0.2">
      <c r="A76" t="s">
        <v>177</v>
      </c>
      <c r="B76">
        <v>1198.9859999999999</v>
      </c>
      <c r="C76">
        <v>1271.2</v>
      </c>
      <c r="D76">
        <v>2.7877354698053192</v>
      </c>
      <c r="E76">
        <v>6.0799847115634548E-2</v>
      </c>
      <c r="F76">
        <v>6.0229227030174082E-2</v>
      </c>
      <c r="G76">
        <v>0.64262550756756653</v>
      </c>
      <c r="H76">
        <v>0.15900352464499171</v>
      </c>
      <c r="I76" t="e">
        <v>#VALUE!</v>
      </c>
      <c r="J76" t="e">
        <v>#VALUE!</v>
      </c>
      <c r="K76">
        <v>0.17683942931777352</v>
      </c>
      <c r="L76">
        <v>4.5050313874762507E-2</v>
      </c>
    </row>
    <row r="77" spans="1:12" x14ac:dyDescent="0.2">
      <c r="A77" t="s">
        <v>179</v>
      </c>
      <c r="B77">
        <v>519.38200000000006</v>
      </c>
      <c r="C77">
        <v>532.57500000000005</v>
      </c>
      <c r="D77">
        <v>5.2193951657931921</v>
      </c>
      <c r="E77">
        <v>0.22749359525812771</v>
      </c>
      <c r="F77">
        <v>2.540134236457936E-2</v>
      </c>
      <c r="G77">
        <v>0.71700598229941115</v>
      </c>
      <c r="H77">
        <v>0.11932450489235281</v>
      </c>
      <c r="I77">
        <v>0.46260940887439295</v>
      </c>
      <c r="J77">
        <v>0.16286471229268629</v>
      </c>
      <c r="K77">
        <v>3.0305247390167545E-2</v>
      </c>
      <c r="L77">
        <v>-7.793685572468817E-2</v>
      </c>
    </row>
    <row r="78" spans="1:12" x14ac:dyDescent="0.2">
      <c r="A78" t="s">
        <v>181</v>
      </c>
      <c r="B78">
        <v>394.09599999999995</v>
      </c>
      <c r="C78">
        <v>427.56700000000001</v>
      </c>
      <c r="D78">
        <v>7.0573659717429269</v>
      </c>
      <c r="E78">
        <v>0.14805082820137833</v>
      </c>
      <c r="F78">
        <v>8.4931082781860345E-2</v>
      </c>
      <c r="G78">
        <v>0.56069079800967758</v>
      </c>
      <c r="H78">
        <v>0.14542142016158499</v>
      </c>
      <c r="I78">
        <v>0.2179976452437985</v>
      </c>
      <c r="J78">
        <v>0.12645903536194231</v>
      </c>
      <c r="K78">
        <v>0.13823535382241892</v>
      </c>
      <c r="L78">
        <v>1.0832333013623581E-2</v>
      </c>
    </row>
    <row r="79" spans="1:12" x14ac:dyDescent="0.2">
      <c r="A79" t="s">
        <v>183</v>
      </c>
      <c r="B79">
        <v>462.851</v>
      </c>
      <c r="C79">
        <v>534.75</v>
      </c>
      <c r="D79">
        <v>5.4855305487078994</v>
      </c>
      <c r="E79">
        <v>0.28468018374342524</v>
      </c>
      <c r="F79">
        <v>0.15533940728225715</v>
      </c>
      <c r="G79">
        <v>0.59195940671389624</v>
      </c>
      <c r="H79">
        <v>0.14965075153775187</v>
      </c>
      <c r="I79">
        <v>0.14052470449453497</v>
      </c>
      <c r="J79">
        <v>0.17216339599568761</v>
      </c>
      <c r="K79">
        <v>0.1855197460953957</v>
      </c>
      <c r="L79">
        <v>4.177908225325213E-2</v>
      </c>
    </row>
    <row r="80" spans="1:12" x14ac:dyDescent="0.2">
      <c r="A80" t="s">
        <v>185</v>
      </c>
      <c r="B80">
        <v>554.70800000000008</v>
      </c>
      <c r="C80">
        <v>668.68299999999999</v>
      </c>
      <c r="D80">
        <v>4.6597305248887695</v>
      </c>
      <c r="E80">
        <v>0.83250964638723002</v>
      </c>
      <c r="F80">
        <v>0.20546846268667451</v>
      </c>
      <c r="G80">
        <v>0.72702756269789404</v>
      </c>
      <c r="H80">
        <v>0.24660001297980194</v>
      </c>
      <c r="I80">
        <v>0.54680841091168686</v>
      </c>
      <c r="J80">
        <v>0.15288223714098229</v>
      </c>
      <c r="K80">
        <v>-0.18767712021459937</v>
      </c>
      <c r="L80">
        <v>-0.27097319670889908</v>
      </c>
    </row>
    <row r="81" spans="1:12" x14ac:dyDescent="0.2">
      <c r="A81" t="s">
        <v>187</v>
      </c>
      <c r="B81">
        <v>187.727</v>
      </c>
      <c r="C81">
        <v>294.17700000000002</v>
      </c>
      <c r="D81">
        <v>15.777604713227186</v>
      </c>
      <c r="E81">
        <v>0.50941135795322068</v>
      </c>
      <c r="F81">
        <v>0.56704682863946054</v>
      </c>
      <c r="G81">
        <v>0.86369568575644429</v>
      </c>
      <c r="H81">
        <v>0.30721739547321375</v>
      </c>
      <c r="I81">
        <v>0.61951131163870943</v>
      </c>
      <c r="J81">
        <v>0.15409078076142482</v>
      </c>
      <c r="K81">
        <v>-0.19213006120590004</v>
      </c>
      <c r="L81">
        <v>-0.21851944579096239</v>
      </c>
    </row>
    <row r="82" spans="1:12" x14ac:dyDescent="0.2">
      <c r="A82" t="s">
        <v>189</v>
      </c>
      <c r="B82">
        <v>162.35999999999999</v>
      </c>
      <c r="C82">
        <v>224.28800000000001</v>
      </c>
      <c r="D82">
        <v>14.554801675289482</v>
      </c>
      <c r="E82">
        <v>0.89252826669774998</v>
      </c>
      <c r="F82">
        <v>0.3814239960581427</v>
      </c>
      <c r="G82">
        <v>0.86476966442513215</v>
      </c>
      <c r="H82">
        <v>0.1807218526730722</v>
      </c>
      <c r="I82">
        <v>0.40909090909090912</v>
      </c>
      <c r="J82">
        <v>0.19857723577235775</v>
      </c>
      <c r="K82">
        <v>-8.3431879773343209E-2</v>
      </c>
      <c r="L82">
        <v>-0.12112952697708795</v>
      </c>
    </row>
    <row r="83" spans="1:12" x14ac:dyDescent="0.2">
      <c r="A83" t="s">
        <v>191</v>
      </c>
      <c r="B83">
        <v>709.59799999999996</v>
      </c>
      <c r="C83">
        <v>761.19500000000005</v>
      </c>
      <c r="D83">
        <v>3.1700619223842232</v>
      </c>
      <c r="E83">
        <v>0.19234918319817987</v>
      </c>
      <c r="F83">
        <v>7.2713000882189682E-2</v>
      </c>
      <c r="G83">
        <v>0.85330143641298495</v>
      </c>
      <c r="H83">
        <v>0.13270048675447227</v>
      </c>
      <c r="I83">
        <v>0.57881645664164783</v>
      </c>
      <c r="J83">
        <v>0.12341494761822892</v>
      </c>
      <c r="K83">
        <v>2.8356900667701995E-2</v>
      </c>
      <c r="L83">
        <v>-1.0834570505356555E-2</v>
      </c>
    </row>
    <row r="84" spans="1:12" x14ac:dyDescent="0.2">
      <c r="A84" t="s">
        <v>193</v>
      </c>
      <c r="B84">
        <v>325.887</v>
      </c>
      <c r="C84">
        <v>515.72500000000002</v>
      </c>
      <c r="D84">
        <v>8.1780436163455441</v>
      </c>
      <c r="E84">
        <v>0.23505201523506333</v>
      </c>
      <c r="F84">
        <v>0.58252707226738099</v>
      </c>
      <c r="G84">
        <v>0.72472666906013439</v>
      </c>
      <c r="H84">
        <v>0</v>
      </c>
      <c r="I84">
        <v>6.7446691644649833E-3</v>
      </c>
      <c r="J84">
        <v>4.5647724518007776E-2</v>
      </c>
      <c r="K84">
        <v>0.46110768456550882</v>
      </c>
      <c r="L84">
        <v>0.42550945573158794</v>
      </c>
    </row>
    <row r="85" spans="1:12" x14ac:dyDescent="0.2">
      <c r="A85" t="s">
        <v>195</v>
      </c>
      <c r="B85">
        <v>294.68199999999996</v>
      </c>
      <c r="C85">
        <v>349.25299999999999</v>
      </c>
      <c r="D85">
        <v>7.2006525678528055</v>
      </c>
      <c r="E85">
        <v>0.36040773176125146</v>
      </c>
      <c r="F85">
        <v>0.1851860649785193</v>
      </c>
      <c r="G85">
        <v>0.84533496607909919</v>
      </c>
      <c r="H85">
        <v>0.14384658716854101</v>
      </c>
      <c r="I85">
        <v>0.43008734839589802</v>
      </c>
      <c r="J85">
        <v>0.10315865916479461</v>
      </c>
      <c r="K85">
        <v>0.11518518267148996</v>
      </c>
      <c r="L85">
        <v>9.1813351439375343E-2</v>
      </c>
    </row>
    <row r="86" spans="1:12" x14ac:dyDescent="0.2">
      <c r="A86" t="s">
        <v>197</v>
      </c>
      <c r="B86">
        <v>362.10199999999998</v>
      </c>
      <c r="C86">
        <v>403.58300000000003</v>
      </c>
      <c r="D86">
        <v>6.473576229902072</v>
      </c>
      <c r="E86">
        <v>0.15598901800536319</v>
      </c>
      <c r="F86">
        <v>0.11455611954642619</v>
      </c>
      <c r="G86">
        <v>0.69230493276187233</v>
      </c>
      <c r="H86">
        <v>0.25747993659245183</v>
      </c>
      <c r="I86">
        <v>0.22081623409978404</v>
      </c>
      <c r="J86">
        <v>0.24296745116017035</v>
      </c>
      <c r="K86">
        <v>-9.5939818062313938E-3</v>
      </c>
      <c r="L86">
        <v>-0.23347012720172772</v>
      </c>
    </row>
    <row r="87" spans="1:12" x14ac:dyDescent="0.2">
      <c r="A87" t="s">
        <v>199</v>
      </c>
      <c r="B87">
        <v>757.60300000000007</v>
      </c>
      <c r="C87">
        <v>863.7</v>
      </c>
      <c r="D87">
        <v>3.6660868555166752</v>
      </c>
      <c r="E87">
        <v>0.31036003625268971</v>
      </c>
      <c r="F87">
        <v>0.14004300405357428</v>
      </c>
      <c r="G87">
        <v>0.67709076835161464</v>
      </c>
      <c r="H87">
        <v>0</v>
      </c>
      <c r="I87" t="e">
        <v>#VALUE!</v>
      </c>
      <c r="J87">
        <v>0.15972745620067502</v>
      </c>
      <c r="K87">
        <v>0.13996644680657283</v>
      </c>
      <c r="L87">
        <v>4.3403033067110346E-2</v>
      </c>
    </row>
    <row r="88" spans="1:12" x14ac:dyDescent="0.2">
      <c r="A88" t="s">
        <v>201</v>
      </c>
      <c r="B88">
        <v>111.253</v>
      </c>
      <c r="C88">
        <v>195.833</v>
      </c>
      <c r="D88">
        <v>22.467830979838748</v>
      </c>
      <c r="E88">
        <v>1.7300679737920546</v>
      </c>
      <c r="F88">
        <v>0.76024916182035529</v>
      </c>
      <c r="G88">
        <v>0.80511087341464949</v>
      </c>
      <c r="H88">
        <v>0.3378785291183159</v>
      </c>
      <c r="I88">
        <v>0.65548794189819592</v>
      </c>
      <c r="J88">
        <v>0.25198421615596883</v>
      </c>
      <c r="K88">
        <v>-0.40360259948046345</v>
      </c>
      <c r="L88">
        <v>-0.44139034453003517</v>
      </c>
    </row>
    <row r="89" spans="1:12" x14ac:dyDescent="0.2">
      <c r="A89" t="s">
        <v>203</v>
      </c>
      <c r="B89">
        <v>777.6</v>
      </c>
      <c r="C89">
        <v>824</v>
      </c>
      <c r="D89">
        <v>3.1333043981481481</v>
      </c>
      <c r="E89">
        <v>0.38318934005005534</v>
      </c>
      <c r="F89">
        <v>5.967078189300401E-2</v>
      </c>
      <c r="G89">
        <v>0.34246399373184011</v>
      </c>
      <c r="H89">
        <v>0</v>
      </c>
      <c r="I89">
        <v>5.3712705761316877E-2</v>
      </c>
      <c r="J89">
        <v>0.15126800411522634</v>
      </c>
      <c r="K89">
        <v>0.15413966049382716</v>
      </c>
      <c r="L89">
        <v>0.11844135802469134</v>
      </c>
    </row>
    <row r="90" spans="1:12" x14ac:dyDescent="0.2">
      <c r="A90" t="s">
        <v>205</v>
      </c>
      <c r="B90">
        <v>259.76499999999999</v>
      </c>
      <c r="C90">
        <v>290.03199999999998</v>
      </c>
      <c r="D90">
        <v>9.2367482147325468</v>
      </c>
      <c r="E90">
        <v>0.40418826658305984</v>
      </c>
      <c r="F90">
        <v>0.11651685176986892</v>
      </c>
      <c r="G90">
        <v>0.72852385657525642</v>
      </c>
      <c r="H90">
        <v>0.16093007141069812</v>
      </c>
      <c r="I90">
        <v>0.12753065270532982</v>
      </c>
      <c r="J90">
        <v>9.7965468789097843E-2</v>
      </c>
      <c r="K90">
        <v>0.3204203799588089</v>
      </c>
      <c r="L90">
        <v>0.12069220256770544</v>
      </c>
    </row>
    <row r="91" spans="1:12" x14ac:dyDescent="0.2">
      <c r="A91" t="s">
        <v>207</v>
      </c>
      <c r="B91">
        <v>202.84200000000001</v>
      </c>
      <c r="C91">
        <v>246.78800000000001</v>
      </c>
      <c r="D91">
        <v>10.673920095443743</v>
      </c>
      <c r="E91">
        <v>0.64747447674276948</v>
      </c>
      <c r="F91">
        <v>0.21665138383569471</v>
      </c>
      <c r="G91">
        <v>0.77642204217040689</v>
      </c>
      <c r="H91">
        <v>0.11769751826544797</v>
      </c>
      <c r="I91">
        <v>0.54118476449650466</v>
      </c>
      <c r="J91">
        <v>0.18219106496682147</v>
      </c>
      <c r="K91">
        <v>-6.6416225436546669E-2</v>
      </c>
      <c r="L91">
        <v>-0.16722539085440391</v>
      </c>
    </row>
    <row r="92" spans="1:12" x14ac:dyDescent="0.2">
      <c r="A92" t="s">
        <v>211</v>
      </c>
      <c r="B92">
        <v>213.15899999999999</v>
      </c>
      <c r="C92">
        <v>282.81</v>
      </c>
      <c r="D92">
        <v>11.85648084293884</v>
      </c>
      <c r="E92">
        <v>0.27315351259660992</v>
      </c>
      <c r="F92">
        <v>0.32675608348697449</v>
      </c>
      <c r="G92">
        <v>0.72801054611815585</v>
      </c>
      <c r="H92">
        <v>0.19358319376615576</v>
      </c>
      <c r="I92">
        <v>0.62767230095843951</v>
      </c>
      <c r="J92">
        <v>0.16084706721273792</v>
      </c>
      <c r="K92">
        <v>-0.20314882317894153</v>
      </c>
      <c r="L92">
        <v>-0.25911901444461649</v>
      </c>
    </row>
    <row r="93" spans="1:12" x14ac:dyDescent="0.2">
      <c r="A93" t="s">
        <v>213</v>
      </c>
      <c r="B93">
        <v>375.99900000000002</v>
      </c>
      <c r="C93">
        <v>410.81200000000001</v>
      </c>
      <c r="D93">
        <v>5.5497190152101465</v>
      </c>
      <c r="E93">
        <v>0.44002435792360201</v>
      </c>
      <c r="F93">
        <v>9.2588012202160064E-2</v>
      </c>
      <c r="G93">
        <v>0.66866135379671465</v>
      </c>
      <c r="H93">
        <v>0.19349785504748682</v>
      </c>
      <c r="I93">
        <v>0.11566520123723734</v>
      </c>
      <c r="J93">
        <v>0.14733017906962517</v>
      </c>
      <c r="K93">
        <v>0.2095776850470347</v>
      </c>
      <c r="L93">
        <v>0.14413653216825575</v>
      </c>
    </row>
    <row r="94" spans="1:12" x14ac:dyDescent="0.2">
      <c r="A94" t="s">
        <v>215</v>
      </c>
      <c r="B94">
        <v>411.06400000000002</v>
      </c>
      <c r="C94">
        <v>487.03300000000002</v>
      </c>
      <c r="D94">
        <v>3.9945480509117797</v>
      </c>
      <c r="E94">
        <v>1.4755733281942571</v>
      </c>
      <c r="F94">
        <v>0.18481063775957018</v>
      </c>
      <c r="G94">
        <v>0.68025418110004043</v>
      </c>
      <c r="H94">
        <v>0.52472364400677263</v>
      </c>
      <c r="I94">
        <v>0.72608401611427897</v>
      </c>
      <c r="J94">
        <v>0.20809168402000661</v>
      </c>
      <c r="K94">
        <v>-0.42935893194247121</v>
      </c>
      <c r="L94">
        <v>-0.44895429908724671</v>
      </c>
    </row>
    <row r="95" spans="1:12" x14ac:dyDescent="0.2">
      <c r="A95" t="s">
        <v>217</v>
      </c>
      <c r="B95">
        <v>225.50900000000001</v>
      </c>
      <c r="C95">
        <v>266.108</v>
      </c>
      <c r="D95">
        <v>9.1623513917404615</v>
      </c>
      <c r="E95">
        <v>0.39125794311802092</v>
      </c>
      <c r="F95">
        <v>0.18003272596659103</v>
      </c>
      <c r="G95">
        <v>0.59036668010725346</v>
      </c>
      <c r="H95">
        <v>0.12026127560319098</v>
      </c>
      <c r="I95">
        <v>0.29519886124278849</v>
      </c>
      <c r="J95">
        <v>0.12926756803497863</v>
      </c>
      <c r="K95">
        <v>4.7195455613744906E-2</v>
      </c>
      <c r="L95">
        <v>-1.0447476597386358E-2</v>
      </c>
    </row>
    <row r="96" spans="1:12" x14ac:dyDescent="0.2">
      <c r="A96" t="s">
        <v>219</v>
      </c>
      <c r="B96">
        <v>215.20100000000002</v>
      </c>
      <c r="C96">
        <v>265.75200000000001</v>
      </c>
      <c r="D96">
        <v>9.5690336011449766</v>
      </c>
      <c r="E96">
        <v>0.43253408243689451</v>
      </c>
      <c r="F96">
        <v>0.2349013248079701</v>
      </c>
      <c r="G96">
        <v>0.49505345881129004</v>
      </c>
      <c r="H96">
        <v>0.18744336689885269</v>
      </c>
      <c r="I96">
        <v>0.19130951993717502</v>
      </c>
      <c r="J96">
        <v>0.17276406708147266</v>
      </c>
      <c r="K96">
        <v>-3.5297233748913803E-2</v>
      </c>
      <c r="L96">
        <v>-0.11313237392019553</v>
      </c>
    </row>
    <row r="97" spans="1:12" x14ac:dyDescent="0.2">
      <c r="A97" t="s">
        <v>221</v>
      </c>
      <c r="B97">
        <v>807.30500000000006</v>
      </c>
      <c r="C97">
        <v>961.45699999999999</v>
      </c>
      <c r="D97">
        <v>2.4078956528201854</v>
      </c>
      <c r="E97">
        <v>0.17685003236208213</v>
      </c>
      <c r="F97">
        <v>0.19094642049782906</v>
      </c>
      <c r="G97">
        <v>0.34100618747945993</v>
      </c>
      <c r="H97">
        <v>0</v>
      </c>
      <c r="I97">
        <v>6.6124946581527427E-2</v>
      </c>
      <c r="J97">
        <v>0.1270486371321867</v>
      </c>
      <c r="K97">
        <v>0.12581462043700831</v>
      </c>
      <c r="L97">
        <v>8.233101492001163E-2</v>
      </c>
    </row>
    <row r="98" spans="1:12" x14ac:dyDescent="0.2">
      <c r="A98" t="s">
        <v>223</v>
      </c>
      <c r="B98">
        <v>282.14300000000003</v>
      </c>
      <c r="C98">
        <v>349.18299999999999</v>
      </c>
      <c r="D98">
        <v>6.7534491374941066</v>
      </c>
      <c r="E98">
        <v>0.98914982268878537</v>
      </c>
      <c r="F98">
        <v>0.23761000627341433</v>
      </c>
      <c r="G98">
        <v>0.73267809586697963</v>
      </c>
      <c r="H98">
        <v>0.13600550075670845</v>
      </c>
      <c r="I98">
        <v>0.42973244064180216</v>
      </c>
      <c r="J98">
        <v>0.13110018678471552</v>
      </c>
      <c r="K98">
        <v>6.2447056988831899E-2</v>
      </c>
      <c r="L98">
        <v>-3.9696454737572787E-2</v>
      </c>
    </row>
    <row r="99" spans="1:12" x14ac:dyDescent="0.2">
      <c r="A99" t="s">
        <v>225</v>
      </c>
      <c r="B99">
        <v>165.38</v>
      </c>
      <c r="C99">
        <v>205.85</v>
      </c>
      <c r="D99">
        <v>12.179941347200387</v>
      </c>
      <c r="E99">
        <v>0.56630613907146776</v>
      </c>
      <c r="F99">
        <v>0.24470915467408383</v>
      </c>
      <c r="G99">
        <v>0.6194763558189732</v>
      </c>
      <c r="H99">
        <v>0.10024186721489901</v>
      </c>
      <c r="I99">
        <v>0.17359414681339944</v>
      </c>
      <c r="J99">
        <v>0.12818357721610837</v>
      </c>
      <c r="K99">
        <v>0.18834804692223969</v>
      </c>
      <c r="L99">
        <v>0.1092716168823316</v>
      </c>
    </row>
    <row r="100" spans="1:12" x14ac:dyDescent="0.2">
      <c r="A100" t="s">
        <v>227</v>
      </c>
      <c r="B100">
        <v>167.92599999999999</v>
      </c>
      <c r="C100">
        <v>255.9</v>
      </c>
      <c r="D100">
        <v>13.117476745709421</v>
      </c>
      <c r="E100">
        <v>0.82163933003558087</v>
      </c>
      <c r="F100">
        <v>0.52388552100329933</v>
      </c>
      <c r="G100">
        <v>0.52415945118683227</v>
      </c>
      <c r="H100">
        <v>0.23009539916391744</v>
      </c>
      <c r="I100">
        <v>0.43523337660636235</v>
      </c>
      <c r="J100">
        <v>0.13441635005895455</v>
      </c>
      <c r="K100">
        <v>-0.23658039850886703</v>
      </c>
      <c r="L100">
        <v>-0.28080821314150284</v>
      </c>
    </row>
    <row r="101" spans="1:12" x14ac:dyDescent="0.2">
      <c r="A101" t="s">
        <v>229</v>
      </c>
      <c r="B101">
        <v>344.017</v>
      </c>
      <c r="C101">
        <v>369.76900000000001</v>
      </c>
      <c r="D101">
        <v>4.4908074310281174</v>
      </c>
      <c r="E101">
        <v>0.30085269705620998</v>
      </c>
      <c r="F101">
        <v>7.4856765799364622E-2</v>
      </c>
      <c r="G101">
        <v>0.79773963771628198</v>
      </c>
      <c r="H101">
        <v>0.1844443733885244</v>
      </c>
      <c r="I101">
        <v>0.44235604635817416</v>
      </c>
      <c r="J101">
        <v>0.15823345939299513</v>
      </c>
      <c r="K101">
        <v>2.0510319938192006E-2</v>
      </c>
      <c r="L101">
        <v>-6.636852248580738E-2</v>
      </c>
    </row>
    <row r="102" spans="1:12" x14ac:dyDescent="0.2">
      <c r="A102" t="s">
        <v>237</v>
      </c>
      <c r="B102">
        <v>2524.2550000000001</v>
      </c>
      <c r="C102">
        <v>2627.6289999999999</v>
      </c>
      <c r="D102">
        <v>1.5765317687793032</v>
      </c>
      <c r="E102">
        <v>7.3531613247845018E-2</v>
      </c>
      <c r="F102">
        <v>4.0952280970028676E-2</v>
      </c>
      <c r="G102">
        <v>0.36470205843182879</v>
      </c>
      <c r="H102">
        <v>0</v>
      </c>
      <c r="I102" t="e">
        <v>#VALUE!</v>
      </c>
      <c r="J102" t="e">
        <v>#VALUE!</v>
      </c>
      <c r="K102">
        <v>0.21629550104882431</v>
      </c>
      <c r="L102">
        <v>6.4735733995161734E-2</v>
      </c>
    </row>
    <row r="103" spans="1:12" x14ac:dyDescent="0.2">
      <c r="A103" t="s">
        <v>239</v>
      </c>
      <c r="B103">
        <v>425.97399999999993</v>
      </c>
      <c r="C103">
        <v>456</v>
      </c>
      <c r="D103">
        <v>5.4792090597078698</v>
      </c>
      <c r="E103">
        <v>9.3623477883580858E-2</v>
      </c>
      <c r="F103">
        <v>7.048787015169955E-2</v>
      </c>
      <c r="G103">
        <v>0.50701686519888656</v>
      </c>
      <c r="H103">
        <v>0</v>
      </c>
      <c r="I103" t="e">
        <v>#VALUE!</v>
      </c>
      <c r="J103" t="e">
        <v>#VALUE!</v>
      </c>
      <c r="K103">
        <v>0.40195645743636943</v>
      </c>
      <c r="L103">
        <v>0.15663211839220237</v>
      </c>
    </row>
    <row r="104" spans="1:12" x14ac:dyDescent="0.2">
      <c r="A104" t="s">
        <v>241</v>
      </c>
      <c r="B104">
        <v>242.52799999999999</v>
      </c>
      <c r="C104">
        <v>285.279</v>
      </c>
      <c r="D104">
        <v>6.7505558121124158</v>
      </c>
      <c r="E104">
        <v>0.47472880284088148</v>
      </c>
      <c r="F104">
        <v>0.1762724303997889</v>
      </c>
      <c r="G104">
        <v>0.90019708259201003</v>
      </c>
      <c r="H104">
        <v>0.19531353080881383</v>
      </c>
      <c r="I104">
        <v>0.56033117825570655</v>
      </c>
      <c r="J104">
        <v>0.11059753925319964</v>
      </c>
      <c r="K104">
        <v>-8.4031534503232599E-2</v>
      </c>
      <c r="L104">
        <v>-0.10523436469191186</v>
      </c>
    </row>
    <row r="105" spans="1:12" x14ac:dyDescent="0.2">
      <c r="A105" t="s">
        <v>243</v>
      </c>
      <c r="B105">
        <v>198.54300000000001</v>
      </c>
      <c r="C105">
        <v>249.18700000000001</v>
      </c>
      <c r="D105">
        <v>9.0514543449026164</v>
      </c>
      <c r="E105">
        <v>1.2128193125585127</v>
      </c>
      <c r="F105">
        <v>0.25507824501493381</v>
      </c>
      <c r="G105">
        <v>0.74437778330125193</v>
      </c>
      <c r="H105">
        <v>0.12937751519821902</v>
      </c>
      <c r="I105">
        <v>0.63955918868960371</v>
      </c>
      <c r="J105">
        <v>0.20186559082919064</v>
      </c>
      <c r="K105">
        <v>-0.34254040686400428</v>
      </c>
      <c r="L105">
        <v>-0.36914925230302753</v>
      </c>
    </row>
    <row r="106" spans="1:12" x14ac:dyDescent="0.2">
      <c r="A106" t="s">
        <v>245</v>
      </c>
      <c r="B106">
        <v>176.48500000000001</v>
      </c>
      <c r="C106">
        <v>232.17500000000001</v>
      </c>
      <c r="D106">
        <v>9.679609598549451</v>
      </c>
      <c r="E106">
        <v>0.66520418176328522</v>
      </c>
      <c r="F106">
        <v>0.31555089667677128</v>
      </c>
      <c r="G106">
        <v>0.76684702958527584</v>
      </c>
      <c r="H106">
        <v>0.15205258237243957</v>
      </c>
      <c r="I106">
        <v>0.49234779159701952</v>
      </c>
      <c r="J106">
        <v>0.16684704082499929</v>
      </c>
      <c r="K106">
        <v>-0.17408844944329543</v>
      </c>
      <c r="L106">
        <v>-0.19658894523613904</v>
      </c>
    </row>
    <row r="107" spans="1:12" x14ac:dyDescent="0.2">
      <c r="A107" t="s">
        <v>247</v>
      </c>
      <c r="B107">
        <v>430.33699999999999</v>
      </c>
      <c r="C107">
        <v>547.33299999999997</v>
      </c>
      <c r="D107">
        <v>5.291464596351231</v>
      </c>
      <c r="E107">
        <v>0.44266059659262341</v>
      </c>
      <c r="F107">
        <v>0.27187065021134593</v>
      </c>
      <c r="G107">
        <v>0.63627342087059102</v>
      </c>
      <c r="H107">
        <v>7.8668578346737558E-2</v>
      </c>
      <c r="I107">
        <v>3.7884262798690331E-2</v>
      </c>
      <c r="J107">
        <v>0.13936984270467098</v>
      </c>
      <c r="K107">
        <v>0.33725429140417862</v>
      </c>
      <c r="L107">
        <v>0.24665552810936545</v>
      </c>
    </row>
    <row r="108" spans="1:12" x14ac:dyDescent="0.2">
      <c r="A108" t="s">
        <v>249</v>
      </c>
      <c r="B108">
        <v>472.71199999999999</v>
      </c>
      <c r="C108">
        <v>564.25700000000006</v>
      </c>
      <c r="D108">
        <v>3.5622831660715191</v>
      </c>
      <c r="E108">
        <v>0.46415739524741678</v>
      </c>
      <c r="F108">
        <v>0.19365914129533435</v>
      </c>
      <c r="G108">
        <v>0.37416862382304378</v>
      </c>
      <c r="H108">
        <v>0</v>
      </c>
      <c r="I108" t="e">
        <v>#VALUE!</v>
      </c>
      <c r="J108" t="e">
        <v>#VALUE!</v>
      </c>
      <c r="K108">
        <v>0.15129628913285678</v>
      </c>
      <c r="L108">
        <v>0.10167478295452621</v>
      </c>
    </row>
    <row r="109" spans="1:12" x14ac:dyDescent="0.2">
      <c r="A109" t="s">
        <v>251</v>
      </c>
      <c r="B109">
        <v>143.75199999999998</v>
      </c>
      <c r="C109">
        <v>169.75800000000001</v>
      </c>
      <c r="D109">
        <v>10.876286242974013</v>
      </c>
      <c r="E109">
        <v>0.23976507317746279</v>
      </c>
      <c r="F109">
        <v>0.18090878735600224</v>
      </c>
      <c r="G109">
        <v>0.70751016911802767</v>
      </c>
      <c r="H109">
        <v>0.16480466358728924</v>
      </c>
      <c r="I109">
        <v>0.20368412265568483</v>
      </c>
      <c r="J109">
        <v>9.6381267738883655E-2</v>
      </c>
      <c r="K109">
        <v>0.2457844064778229</v>
      </c>
      <c r="L109">
        <v>0.14145890144137127</v>
      </c>
    </row>
    <row r="110" spans="1:12" x14ac:dyDescent="0.2">
      <c r="A110" t="s">
        <v>253</v>
      </c>
      <c r="B110">
        <v>310.62700000000001</v>
      </c>
      <c r="C110">
        <v>366.35300000000001</v>
      </c>
      <c r="D110">
        <v>4.7603930115540498</v>
      </c>
      <c r="E110">
        <v>0.48386803989758087</v>
      </c>
      <c r="F110">
        <v>0.17939844250499792</v>
      </c>
      <c r="G110">
        <v>0.75537864054497039</v>
      </c>
      <c r="H110">
        <v>0.11202181394405508</v>
      </c>
      <c r="I110">
        <v>0.5924919598103191</v>
      </c>
      <c r="J110">
        <v>0.12527887144388608</v>
      </c>
      <c r="K110">
        <v>-4.3202941148065041E-2</v>
      </c>
      <c r="L110">
        <v>0.13635747211584634</v>
      </c>
    </row>
    <row r="111" spans="1:12" x14ac:dyDescent="0.2">
      <c r="A111" t="s">
        <v>257</v>
      </c>
      <c r="B111">
        <v>211.739</v>
      </c>
      <c r="C111">
        <v>279.25700000000001</v>
      </c>
      <c r="D111">
        <v>6.8716627546177129</v>
      </c>
      <c r="E111">
        <v>0.52307205386236633</v>
      </c>
      <c r="F111">
        <v>0.31887370772507673</v>
      </c>
      <c r="G111">
        <v>0.70741808526214944</v>
      </c>
      <c r="H111">
        <v>0.16912330746815651</v>
      </c>
      <c r="I111">
        <v>0.33921478801732324</v>
      </c>
      <c r="J111">
        <v>0.176967870822097</v>
      </c>
      <c r="K111">
        <v>-5.4009471058260393E-2</v>
      </c>
      <c r="L111">
        <v>-0.10750678901855586</v>
      </c>
    </row>
    <row r="112" spans="1:12" x14ac:dyDescent="0.2">
      <c r="A112" t="s">
        <v>259</v>
      </c>
      <c r="B112">
        <v>128.28899999999999</v>
      </c>
      <c r="C112">
        <v>156.166</v>
      </c>
      <c r="D112">
        <v>10.497366882585414</v>
      </c>
      <c r="E112">
        <v>0.605036970311151</v>
      </c>
      <c r="F112">
        <v>0.21729844335835513</v>
      </c>
      <c r="G112">
        <v>0.74233956395664935</v>
      </c>
      <c r="H112">
        <v>0.23106423777564716</v>
      </c>
      <c r="I112">
        <v>0.21969927273577627</v>
      </c>
      <c r="J112">
        <v>0.23463430223947496</v>
      </c>
      <c r="K112">
        <v>3.5092642393346273E-2</v>
      </c>
      <c r="L112">
        <v>-3.6651622508554908E-2</v>
      </c>
    </row>
    <row r="113" spans="1:12" x14ac:dyDescent="0.2">
      <c r="A113" t="s">
        <v>261</v>
      </c>
      <c r="B113">
        <v>268.00934779214469</v>
      </c>
      <c r="C113">
        <v>275.88499999999999</v>
      </c>
      <c r="D113">
        <v>5.2502650060224596</v>
      </c>
      <c r="E113">
        <v>-0.12979174892073689</v>
      </c>
      <c r="F113">
        <v>2.9385737000350076E-2</v>
      </c>
      <c r="G113">
        <v>0.69567357757558712</v>
      </c>
      <c r="H113">
        <v>0.12716640461897114</v>
      </c>
      <c r="I113" t="e">
        <v>#VALUE!</v>
      </c>
      <c r="J113" t="e">
        <v>#VALUE!</v>
      </c>
      <c r="K113">
        <v>0.34427930092717413</v>
      </c>
      <c r="L113">
        <v>0.16881865893826267</v>
      </c>
    </row>
    <row r="114" spans="1:12" x14ac:dyDescent="0.2">
      <c r="A114" t="s">
        <v>263</v>
      </c>
      <c r="B114">
        <v>221.20800000000003</v>
      </c>
      <c r="C114">
        <v>260.59699999999998</v>
      </c>
      <c r="D114">
        <v>6.524921793063541</v>
      </c>
      <c r="E114">
        <v>0.40505726099963801</v>
      </c>
      <c r="F114">
        <v>0.17806318035514068</v>
      </c>
      <c r="G114">
        <v>0.70365447448971064</v>
      </c>
      <c r="H114">
        <v>0.2302719612310585</v>
      </c>
      <c r="I114">
        <v>0.50447090521138471</v>
      </c>
      <c r="J114">
        <v>0.13694351018046361</v>
      </c>
      <c r="K114">
        <v>-0.21380507217218181</v>
      </c>
      <c r="L114">
        <v>-0.24352193410726553</v>
      </c>
    </row>
    <row r="115" spans="1:12" x14ac:dyDescent="0.2">
      <c r="A115" t="s">
        <v>265</v>
      </c>
      <c r="B115">
        <v>206.78900000000002</v>
      </c>
      <c r="C115">
        <v>220.108</v>
      </c>
      <c r="D115">
        <v>6.8152068050041343</v>
      </c>
      <c r="E115">
        <v>0.55570518269975855</v>
      </c>
      <c r="F115">
        <v>6.44086484290749E-2</v>
      </c>
      <c r="G115">
        <v>0.62332135603532324</v>
      </c>
      <c r="H115">
        <v>0.16845673609331249</v>
      </c>
      <c r="I115">
        <v>0.3963750489629525</v>
      </c>
      <c r="J115">
        <v>0.13129325060810776</v>
      </c>
      <c r="K115">
        <v>-0.148054296892001</v>
      </c>
      <c r="L115">
        <v>-0.16283748168422885</v>
      </c>
    </row>
    <row r="116" spans="1:12" x14ac:dyDescent="0.2">
      <c r="A116" t="s">
        <v>267</v>
      </c>
      <c r="B116">
        <v>309.411</v>
      </c>
      <c r="C116">
        <v>376.04599999999999</v>
      </c>
      <c r="D116">
        <v>4.4463076619771114</v>
      </c>
      <c r="E116">
        <v>0.67737895815375593</v>
      </c>
      <c r="F116">
        <v>0.21536079842022415</v>
      </c>
      <c r="G116">
        <v>0.71251830040758768</v>
      </c>
      <c r="H116">
        <v>0.32673046530343136</v>
      </c>
      <c r="I116">
        <v>0.64699703630446226</v>
      </c>
      <c r="J116">
        <v>0.25300328689025275</v>
      </c>
      <c r="K116">
        <v>-0.52720814709237873</v>
      </c>
      <c r="L116">
        <v>-0.57156338979545007</v>
      </c>
    </row>
    <row r="117" spans="1:12" x14ac:dyDescent="0.2">
      <c r="A117" t="s">
        <v>269</v>
      </c>
      <c r="B117">
        <v>122.828</v>
      </c>
      <c r="C117">
        <v>163.084</v>
      </c>
      <c r="D117">
        <v>11.848405086788029</v>
      </c>
      <c r="E117">
        <v>0.59836556229341797</v>
      </c>
      <c r="F117">
        <v>0.32774285993421692</v>
      </c>
      <c r="G117">
        <v>0.69223629840944378</v>
      </c>
      <c r="H117">
        <v>0.18107434786856416</v>
      </c>
      <c r="I117">
        <v>0.38263262448301688</v>
      </c>
      <c r="J117">
        <v>0.18639886670791675</v>
      </c>
      <c r="K117">
        <v>-0.20080926173185265</v>
      </c>
      <c r="L117">
        <v>-0.3190529846614778</v>
      </c>
    </row>
    <row r="118" spans="1:12" x14ac:dyDescent="0.2">
      <c r="A118" t="s">
        <v>271</v>
      </c>
      <c r="B118">
        <v>234.53299999999999</v>
      </c>
      <c r="C118">
        <v>255.227</v>
      </c>
      <c r="D118">
        <v>5.6924428545236712</v>
      </c>
      <c r="E118">
        <v>0.21334230062857293</v>
      </c>
      <c r="F118">
        <v>8.8234917900679388E-2</v>
      </c>
      <c r="G118">
        <v>0.666298567071818</v>
      </c>
      <c r="H118">
        <v>9.8847496940729029E-2</v>
      </c>
      <c r="I118">
        <v>0.31251465678603868</v>
      </c>
      <c r="J118">
        <v>0.15972592343081785</v>
      </c>
      <c r="K118">
        <v>0.10634750760020978</v>
      </c>
      <c r="L118">
        <v>4.2834057467392654E-2</v>
      </c>
    </row>
    <row r="119" spans="1:12" x14ac:dyDescent="0.2">
      <c r="A119" t="s">
        <v>273</v>
      </c>
      <c r="B119">
        <v>774.83100000000002</v>
      </c>
      <c r="C119">
        <v>685.5</v>
      </c>
      <c r="D119">
        <v>2.6226797843658809</v>
      </c>
      <c r="E119">
        <v>0.19371338159554957</v>
      </c>
      <c r="F119">
        <v>-0.11529094731625344</v>
      </c>
      <c r="G119">
        <v>0.73883079917815353</v>
      </c>
      <c r="H119">
        <v>0.25087018975750841</v>
      </c>
      <c r="I119" t="e">
        <v>#VALUE!</v>
      </c>
      <c r="J119" t="e">
        <v>#VALUE!</v>
      </c>
      <c r="K119">
        <v>0.26073814806067391</v>
      </c>
      <c r="L119">
        <v>-7.1136970513570055E-2</v>
      </c>
    </row>
    <row r="120" spans="1:12" x14ac:dyDescent="0.2">
      <c r="A120" t="s">
        <v>275</v>
      </c>
      <c r="B120">
        <v>506.92600000000004</v>
      </c>
      <c r="C120">
        <v>514</v>
      </c>
      <c r="D120">
        <v>1.4192394945218827</v>
      </c>
      <c r="E120">
        <v>-1.0221395225329341E-2</v>
      </c>
      <c r="F120">
        <v>1.3954699502491508E-2</v>
      </c>
      <c r="G120">
        <v>0.803981239901987</v>
      </c>
      <c r="H120">
        <v>0.15537968066344987</v>
      </c>
      <c r="I120">
        <v>0.34445264200297476</v>
      </c>
      <c r="J120">
        <v>0.1581315616085977</v>
      </c>
      <c r="K120">
        <v>9.3816454472644931E-2</v>
      </c>
      <c r="L120">
        <v>8.3248837108374787E-2</v>
      </c>
    </row>
    <row r="121" spans="1:12" x14ac:dyDescent="0.2">
      <c r="A121" t="s">
        <v>277</v>
      </c>
      <c r="B121">
        <v>401.911</v>
      </c>
      <c r="C121">
        <v>396.25</v>
      </c>
      <c r="D121">
        <v>3.4921278591528968</v>
      </c>
      <c r="E121">
        <v>-8.4620109981472548E-3</v>
      </c>
      <c r="F121">
        <v>-1.4085207919166232E-2</v>
      </c>
      <c r="G121">
        <v>0.83030820149922224</v>
      </c>
      <c r="H121">
        <v>0.19155484671979617</v>
      </c>
      <c r="I121">
        <v>0.23971725083413989</v>
      </c>
      <c r="J121">
        <v>0.11380380233434764</v>
      </c>
      <c r="K121">
        <v>0.35425007028919331</v>
      </c>
      <c r="L121">
        <v>0.16390927344611117</v>
      </c>
    </row>
    <row r="122" spans="1:12" x14ac:dyDescent="0.2">
      <c r="A122" t="s">
        <v>279</v>
      </c>
      <c r="B122">
        <v>225.61</v>
      </c>
      <c r="C122">
        <v>255.92000000000002</v>
      </c>
      <c r="D122">
        <v>6.0297203138158766</v>
      </c>
      <c r="E122">
        <v>0.26288861771324312</v>
      </c>
      <c r="F122">
        <v>0.13434688178715493</v>
      </c>
      <c r="G122">
        <v>0.71389566349394595</v>
      </c>
      <c r="H122">
        <v>0.30216745711626253</v>
      </c>
      <c r="I122">
        <v>0.37303754266211603</v>
      </c>
      <c r="J122">
        <v>0.17549754000265946</v>
      </c>
      <c r="K122">
        <v>-0.21606597921023002</v>
      </c>
      <c r="L122">
        <v>-0.23881920127653916</v>
      </c>
    </row>
    <row r="123" spans="1:12" x14ac:dyDescent="0.2">
      <c r="A123" t="s">
        <v>283</v>
      </c>
      <c r="B123">
        <v>1442.086</v>
      </c>
      <c r="C123">
        <v>1299.5</v>
      </c>
      <c r="D123">
        <v>1.4129648994581461</v>
      </c>
      <c r="E123">
        <v>0.13966099873238055</v>
      </c>
      <c r="F123">
        <v>-9.8874824386340321E-2</v>
      </c>
      <c r="G123">
        <v>0.34216891360082885</v>
      </c>
      <c r="H123">
        <v>0</v>
      </c>
      <c r="I123" t="e">
        <v>#VALUE!</v>
      </c>
      <c r="J123" t="e">
        <v>#VALUE!</v>
      </c>
      <c r="K123">
        <v>0.22325367557829423</v>
      </c>
      <c r="L123">
        <v>4.546122075937218E-2</v>
      </c>
    </row>
    <row r="124" spans="1:12" x14ac:dyDescent="0.2">
      <c r="A124" t="s">
        <v>285</v>
      </c>
      <c r="B124">
        <v>1637.712</v>
      </c>
      <c r="C124">
        <v>1656.5</v>
      </c>
      <c r="D124">
        <v>0.75483003116543079</v>
      </c>
      <c r="E124">
        <v>0.12169212150103043</v>
      </c>
      <c r="F124">
        <v>1.147210254305997E-2</v>
      </c>
      <c r="G124">
        <v>0.33811439441039259</v>
      </c>
      <c r="H124">
        <v>0</v>
      </c>
      <c r="I124" t="e">
        <v>#VALUE!</v>
      </c>
      <c r="J124">
        <v>0.23011555145227</v>
      </c>
      <c r="K124">
        <v>0.10262121789423294</v>
      </c>
      <c r="L124">
        <v>4.3467792466466634E-2</v>
      </c>
    </row>
    <row r="125" spans="1:12" x14ac:dyDescent="0.2">
      <c r="A125" t="s">
        <v>287</v>
      </c>
      <c r="B125">
        <v>233.78399999999999</v>
      </c>
      <c r="C125">
        <v>258.85399999999998</v>
      </c>
      <c r="D125">
        <v>5.194544536837423</v>
      </c>
      <c r="E125">
        <v>4.9398731478281145E-2</v>
      </c>
      <c r="F125">
        <v>0.10723573897272698</v>
      </c>
      <c r="G125">
        <v>0.74643259270702</v>
      </c>
      <c r="H125">
        <v>0.17124354104643602</v>
      </c>
      <c r="I125">
        <v>0.38884183690928381</v>
      </c>
      <c r="J125">
        <v>0.18446086986277935</v>
      </c>
      <c r="K125">
        <v>4.1850597132395723E-2</v>
      </c>
      <c r="L125">
        <v>-3.8488770243618048E-2</v>
      </c>
    </row>
    <row r="126" spans="1:12" x14ac:dyDescent="0.2">
      <c r="A126" t="s">
        <v>289</v>
      </c>
      <c r="B126">
        <v>162.01400000000001</v>
      </c>
      <c r="C126">
        <v>226.63</v>
      </c>
      <c r="D126">
        <v>8.9161560112089067</v>
      </c>
      <c r="E126">
        <v>0.39380070372250281</v>
      </c>
      <c r="F126">
        <v>0.39882973076400785</v>
      </c>
      <c r="G126">
        <v>0.78003135531497281</v>
      </c>
      <c r="H126">
        <v>0.3212500154307652</v>
      </c>
      <c r="I126">
        <v>0.66160949053785467</v>
      </c>
      <c r="J126">
        <v>0.13787080128877749</v>
      </c>
      <c r="K126">
        <v>-0.29694347402076365</v>
      </c>
      <c r="L126">
        <v>-0.34458133247744022</v>
      </c>
    </row>
    <row r="127" spans="1:12" x14ac:dyDescent="0.2">
      <c r="A127" t="s">
        <v>291</v>
      </c>
      <c r="B127">
        <v>212.47800000000001</v>
      </c>
      <c r="C127">
        <v>249.06300000000002</v>
      </c>
      <c r="D127">
        <v>4.7822922843776761</v>
      </c>
      <c r="E127">
        <v>0.32328157988154638</v>
      </c>
      <c r="F127">
        <v>0.17218253183859034</v>
      </c>
      <c r="G127">
        <v>0.69293761861751924</v>
      </c>
      <c r="H127">
        <v>0.19084328730503861</v>
      </c>
      <c r="I127">
        <v>0.41392050000470637</v>
      </c>
      <c r="J127">
        <v>0.13039467615470776</v>
      </c>
      <c r="K127">
        <v>-6.748499114904602E-2</v>
      </c>
      <c r="L127">
        <v>-0.10987946987452818</v>
      </c>
    </row>
    <row r="128" spans="1:12" x14ac:dyDescent="0.2">
      <c r="A128" t="s">
        <v>293</v>
      </c>
      <c r="B128">
        <v>493.41899999999998</v>
      </c>
      <c r="C128">
        <v>540.76700000000005</v>
      </c>
      <c r="D128">
        <v>2.2672898692591894</v>
      </c>
      <c r="E128">
        <v>0.45327548730273737</v>
      </c>
      <c r="F128">
        <v>9.5959012522825571E-2</v>
      </c>
      <c r="G128">
        <v>0.51518485568527572</v>
      </c>
      <c r="H128">
        <v>0.162466382526818</v>
      </c>
      <c r="I128">
        <v>0.3067190359511896</v>
      </c>
      <c r="J128">
        <v>0.18792547510330976</v>
      </c>
      <c r="K128">
        <v>-6.6681664062389165E-2</v>
      </c>
      <c r="L128">
        <v>-0.10494352130105246</v>
      </c>
    </row>
    <row r="129" spans="1:12" x14ac:dyDescent="0.2">
      <c r="A129" t="s">
        <v>295</v>
      </c>
      <c r="B129">
        <v>819.13599999999997</v>
      </c>
      <c r="C129">
        <v>876.5</v>
      </c>
      <c r="D129">
        <v>1.6575513712008751</v>
      </c>
      <c r="E129">
        <v>7.6453628189729256E-2</v>
      </c>
      <c r="F129">
        <v>7.0029885147277149E-2</v>
      </c>
      <c r="G129">
        <v>0.49943476463167064</v>
      </c>
      <c r="H129">
        <v>0.13819439018673332</v>
      </c>
      <c r="I129" t="e">
        <v>#VALUE!</v>
      </c>
      <c r="J129" t="e">
        <v>#VALUE!</v>
      </c>
      <c r="K129">
        <v>0.20621850339870307</v>
      </c>
      <c r="L129">
        <v>7.8962236585209303E-2</v>
      </c>
    </row>
    <row r="130" spans="1:12" x14ac:dyDescent="0.2">
      <c r="A130" t="s">
        <v>297</v>
      </c>
      <c r="B130">
        <v>1510.7610000000002</v>
      </c>
      <c r="C130">
        <v>1523.8330000000001</v>
      </c>
      <c r="D130">
        <v>0.91793672195668252</v>
      </c>
      <c r="E130">
        <v>0.18467086660111143</v>
      </c>
      <c r="F130">
        <v>8.6525929647376376E-3</v>
      </c>
      <c r="G130">
        <v>0.24157692316557991</v>
      </c>
      <c r="H130">
        <v>0</v>
      </c>
      <c r="I130" t="e">
        <v>#VALUE!</v>
      </c>
      <c r="J130" t="e">
        <v>#VALUE!</v>
      </c>
      <c r="K130">
        <v>0.12311639620955465</v>
      </c>
      <c r="L130">
        <v>4.5817809699879732E-2</v>
      </c>
    </row>
    <row r="131" spans="1:12" x14ac:dyDescent="0.2">
      <c r="A131" t="s">
        <v>299</v>
      </c>
      <c r="B131">
        <v>257.60300000000001</v>
      </c>
      <c r="C131">
        <v>302.613</v>
      </c>
      <c r="D131">
        <v>3.6840805425402654</v>
      </c>
      <c r="E131">
        <v>0.54400297289035671</v>
      </c>
      <c r="F131">
        <v>0.17472622601444865</v>
      </c>
      <c r="G131">
        <v>0.75474664005567371</v>
      </c>
      <c r="H131">
        <v>0.18413993625850628</v>
      </c>
      <c r="I131">
        <v>0.58653431831151026</v>
      </c>
      <c r="J131">
        <v>0.19877874093081216</v>
      </c>
      <c r="K131">
        <v>-0.32206534861783442</v>
      </c>
      <c r="L131">
        <v>-0.35757347546418328</v>
      </c>
    </row>
    <row r="132" spans="1:12" x14ac:dyDescent="0.2">
      <c r="A132" t="s">
        <v>303</v>
      </c>
      <c r="B132">
        <v>183.61700000000002</v>
      </c>
      <c r="C132">
        <v>205.86799999999999</v>
      </c>
      <c r="D132">
        <v>6.5848614235065375</v>
      </c>
      <c r="E132">
        <v>0.19795010308202202</v>
      </c>
      <c r="F132">
        <v>0.12118158993992911</v>
      </c>
      <c r="G132">
        <v>0.59635545611995044</v>
      </c>
      <c r="H132">
        <v>0.30509702260683919</v>
      </c>
      <c r="I132">
        <v>0.37096782977611004</v>
      </c>
      <c r="J132">
        <v>0.21967464886148882</v>
      </c>
      <c r="K132">
        <v>-0.24097986569870977</v>
      </c>
      <c r="L132">
        <v>-0.3447641020578105</v>
      </c>
    </row>
    <row r="133" spans="1:12" x14ac:dyDescent="0.2">
      <c r="A133" t="s">
        <v>305</v>
      </c>
      <c r="B133">
        <v>184.83700000000002</v>
      </c>
      <c r="C133">
        <v>231.28900000000002</v>
      </c>
      <c r="D133">
        <v>5.4709495393238363</v>
      </c>
      <c r="E133">
        <v>0.66700036075036095</v>
      </c>
      <c r="F133">
        <v>0.25131331930295331</v>
      </c>
      <c r="G133">
        <v>0.70595174026734853</v>
      </c>
      <c r="H133">
        <v>0.26127344633379679</v>
      </c>
      <c r="I133">
        <v>0.45291797637918807</v>
      </c>
      <c r="J133">
        <v>0.16877573213155375</v>
      </c>
      <c r="K133">
        <v>-0.21769450921622832</v>
      </c>
      <c r="L133">
        <v>-0.2655258416875409</v>
      </c>
    </row>
    <row r="134" spans="1:12" x14ac:dyDescent="0.2">
      <c r="A134" t="s">
        <v>307</v>
      </c>
      <c r="B134">
        <v>252.16</v>
      </c>
      <c r="C134">
        <v>269.78399999999999</v>
      </c>
      <c r="D134">
        <v>4.3861318210659901</v>
      </c>
      <c r="E134">
        <v>8.0677995157177398E-2</v>
      </c>
      <c r="F134">
        <v>6.989213197969546E-2</v>
      </c>
      <c r="G134">
        <v>0.50090814362927738</v>
      </c>
      <c r="H134">
        <v>0.19649825507614213</v>
      </c>
      <c r="I134">
        <v>0.27474619289340102</v>
      </c>
      <c r="J134">
        <v>0.10813769035532995</v>
      </c>
      <c r="K134">
        <v>-4.4693393384950028E-2</v>
      </c>
      <c r="L134">
        <v>-0.15946938451776649</v>
      </c>
    </row>
    <row r="135" spans="1:12" x14ac:dyDescent="0.2">
      <c r="A135" t="s">
        <v>309</v>
      </c>
      <c r="B135">
        <v>347.22800000000001</v>
      </c>
      <c r="C135">
        <v>324.12</v>
      </c>
      <c r="D135">
        <v>2.2130456069211011</v>
      </c>
      <c r="E135">
        <v>9.2205024700495908E-2</v>
      </c>
      <c r="F135">
        <v>-6.6549932609121343E-2</v>
      </c>
      <c r="G135">
        <v>0.40760825449825455</v>
      </c>
      <c r="H135">
        <v>0</v>
      </c>
      <c r="I135" t="e">
        <v>#VALUE!</v>
      </c>
      <c r="J135" t="e">
        <v>#VALUE!</v>
      </c>
      <c r="K135">
        <v>0.25459064361169026</v>
      </c>
      <c r="L135">
        <v>0.1661314755722465</v>
      </c>
    </row>
    <row r="136" spans="1:12" x14ac:dyDescent="0.2">
      <c r="A136" t="s">
        <v>313</v>
      </c>
      <c r="B136">
        <v>328.411</v>
      </c>
      <c r="C136">
        <v>339.733</v>
      </c>
      <c r="D136">
        <v>2.0845468026345038</v>
      </c>
      <c r="E136">
        <v>0.18196377927817697</v>
      </c>
      <c r="F136">
        <v>3.4475093708797866E-2</v>
      </c>
      <c r="G136">
        <v>0.51473002068741491</v>
      </c>
      <c r="H136">
        <v>0.14512607677574746</v>
      </c>
      <c r="I136">
        <v>0.22949292197886184</v>
      </c>
      <c r="J136">
        <v>0.10724975716404141</v>
      </c>
      <c r="K136">
        <v>2.0635727792309023E-2</v>
      </c>
      <c r="L136">
        <v>-3.6627147080944304E-3</v>
      </c>
    </row>
    <row r="137" spans="1:12" x14ac:dyDescent="0.2">
      <c r="A137" t="s">
        <v>315</v>
      </c>
      <c r="B137">
        <v>421.69007902324608</v>
      </c>
      <c r="C137">
        <v>255.601</v>
      </c>
      <c r="D137">
        <v>0.91539526112190239</v>
      </c>
      <c r="E137">
        <v>-0.97641554367878935</v>
      </c>
      <c r="F137">
        <v>-0.39386527519915937</v>
      </c>
      <c r="G137">
        <v>0.51874924641292552</v>
      </c>
      <c r="H137">
        <v>0</v>
      </c>
      <c r="I137" t="e">
        <v>#VALUE!</v>
      </c>
      <c r="J137" t="e">
        <v>#VALUE!</v>
      </c>
      <c r="K137">
        <v>0.19356135203568989</v>
      </c>
      <c r="L137">
        <v>0.12838410835577349</v>
      </c>
    </row>
    <row r="138" spans="1:12" x14ac:dyDescent="0.2">
      <c r="A138" t="s">
        <v>317</v>
      </c>
      <c r="B138">
        <v>242.89300000000003</v>
      </c>
      <c r="C138">
        <v>247.21700000000001</v>
      </c>
      <c r="D138">
        <v>3.1261234370689972</v>
      </c>
      <c r="E138">
        <v>0.19392354540136958</v>
      </c>
      <c r="F138">
        <v>1.7802077457975241E-2</v>
      </c>
      <c r="G138">
        <v>0.8117360266383209</v>
      </c>
      <c r="H138">
        <v>0.15506004701658752</v>
      </c>
      <c r="I138">
        <v>0.37674202220730935</v>
      </c>
      <c r="J138">
        <v>0.19167699357330181</v>
      </c>
      <c r="K138">
        <v>0.16492942904952795</v>
      </c>
      <c r="L138">
        <v>6.3183463541559445E-2</v>
      </c>
    </row>
    <row r="139" spans="1:12" x14ac:dyDescent="0.2">
      <c r="A139" t="s">
        <v>325</v>
      </c>
      <c r="B139">
        <v>200.61800000000002</v>
      </c>
      <c r="C139">
        <v>222.86700000000002</v>
      </c>
      <c r="D139">
        <v>2.9872603654706951</v>
      </c>
      <c r="E139">
        <v>4.3233630085697757E-2</v>
      </c>
      <c r="F139">
        <v>0.1109023118563639</v>
      </c>
      <c r="G139">
        <v>0.71395387976494418</v>
      </c>
      <c r="H139">
        <v>0.11523891176265338</v>
      </c>
      <c r="I139">
        <v>0.29406135042717996</v>
      </c>
      <c r="J139">
        <v>0.18642394999451692</v>
      </c>
      <c r="K139">
        <v>9.2239978466538378E-2</v>
      </c>
      <c r="L139">
        <v>3.6190930381431376E-2</v>
      </c>
    </row>
    <row r="140" spans="1:12" x14ac:dyDescent="0.2">
      <c r="A140" t="s">
        <v>327</v>
      </c>
      <c r="B140">
        <v>1528.231</v>
      </c>
      <c r="C140">
        <v>1645</v>
      </c>
      <c r="D140">
        <v>1.3098826028264052</v>
      </c>
      <c r="E140">
        <v>0.93465084071166149</v>
      </c>
      <c r="F140">
        <v>7.6407951415721875E-2</v>
      </c>
      <c r="G140">
        <v>0.24568798886786575</v>
      </c>
      <c r="H140">
        <v>0</v>
      </c>
      <c r="I140" t="e">
        <v>#VALUE!</v>
      </c>
      <c r="J140">
        <v>0.14458219994228622</v>
      </c>
      <c r="K140">
        <v>0.18050347100667372</v>
      </c>
      <c r="L140">
        <v>-3.4423879635997433E-2</v>
      </c>
    </row>
    <row r="141" spans="1:12" x14ac:dyDescent="0.2">
      <c r="A141" t="s">
        <v>329</v>
      </c>
      <c r="B141">
        <v>42.178586942867071</v>
      </c>
      <c r="C141">
        <v>103.099</v>
      </c>
      <c r="D141">
        <v>17.748484580908862</v>
      </c>
      <c r="E141">
        <v>-0.40020780206952206</v>
      </c>
      <c r="F141">
        <v>1.4443445708518534</v>
      </c>
      <c r="G141">
        <v>0.25056812394409728</v>
      </c>
      <c r="H141">
        <v>0.25166397971261883</v>
      </c>
      <c r="I141">
        <v>0.20959295280444246</v>
      </c>
      <c r="J141">
        <v>0.11390928983628897</v>
      </c>
      <c r="K141">
        <v>-0.29354885163447586</v>
      </c>
      <c r="L141">
        <v>-0.31713433716531614</v>
      </c>
    </row>
    <row r="142" spans="1:12" x14ac:dyDescent="0.2">
      <c r="A142" t="s">
        <v>331</v>
      </c>
      <c r="B142">
        <v>121.47999999999999</v>
      </c>
      <c r="C142">
        <v>163.429</v>
      </c>
      <c r="D142">
        <v>6.5029585116891679</v>
      </c>
      <c r="E142">
        <v>0.62478098626399348</v>
      </c>
      <c r="F142">
        <v>0.34531610141587099</v>
      </c>
      <c r="G142">
        <v>0.66982218315619402</v>
      </c>
      <c r="H142">
        <v>0.12555976292393811</v>
      </c>
      <c r="I142">
        <v>0.12600428054000659</v>
      </c>
      <c r="J142">
        <v>0.19172703325650314</v>
      </c>
      <c r="K142">
        <v>0.210594336516299</v>
      </c>
      <c r="L142">
        <v>-1.6795940704626276E-2</v>
      </c>
    </row>
    <row r="143" spans="1:12" x14ac:dyDescent="0.2">
      <c r="A143" t="s">
        <v>339</v>
      </c>
      <c r="B143">
        <v>155.49099999999999</v>
      </c>
      <c r="C143">
        <v>150.45000000000002</v>
      </c>
      <c r="D143">
        <v>3.0324282434353118</v>
      </c>
      <c r="E143">
        <v>0.45358087706013761</v>
      </c>
      <c r="F143">
        <v>-3.2419882822799839E-2</v>
      </c>
      <c r="G143">
        <v>0.58941031848887282</v>
      </c>
      <c r="H143">
        <v>0.19978005157854797</v>
      </c>
      <c r="I143">
        <v>0.2658610466200616</v>
      </c>
      <c r="J143">
        <v>0.23333183271057489</v>
      </c>
      <c r="K143">
        <v>-8.3200956968570536E-2</v>
      </c>
      <c r="L143">
        <v>-0.19867034104867806</v>
      </c>
    </row>
    <row r="144" spans="1:12" x14ac:dyDescent="0.2">
      <c r="A144" t="s">
        <v>343</v>
      </c>
      <c r="B144">
        <v>181.369</v>
      </c>
      <c r="C144">
        <v>204.3</v>
      </c>
      <c r="D144">
        <v>1.8922186261158191</v>
      </c>
      <c r="E144">
        <v>0.10640776935934515</v>
      </c>
      <c r="F144">
        <v>0.12643285236175972</v>
      </c>
      <c r="G144">
        <v>0.83011981789181555</v>
      </c>
      <c r="H144">
        <v>0.41545137261604792</v>
      </c>
      <c r="I144">
        <v>0.53193765196918985</v>
      </c>
      <c r="J144">
        <v>0.15488313879439156</v>
      </c>
      <c r="K144">
        <v>-0.25936626435609172</v>
      </c>
      <c r="L144">
        <v>-0.28542567914031614</v>
      </c>
    </row>
    <row r="145" spans="1:12" x14ac:dyDescent="0.2">
      <c r="A145" t="s">
        <v>345</v>
      </c>
      <c r="B145">
        <v>108.524</v>
      </c>
      <c r="C145">
        <v>148.155</v>
      </c>
      <c r="D145">
        <v>10.66609874313516</v>
      </c>
      <c r="E145" t="e">
        <v>#VALUE!</v>
      </c>
      <c r="F145">
        <v>0.36518189524897715</v>
      </c>
      <c r="G145">
        <v>0.58609155578489558</v>
      </c>
      <c r="H145">
        <v>0.72114002432641622</v>
      </c>
      <c r="I145">
        <v>1.2144963326084552</v>
      </c>
      <c r="J145">
        <v>0.27019829715086063</v>
      </c>
      <c r="K145">
        <v>-1.4617596107773396</v>
      </c>
      <c r="L145">
        <v>-1.6269396631159929</v>
      </c>
    </row>
    <row r="146" spans="1:12" x14ac:dyDescent="0.2">
      <c r="A146" t="s">
        <v>351</v>
      </c>
      <c r="B146">
        <v>231.34999999999997</v>
      </c>
      <c r="C146">
        <v>233.3</v>
      </c>
      <c r="D146">
        <v>1.2564512643181329</v>
      </c>
      <c r="E146">
        <v>1.7831295617627901E-2</v>
      </c>
      <c r="F146">
        <v>8.4287875513293642E-3</v>
      </c>
      <c r="G146">
        <v>0.77716878910365639</v>
      </c>
      <c r="H146">
        <v>0.27227577263885894</v>
      </c>
      <c r="I146">
        <v>0.43812405446293501</v>
      </c>
      <c r="J146">
        <v>0.1215993084071753</v>
      </c>
      <c r="K146">
        <v>-4.0006784613153233E-2</v>
      </c>
      <c r="L146">
        <v>-8.4296520423600627E-2</v>
      </c>
    </row>
    <row r="147" spans="1:12" x14ac:dyDescent="0.2">
      <c r="A147" t="s">
        <v>353</v>
      </c>
      <c r="B147">
        <v>29.199000000000002</v>
      </c>
      <c r="C147">
        <v>39.658999999999999</v>
      </c>
      <c r="D147">
        <v>13.295965615260796</v>
      </c>
      <c r="E147">
        <v>0.88295608434900386</v>
      </c>
      <c r="F147">
        <v>0.35823144628240677</v>
      </c>
      <c r="G147">
        <v>0.54570361240958798</v>
      </c>
      <c r="H147">
        <v>0.14243638480769888</v>
      </c>
      <c r="I147">
        <v>0.2116168361930203</v>
      </c>
      <c r="J147">
        <v>0.19161615123805609</v>
      </c>
      <c r="K147">
        <v>3.130244186444741E-2</v>
      </c>
      <c r="L147">
        <v>-0.15712901126750914</v>
      </c>
    </row>
    <row r="148" spans="1:12" x14ac:dyDescent="0.2">
      <c r="A148" t="s">
        <v>355</v>
      </c>
      <c r="B148">
        <v>271.697</v>
      </c>
      <c r="C148">
        <v>301</v>
      </c>
      <c r="D148">
        <v>1.3798672786228776</v>
      </c>
      <c r="E148">
        <v>0.3473959314838877</v>
      </c>
      <c r="F148">
        <v>0.10785176133707775</v>
      </c>
      <c r="G148">
        <v>0.32237014296227734</v>
      </c>
      <c r="H148">
        <v>2.5550521352830539E-2</v>
      </c>
      <c r="I148">
        <v>0.10027346639823038</v>
      </c>
      <c r="J148">
        <v>8.4053191606826727E-2</v>
      </c>
      <c r="K148">
        <v>0.15434104903624257</v>
      </c>
      <c r="L148">
        <v>6.6964827721336634E-2</v>
      </c>
    </row>
    <row r="149" spans="1:12" x14ac:dyDescent="0.2">
      <c r="A149" t="s">
        <v>361</v>
      </c>
      <c r="B149">
        <v>127.502</v>
      </c>
      <c r="C149">
        <v>144.80000000000001</v>
      </c>
      <c r="D149">
        <v>2.5730514031152456</v>
      </c>
      <c r="E149">
        <v>5.9285844839904921E-2</v>
      </c>
      <c r="F149">
        <v>0.13566846010258682</v>
      </c>
      <c r="G149">
        <v>0.51478408726353231</v>
      </c>
      <c r="H149">
        <v>0.21910244545183605</v>
      </c>
      <c r="I149">
        <v>0.14176248215714263</v>
      </c>
      <c r="J149">
        <v>0.18845194585182978</v>
      </c>
      <c r="K149">
        <v>5.2352119966745631E-2</v>
      </c>
      <c r="L149">
        <v>-4.2261141001709773E-2</v>
      </c>
    </row>
    <row r="150" spans="1:12" x14ac:dyDescent="0.2">
      <c r="A150" t="s">
        <v>363</v>
      </c>
      <c r="B150">
        <v>113.21600000000001</v>
      </c>
      <c r="C150">
        <v>120.10000000000001</v>
      </c>
      <c r="D150">
        <v>2.3407707391181458</v>
      </c>
      <c r="E150">
        <v>-5.9092625275486447E-3</v>
      </c>
      <c r="F150">
        <v>6.0804126625211952E-2</v>
      </c>
      <c r="G150">
        <v>0.5408246156655846</v>
      </c>
      <c r="H150">
        <v>0.1049056670435274</v>
      </c>
      <c r="I150">
        <v>0.18246537591859807</v>
      </c>
      <c r="J150">
        <v>0.14182624364047483</v>
      </c>
      <c r="K150">
        <v>0.14979331543244773</v>
      </c>
      <c r="L150">
        <v>8.4802501413227815E-2</v>
      </c>
    </row>
    <row r="151" spans="1:12" x14ac:dyDescent="0.2">
      <c r="A151" t="s">
        <v>365</v>
      </c>
      <c r="B151">
        <v>72.800999999999988</v>
      </c>
      <c r="C151">
        <v>86.84</v>
      </c>
      <c r="D151">
        <v>4.1829782557931896</v>
      </c>
      <c r="E151">
        <v>0.33594524167798268</v>
      </c>
      <c r="F151">
        <v>0.19284075768190023</v>
      </c>
      <c r="G151">
        <v>0.85252949591562377</v>
      </c>
      <c r="H151">
        <v>0.1924424115053365</v>
      </c>
      <c r="I151">
        <v>0.49302894191013868</v>
      </c>
      <c r="J151">
        <v>7.137264598013765E-2</v>
      </c>
      <c r="K151">
        <v>4.9642175244845543E-2</v>
      </c>
      <c r="L151">
        <v>-2.1799151110561674E-2</v>
      </c>
    </row>
    <row r="152" spans="1:12" x14ac:dyDescent="0.2">
      <c r="A152" t="s">
        <v>367</v>
      </c>
      <c r="B152">
        <v>128.30699999999999</v>
      </c>
      <c r="C152">
        <v>134.50399999999999</v>
      </c>
      <c r="D152">
        <v>2.094648772085701</v>
      </c>
      <c r="E152">
        <v>0.13345406360424014</v>
      </c>
      <c r="F152">
        <v>4.8298222232614041E-2</v>
      </c>
      <c r="G152">
        <v>0.79022188481056888</v>
      </c>
      <c r="H152">
        <v>0.17043497237095404</v>
      </c>
      <c r="I152">
        <v>0.49486777806355076</v>
      </c>
      <c r="J152">
        <v>0.21666783573772283</v>
      </c>
      <c r="K152">
        <v>-3.383291636465665E-2</v>
      </c>
      <c r="L152">
        <v>-8.1343964086137158E-2</v>
      </c>
    </row>
    <row r="153" spans="1:12" x14ac:dyDescent="0.2">
      <c r="A153" t="s">
        <v>369</v>
      </c>
      <c r="B153">
        <v>55.426000000000002</v>
      </c>
      <c r="C153">
        <v>77.417000000000002</v>
      </c>
      <c r="D153">
        <v>5.505567784072456</v>
      </c>
      <c r="E153">
        <v>0.5972450361661048</v>
      </c>
      <c r="F153">
        <v>0.39676325190343875</v>
      </c>
      <c r="G153">
        <v>0.87099917488234413</v>
      </c>
      <c r="H153">
        <v>0.1881788330386461</v>
      </c>
      <c r="I153">
        <v>0.2613214015083174</v>
      </c>
      <c r="J153">
        <v>0.20405585826146574</v>
      </c>
      <c r="K153">
        <v>0.11639635938702053</v>
      </c>
      <c r="L153">
        <v>5.3675170497600407E-2</v>
      </c>
    </row>
    <row r="154" spans="1:12" x14ac:dyDescent="0.2">
      <c r="A154" t="s">
        <v>371</v>
      </c>
      <c r="B154">
        <v>24.585999999999999</v>
      </c>
      <c r="C154">
        <v>25.216999999999999</v>
      </c>
      <c r="D154">
        <v>10.372073537785733</v>
      </c>
      <c r="E154">
        <v>0.12816041848299911</v>
      </c>
      <c r="F154">
        <v>2.5665012608801829E-2</v>
      </c>
      <c r="G154">
        <v>0.6535019975037103</v>
      </c>
      <c r="H154">
        <v>0.62779630684129173</v>
      </c>
      <c r="I154">
        <v>0.67664524526153091</v>
      </c>
      <c r="J154">
        <v>0.39372000325388434</v>
      </c>
      <c r="K154">
        <v>-1.1143740340030912</v>
      </c>
      <c r="L154">
        <v>-1.1697714146262099</v>
      </c>
    </row>
    <row r="155" spans="1:12" x14ac:dyDescent="0.2">
      <c r="A155" t="s">
        <v>383</v>
      </c>
      <c r="B155">
        <v>81.967006999999995</v>
      </c>
      <c r="C155">
        <v>89.275000000000006</v>
      </c>
      <c r="D155">
        <v>3.1716395354047759</v>
      </c>
      <c r="E155">
        <v>0.12036186125458033</v>
      </c>
      <c r="F155">
        <v>8.9157738796050046E-2</v>
      </c>
      <c r="G155">
        <v>0.54081939028252479</v>
      </c>
      <c r="H155">
        <v>0.18228546517503072</v>
      </c>
      <c r="I155">
        <v>0.27482441807348168</v>
      </c>
      <c r="J155">
        <v>0.18621269165043444</v>
      </c>
      <c r="K155">
        <v>-5.2773514104278572E-2</v>
      </c>
      <c r="L155">
        <v>-0.12710149340941534</v>
      </c>
    </row>
    <row r="156" spans="1:12" x14ac:dyDescent="0.2">
      <c r="A156" t="s">
        <v>385</v>
      </c>
      <c r="B156">
        <v>93.621832000000012</v>
      </c>
      <c r="C156">
        <v>97.92</v>
      </c>
      <c r="D156">
        <v>2.1984070980367059</v>
      </c>
      <c r="E156">
        <v>5.4317624345670466E-2</v>
      </c>
      <c r="F156">
        <v>4.5909889906875501E-2</v>
      </c>
      <c r="G156">
        <v>0.85231386595492098</v>
      </c>
      <c r="H156">
        <v>0.21421277037176539</v>
      </c>
      <c r="I156">
        <v>0.43699714186323541</v>
      </c>
      <c r="J156">
        <v>0.13200416757493058</v>
      </c>
      <c r="K156">
        <v>0.19263254750238168</v>
      </c>
      <c r="L156">
        <v>5.4889192725901793E-2</v>
      </c>
    </row>
    <row r="157" spans="1:12" x14ac:dyDescent="0.2">
      <c r="A157" t="s">
        <v>391</v>
      </c>
      <c r="B157">
        <v>88.789999999999992</v>
      </c>
      <c r="C157">
        <v>99.167000000000002</v>
      </c>
      <c r="D157">
        <v>1.3186901678116907</v>
      </c>
      <c r="E157">
        <v>-1.7472805940090159E-2</v>
      </c>
      <c r="F157">
        <v>0.11687126928708191</v>
      </c>
      <c r="G157">
        <v>0.68128167371624215</v>
      </c>
      <c r="H157">
        <v>0.24610879603558961</v>
      </c>
      <c r="I157">
        <v>0.43153508277959235</v>
      </c>
      <c r="J157">
        <v>0.12046401621804258</v>
      </c>
      <c r="K157">
        <v>-9.7116792431580154E-2</v>
      </c>
      <c r="L157">
        <v>-0.13914855276495103</v>
      </c>
    </row>
    <row r="158" spans="1:12" x14ac:dyDescent="0.2">
      <c r="A158" t="s">
        <v>393</v>
      </c>
      <c r="B158">
        <v>267.303</v>
      </c>
      <c r="C158">
        <v>263</v>
      </c>
      <c r="D158">
        <v>0.90324612892485312</v>
      </c>
      <c r="E158">
        <v>-0.12987304687499998</v>
      </c>
      <c r="F158">
        <v>-1.6097836537562249E-2</v>
      </c>
      <c r="G158">
        <v>8.9950355363698553E-2</v>
      </c>
      <c r="H158">
        <v>0</v>
      </c>
      <c r="I158" t="e">
        <v>#VALUE!</v>
      </c>
      <c r="J158" t="e">
        <v>#VALUE!</v>
      </c>
      <c r="K158">
        <v>8.2976996142953875E-3</v>
      </c>
      <c r="L158">
        <v>-4.149141610831155E-2</v>
      </c>
    </row>
    <row r="159" spans="1:12" x14ac:dyDescent="0.2">
      <c r="A159" t="s">
        <v>395</v>
      </c>
      <c r="B159">
        <v>61.307000000000002</v>
      </c>
      <c r="C159">
        <v>66.075000000000003</v>
      </c>
      <c r="D159">
        <v>3.2315363661572087</v>
      </c>
      <c r="E159">
        <v>-0.11629549549549546</v>
      </c>
      <c r="F159">
        <v>7.7772521897988778E-2</v>
      </c>
      <c r="G159">
        <v>0.63566967234935934</v>
      </c>
      <c r="H159">
        <v>0.23995628557913448</v>
      </c>
      <c r="I159">
        <v>0.28840099825468546</v>
      </c>
      <c r="J159">
        <v>0.12342799354070498</v>
      </c>
      <c r="K159">
        <v>2.6946351966333371E-2</v>
      </c>
      <c r="L159">
        <v>-3.2454695222405273E-2</v>
      </c>
    </row>
    <row r="160" spans="1:12" x14ac:dyDescent="0.2">
      <c r="A160" t="s">
        <v>397</v>
      </c>
      <c r="B160">
        <v>106.17999999999999</v>
      </c>
      <c r="C160">
        <v>222.333</v>
      </c>
      <c r="D160">
        <v>1.2071086833678661</v>
      </c>
      <c r="E160">
        <v>-0.4208763758140347</v>
      </c>
      <c r="F160">
        <v>1.0939254096816726</v>
      </c>
      <c r="G160">
        <v>0.41391975074461967</v>
      </c>
      <c r="H160">
        <v>0.82395931437182146</v>
      </c>
      <c r="I160">
        <v>0.19540403089093994</v>
      </c>
      <c r="J160">
        <v>0.20307025805236392</v>
      </c>
      <c r="K160">
        <v>-0.77476925974759847</v>
      </c>
      <c r="L160">
        <v>-0.81159625164814475</v>
      </c>
    </row>
    <row r="161" spans="1:12" x14ac:dyDescent="0.2">
      <c r="A161" t="s">
        <v>399</v>
      </c>
      <c r="B161">
        <v>77.324254925706967</v>
      </c>
      <c r="C161">
        <v>93.373000000000005</v>
      </c>
      <c r="D161">
        <v>2.5160229501974896</v>
      </c>
      <c r="E161">
        <v>-0.80681445032914445</v>
      </c>
      <c r="F161">
        <v>0.20755124106546718</v>
      </c>
      <c r="G161">
        <v>0.8503453377377399</v>
      </c>
      <c r="H161">
        <v>0.30038213606097808</v>
      </c>
      <c r="I161">
        <v>0.28332800411495862</v>
      </c>
      <c r="J161">
        <v>0.16319345605579436</v>
      </c>
      <c r="K161">
        <v>-0.13064671777998982</v>
      </c>
      <c r="L161">
        <v>-0.27934203627576876</v>
      </c>
    </row>
    <row r="162" spans="1:12" x14ac:dyDescent="0.2">
      <c r="A162" t="s">
        <v>401</v>
      </c>
      <c r="B162">
        <v>226.47071799999998</v>
      </c>
      <c r="C162">
        <v>566</v>
      </c>
      <c r="D162">
        <v>3.5166188681399424</v>
      </c>
      <c r="E162">
        <v>0.81679069637967461</v>
      </c>
      <c r="F162">
        <v>1.4992193472005511</v>
      </c>
      <c r="G162">
        <v>0.46143662661066259</v>
      </c>
      <c r="H162">
        <v>0</v>
      </c>
      <c r="I162" t="e">
        <v>#VALUE!</v>
      </c>
      <c r="J162" t="e">
        <v>#VALUE!</v>
      </c>
      <c r="K162">
        <v>0.20216839688740687</v>
      </c>
      <c r="L162">
        <v>-8.9512662648069161E-2</v>
      </c>
    </row>
    <row r="163" spans="1:12" x14ac:dyDescent="0.2">
      <c r="A163" t="s">
        <v>403</v>
      </c>
      <c r="B163">
        <v>168.36399999999998</v>
      </c>
      <c r="C163">
        <v>181.1</v>
      </c>
      <c r="D163">
        <v>1.1896652491031339</v>
      </c>
      <c r="E163">
        <v>0.19539348499048581</v>
      </c>
      <c r="F163">
        <v>7.5645624955453794E-2</v>
      </c>
      <c r="G163">
        <v>0.37274594757942148</v>
      </c>
      <c r="H163">
        <v>0</v>
      </c>
      <c r="I163" t="e">
        <v>#VALUE!</v>
      </c>
      <c r="J163" t="e">
        <v>#VALUE!</v>
      </c>
      <c r="K163">
        <v>9.8031645719987653E-2</v>
      </c>
      <c r="L163">
        <v>1.2721187427240977E-2</v>
      </c>
    </row>
    <row r="164" spans="1:12" x14ac:dyDescent="0.2">
      <c r="A164" t="s">
        <v>405</v>
      </c>
      <c r="B164">
        <v>8.5688190662573405</v>
      </c>
      <c r="C164">
        <v>67.894999999999996</v>
      </c>
      <c r="D164">
        <v>19.000412862155589</v>
      </c>
      <c r="E164" t="e">
        <v>#DIV/0!</v>
      </c>
      <c r="F164">
        <v>6.923495580313956</v>
      </c>
      <c r="G164">
        <v>0.2896711050347035</v>
      </c>
      <c r="H164">
        <v>0</v>
      </c>
      <c r="I164" t="e">
        <v>#VALUE!</v>
      </c>
      <c r="J164">
        <v>1.2392700070598761E-3</v>
      </c>
      <c r="K164">
        <v>0.52114082975542064</v>
      </c>
      <c r="L164">
        <v>-0.35928495072640704</v>
      </c>
    </row>
    <row r="165" spans="1:12" x14ac:dyDescent="0.2">
      <c r="A165" t="s">
        <v>407</v>
      </c>
      <c r="B165">
        <v>274.86399999999998</v>
      </c>
      <c r="C165">
        <v>293.875</v>
      </c>
      <c r="D165">
        <v>1.0019948047034171</v>
      </c>
      <c r="E165">
        <v>0.26958554081081199</v>
      </c>
      <c r="F165">
        <v>6.9165114383840764E-2</v>
      </c>
      <c r="G165">
        <v>0.42215786755199491</v>
      </c>
      <c r="H165">
        <v>0</v>
      </c>
      <c r="I165" t="e">
        <v>#VALUE!</v>
      </c>
      <c r="J165" t="e">
        <v>#VALUE!</v>
      </c>
      <c r="K165">
        <v>9.1412480353920494E-2</v>
      </c>
      <c r="L165">
        <v>9.3694812234086673E-3</v>
      </c>
    </row>
    <row r="166" spans="1:12" x14ac:dyDescent="0.2">
      <c r="A166" t="s">
        <v>409</v>
      </c>
      <c r="B166">
        <v>128.101112</v>
      </c>
      <c r="C166">
        <v>123</v>
      </c>
      <c r="D166">
        <v>0.97118829069961554</v>
      </c>
      <c r="E166">
        <v>-0.25126432360998513</v>
      </c>
      <c r="F166">
        <v>-3.982098141349466E-2</v>
      </c>
      <c r="G166">
        <v>0.56622606522251473</v>
      </c>
      <c r="H166">
        <v>0.32742904682981983</v>
      </c>
      <c r="I166">
        <v>0.15005284263262289</v>
      </c>
      <c r="J166">
        <v>0.28124200045976183</v>
      </c>
      <c r="K166">
        <v>-0.18292972351403164</v>
      </c>
      <c r="L166">
        <v>-0.39573463359162725</v>
      </c>
    </row>
    <row r="167" spans="1:12" x14ac:dyDescent="0.2">
      <c r="A167" t="s">
        <v>411</v>
      </c>
      <c r="B167">
        <v>120.13199999999999</v>
      </c>
      <c r="C167">
        <v>124.5</v>
      </c>
      <c r="D167">
        <v>0.58065960776479209</v>
      </c>
      <c r="E167">
        <v>-0.56821375812753172</v>
      </c>
      <c r="F167">
        <v>3.6360003995604906E-2</v>
      </c>
      <c r="G167">
        <v>0.5148919555518755</v>
      </c>
      <c r="H167">
        <v>0.39539839509872476</v>
      </c>
      <c r="I167">
        <v>0.43114241001564946</v>
      </c>
      <c r="J167">
        <v>0.46279092997702526</v>
      </c>
      <c r="K167">
        <v>-0.3627509739286785</v>
      </c>
      <c r="L167">
        <v>-0.62696531372440323</v>
      </c>
    </row>
    <row r="168" spans="1:12" x14ac:dyDescent="0.2">
      <c r="A168" t="s">
        <v>413</v>
      </c>
      <c r="B168">
        <v>31.908999999999999</v>
      </c>
      <c r="C168">
        <v>38.61</v>
      </c>
      <c r="D168">
        <v>4.7459682221316868</v>
      </c>
      <c r="E168">
        <v>2.9887357583190728E-2</v>
      </c>
      <c r="F168">
        <v>0.21000344730326859</v>
      </c>
      <c r="G168">
        <v>0.59622677011593583</v>
      </c>
      <c r="H168">
        <v>0.30790686013350466</v>
      </c>
      <c r="I168">
        <v>0.48735466482810497</v>
      </c>
      <c r="J168">
        <v>0.2283368328684697</v>
      </c>
      <c r="K168">
        <v>-0.38988999968660876</v>
      </c>
      <c r="L168">
        <v>-0.65422214829671888</v>
      </c>
    </row>
    <row r="169" spans="1:12" x14ac:dyDescent="0.2">
      <c r="A169" t="s">
        <v>557</v>
      </c>
      <c r="B169">
        <v>853.57299999999998</v>
      </c>
      <c r="C169">
        <v>1210.8910000000001</v>
      </c>
      <c r="D169">
        <v>13.781501875059311</v>
      </c>
      <c r="E169">
        <v>1.1924151747874554</v>
      </c>
      <c r="F169">
        <v>0.41861445945455178</v>
      </c>
      <c r="G169">
        <v>0.56464883488461426</v>
      </c>
      <c r="H169">
        <v>0.15932673596751537</v>
      </c>
      <c r="I169">
        <v>0.26441089397157597</v>
      </c>
      <c r="J169">
        <v>7.9335920887844386E-2</v>
      </c>
      <c r="K169">
        <v>-4.8478571838612518E-2</v>
      </c>
      <c r="L169">
        <v>-6.1180473140551542E-2</v>
      </c>
    </row>
    <row r="170" spans="1:12" x14ac:dyDescent="0.2">
      <c r="A170" t="s">
        <v>558</v>
      </c>
      <c r="B170">
        <v>192.24099999999999</v>
      </c>
      <c r="C170">
        <v>271.53800000000001</v>
      </c>
      <c r="D170">
        <v>16.751270540623491</v>
      </c>
      <c r="E170">
        <v>1.9452743178440652</v>
      </c>
      <c r="F170">
        <v>0.41248745064788483</v>
      </c>
      <c r="G170">
        <v>0.72058509256244452</v>
      </c>
      <c r="H170">
        <v>0.32356261151367294</v>
      </c>
      <c r="I170">
        <v>0.57193834821916245</v>
      </c>
      <c r="J170">
        <v>0.19129634157125691</v>
      </c>
      <c r="K170">
        <v>-0.5601978766236132</v>
      </c>
      <c r="L170">
        <v>-0.57740024240406573</v>
      </c>
    </row>
    <row r="171" spans="1:12" x14ac:dyDescent="0.2">
      <c r="A171" t="s">
        <v>145</v>
      </c>
      <c r="B171">
        <v>190.17399999999998</v>
      </c>
      <c r="C171">
        <v>258.79000000000002</v>
      </c>
      <c r="D171">
        <v>19.979064961561519</v>
      </c>
      <c r="E171">
        <v>1.3675568004979766</v>
      </c>
      <c r="F171">
        <v>0.36080641938435365</v>
      </c>
      <c r="G171">
        <v>0.80084028022065901</v>
      </c>
      <c r="H171">
        <v>0.20706826380051954</v>
      </c>
      <c r="I171">
        <v>0.61211837580321193</v>
      </c>
      <c r="J171">
        <v>0.1637184893834068</v>
      </c>
      <c r="K171" t="e">
        <v>#VALUE!</v>
      </c>
      <c r="L171">
        <v>-0.1545058735684163</v>
      </c>
    </row>
    <row r="172" spans="1:12" x14ac:dyDescent="0.2">
      <c r="A172" t="s">
        <v>559</v>
      </c>
      <c r="B172">
        <v>492.64800000000002</v>
      </c>
      <c r="C172">
        <v>667.76099999999997</v>
      </c>
      <c r="D172">
        <v>12.341002906740716</v>
      </c>
      <c r="E172">
        <v>0.7763643247336256</v>
      </c>
      <c r="F172">
        <v>0.35545257465776769</v>
      </c>
      <c r="G172">
        <v>0.5315153933100274</v>
      </c>
      <c r="H172">
        <v>0.24508168103798247</v>
      </c>
      <c r="I172">
        <v>0.20434265439015278</v>
      </c>
      <c r="J172">
        <v>0.12101744044429287</v>
      </c>
      <c r="K172">
        <v>-0.13976900967206404</v>
      </c>
      <c r="L172">
        <v>-0.1828748518211786</v>
      </c>
    </row>
    <row r="173" spans="1:12" x14ac:dyDescent="0.2">
      <c r="A173" t="s">
        <v>561</v>
      </c>
      <c r="B173">
        <v>476.02700000000004</v>
      </c>
      <c r="C173">
        <v>635.75</v>
      </c>
      <c r="D173">
        <v>5.0521327571755377</v>
      </c>
      <c r="E173">
        <v>0.11328428300139391</v>
      </c>
      <c r="F173">
        <v>0.33553348864665233</v>
      </c>
      <c r="G173">
        <v>0.68894832236776027</v>
      </c>
      <c r="H173">
        <v>5.7524048005680346E-2</v>
      </c>
      <c r="I173">
        <v>7.164089431901971E-2</v>
      </c>
      <c r="J173">
        <v>0.31499893913580529</v>
      </c>
      <c r="K173">
        <v>0.21141868003285524</v>
      </c>
      <c r="L173">
        <v>1.5162871570295377E-2</v>
      </c>
    </row>
    <row r="174" spans="1:12" x14ac:dyDescent="0.2">
      <c r="A174" t="s">
        <v>563</v>
      </c>
      <c r="B174">
        <v>513.48300000000006</v>
      </c>
      <c r="C174">
        <v>674.78300000000002</v>
      </c>
      <c r="D174">
        <v>8.0903977346864426</v>
      </c>
      <c r="E174">
        <v>0.77000237846557962</v>
      </c>
      <c r="F174">
        <v>0.31412919220305247</v>
      </c>
      <c r="G174">
        <v>0.81491501857683057</v>
      </c>
      <c r="H174">
        <v>0.29920172624994396</v>
      </c>
      <c r="I174">
        <v>0.39813392069455072</v>
      </c>
      <c r="J174">
        <v>9.3841470895823217E-2</v>
      </c>
      <c r="K174">
        <v>-5.4056317346436011E-2</v>
      </c>
      <c r="L174">
        <v>-8.0099085189414249E-2</v>
      </c>
    </row>
    <row r="175" spans="1:12" x14ac:dyDescent="0.2">
      <c r="A175" t="s">
        <v>564</v>
      </c>
      <c r="B175">
        <v>324.19499999999999</v>
      </c>
      <c r="C175">
        <v>424.09399999999999</v>
      </c>
      <c r="D175">
        <v>17.244657073674794</v>
      </c>
      <c r="E175">
        <v>2.7737902615619219</v>
      </c>
      <c r="F175">
        <v>0.30814478940144041</v>
      </c>
      <c r="G175">
        <v>0.70405158039363003</v>
      </c>
      <c r="H175">
        <v>0.21845185767824921</v>
      </c>
      <c r="I175">
        <v>0.53354616820123701</v>
      </c>
      <c r="J175">
        <v>0.15978963278273878</v>
      </c>
      <c r="K175">
        <v>-0.35956445966162343</v>
      </c>
      <c r="L175">
        <v>-0.3813291383272413</v>
      </c>
    </row>
    <row r="176" spans="1:12" x14ac:dyDescent="0.2">
      <c r="A176" t="s">
        <v>570</v>
      </c>
      <c r="B176">
        <v>602.31500000000005</v>
      </c>
      <c r="C176">
        <v>762.5</v>
      </c>
      <c r="D176">
        <v>9.9784416791877995</v>
      </c>
      <c r="E176">
        <v>1.4046334851745246</v>
      </c>
      <c r="F176">
        <v>0.26594888056913724</v>
      </c>
      <c r="G176">
        <v>0.73876460508669539</v>
      </c>
      <c r="H176">
        <v>0.15345458771573012</v>
      </c>
      <c r="I176">
        <v>0.46143629164141686</v>
      </c>
      <c r="J176">
        <v>0.13535442418003868</v>
      </c>
      <c r="K176" t="e">
        <v>#VALUE!</v>
      </c>
      <c r="L176">
        <v>-0.54499389854146074</v>
      </c>
    </row>
    <row r="177" spans="1:12" x14ac:dyDescent="0.2">
      <c r="A177" t="s">
        <v>577</v>
      </c>
      <c r="B177">
        <v>265.089</v>
      </c>
      <c r="C177">
        <v>329.13800000000003</v>
      </c>
      <c r="D177">
        <v>4.6560804107299809</v>
      </c>
      <c r="E177">
        <v>0.28070980646034038</v>
      </c>
      <c r="F177">
        <v>0.24161319405935378</v>
      </c>
      <c r="G177">
        <v>0.71521263015639036</v>
      </c>
      <c r="H177">
        <v>0.17413019778263147</v>
      </c>
      <c r="I177">
        <v>0.34298669503449786</v>
      </c>
      <c r="J177">
        <v>0.16345831022788573</v>
      </c>
      <c r="K177">
        <v>0.1336569982156936</v>
      </c>
      <c r="L177">
        <v>-7.1294967909305918E-3</v>
      </c>
    </row>
    <row r="178" spans="1:12" x14ac:dyDescent="0.2">
      <c r="A178" t="s">
        <v>587</v>
      </c>
      <c r="B178">
        <v>2684.7350000000001</v>
      </c>
      <c r="C178">
        <v>1858.0640000000001</v>
      </c>
      <c r="D178">
        <v>10.593986184856233</v>
      </c>
      <c r="E178">
        <v>0.57119564867523731</v>
      </c>
      <c r="F178">
        <v>-0.30791530635239606</v>
      </c>
      <c r="G178">
        <v>0.38343896038694808</v>
      </c>
      <c r="H178">
        <v>0.11989563215736375</v>
      </c>
      <c r="I178">
        <v>9.4299809850879129E-2</v>
      </c>
      <c r="J178">
        <v>9.3325039529041032E-2</v>
      </c>
      <c r="K178">
        <v>-1.4198794294408949E-3</v>
      </c>
      <c r="L178">
        <v>-2.0534987624476902E-2</v>
      </c>
    </row>
    <row r="179" spans="1:12" x14ac:dyDescent="0.2">
      <c r="A179" t="s">
        <v>588</v>
      </c>
      <c r="B179">
        <v>766.22400000000005</v>
      </c>
      <c r="C179">
        <v>912.07100000000003</v>
      </c>
      <c r="D179">
        <v>14.998912459019817</v>
      </c>
      <c r="E179">
        <v>0.87239657788823166</v>
      </c>
      <c r="F179">
        <v>0.19034512100899992</v>
      </c>
      <c r="G179">
        <v>0.69785207155645024</v>
      </c>
      <c r="H179">
        <v>0.17233994236672301</v>
      </c>
      <c r="I179">
        <v>0.1708351604752657</v>
      </c>
      <c r="J179">
        <v>7.8816377456200792E-2</v>
      </c>
      <c r="K179">
        <v>0.24562399507193719</v>
      </c>
      <c r="L179">
        <v>0.21254360285143767</v>
      </c>
    </row>
    <row r="180" spans="1:12" x14ac:dyDescent="0.2">
      <c r="A180" t="s">
        <v>590</v>
      </c>
      <c r="B180">
        <v>609.726</v>
      </c>
      <c r="C180">
        <v>719.86699999999996</v>
      </c>
      <c r="D180">
        <v>6.6975160973945673</v>
      </c>
      <c r="E180">
        <v>0.31582002714828628</v>
      </c>
      <c r="F180">
        <v>0.1806401563981197</v>
      </c>
      <c r="G180">
        <v>0.75606256595479848</v>
      </c>
      <c r="H180">
        <v>0.22725617736491471</v>
      </c>
      <c r="I180">
        <v>0.2070979423544346</v>
      </c>
      <c r="J180">
        <v>0.15469899594243972</v>
      </c>
      <c r="K180">
        <v>0.13472280991789756</v>
      </c>
      <c r="L180">
        <v>8.0269276089363087E-2</v>
      </c>
    </row>
    <row r="181" spans="1:12" x14ac:dyDescent="0.2">
      <c r="A181" t="s">
        <v>596</v>
      </c>
      <c r="B181">
        <v>2202</v>
      </c>
      <c r="C181">
        <v>2153.799</v>
      </c>
      <c r="D181">
        <v>1.7268646684831972</v>
      </c>
      <c r="E181">
        <v>-5.1679586563307491E-2</v>
      </c>
      <c r="F181">
        <v>-2.1889645776566713E-2</v>
      </c>
      <c r="G181">
        <v>0.47002724795640327</v>
      </c>
      <c r="H181">
        <v>0.13896457765667575</v>
      </c>
      <c r="I181" t="e">
        <v>#VALUE!</v>
      </c>
      <c r="J181" t="e">
        <v>#VALUE!</v>
      </c>
      <c r="K181">
        <v>9.9909173478655772E-2</v>
      </c>
      <c r="L181">
        <v>3.2226926570250683E-2</v>
      </c>
    </row>
    <row r="182" spans="1:12" x14ac:dyDescent="0.2">
      <c r="A182" t="s">
        <v>597</v>
      </c>
      <c r="B182">
        <v>45.913776851069429</v>
      </c>
      <c r="C182">
        <v>104.675</v>
      </c>
      <c r="D182">
        <v>10.846570118058157</v>
      </c>
      <c r="E182">
        <v>1.148917759574531</v>
      </c>
      <c r="F182">
        <v>1.2798168039962041</v>
      </c>
      <c r="G182">
        <v>0.70484323193662135</v>
      </c>
      <c r="H182">
        <v>0.24859616284510996</v>
      </c>
      <c r="I182">
        <v>0.17770238652316328</v>
      </c>
      <c r="J182">
        <v>0.19665418811417876</v>
      </c>
      <c r="K182">
        <v>0.28234674777725782</v>
      </c>
      <c r="L182">
        <v>0.111911265793168</v>
      </c>
    </row>
    <row r="183" spans="1:12" x14ac:dyDescent="0.2">
      <c r="A183" t="s">
        <v>598</v>
      </c>
      <c r="B183">
        <v>1762.6579999999999</v>
      </c>
      <c r="C183">
        <v>3002.8670000000002</v>
      </c>
      <c r="D183">
        <v>6.4165872222518496</v>
      </c>
      <c r="E183">
        <v>0.24684197049157583</v>
      </c>
      <c r="F183">
        <v>0.70360160621062073</v>
      </c>
      <c r="G183">
        <v>0.52622289206330197</v>
      </c>
      <c r="H183">
        <v>0.11140731781207699</v>
      </c>
      <c r="I183">
        <v>0.14528740118616318</v>
      </c>
      <c r="J183">
        <v>0.14059902715104122</v>
      </c>
      <c r="K183">
        <v>0.16291078586997595</v>
      </c>
      <c r="L183">
        <v>0.10941369794934695</v>
      </c>
    </row>
    <row r="184" spans="1:12" x14ac:dyDescent="0.2">
      <c r="A184" t="s">
        <v>599</v>
      </c>
      <c r="B184">
        <v>662.16275290332658</v>
      </c>
      <c r="C184">
        <v>964.04100000000005</v>
      </c>
      <c r="D184">
        <v>7.7263998579922211</v>
      </c>
      <c r="E184">
        <v>2.2863142914736962</v>
      </c>
      <c r="F184">
        <v>0.4558973541973701</v>
      </c>
      <c r="G184">
        <v>0.69782487363062351</v>
      </c>
      <c r="H184">
        <v>0.23304841934850473</v>
      </c>
      <c r="I184">
        <v>0.2563865212843971</v>
      </c>
      <c r="J184">
        <v>0.11013869019711563</v>
      </c>
      <c r="K184">
        <v>0.24663092218361932</v>
      </c>
      <c r="L184">
        <v>0.11731849456823912</v>
      </c>
    </row>
    <row r="185" spans="1:12" x14ac:dyDescent="0.2">
      <c r="A185" t="s">
        <v>600</v>
      </c>
      <c r="B185">
        <v>505.65300000000002</v>
      </c>
      <c r="C185">
        <v>700.99199999999996</v>
      </c>
      <c r="D185">
        <v>3.3035971308387371</v>
      </c>
      <c r="E185">
        <v>0.98928745652823913</v>
      </c>
      <c r="F185">
        <v>0.38631037490136499</v>
      </c>
      <c r="G185">
        <v>0.46087929864946914</v>
      </c>
      <c r="H185">
        <v>3.4015421642905309E-2</v>
      </c>
      <c r="I185" t="e">
        <v>#VALUE!</v>
      </c>
      <c r="J185" t="e">
        <v>#VALUE!</v>
      </c>
      <c r="K185">
        <v>2.4736331041247658E-2</v>
      </c>
      <c r="L185">
        <v>-4.9729398062311504E-2</v>
      </c>
    </row>
    <row r="186" spans="1:12" x14ac:dyDescent="0.2">
      <c r="A186" t="s">
        <v>601</v>
      </c>
      <c r="B186">
        <v>50.944830456625908</v>
      </c>
      <c r="C186">
        <v>68.814000000000007</v>
      </c>
      <c r="D186">
        <v>26.993614222954839</v>
      </c>
      <c r="E186">
        <v>4.2825415239139266</v>
      </c>
      <c r="F186">
        <v>0.35075530496833807</v>
      </c>
      <c r="G186">
        <v>0.99965855042937057</v>
      </c>
      <c r="H186">
        <v>0</v>
      </c>
      <c r="I186" t="e">
        <v>#VALUE!</v>
      </c>
      <c r="J186" t="e">
        <v>#VALUE!</v>
      </c>
      <c r="K186">
        <v>-0.30740137626726904</v>
      </c>
      <c r="L186">
        <v>-0.32147922466775231</v>
      </c>
    </row>
    <row r="187" spans="1:12" x14ac:dyDescent="0.2">
      <c r="A187" t="s">
        <v>602</v>
      </c>
      <c r="B187">
        <v>2027.4701488016447</v>
      </c>
      <c r="C187">
        <v>2646.6010000000001</v>
      </c>
      <c r="D187">
        <v>5.4928569017809679</v>
      </c>
      <c r="E187">
        <v>0.45442934870135626</v>
      </c>
      <c r="F187">
        <v>0.30537113040322628</v>
      </c>
      <c r="G187">
        <v>0.82861537193777279</v>
      </c>
      <c r="H187">
        <v>0.39875419627298209</v>
      </c>
      <c r="I187">
        <v>0.19589767041169956</v>
      </c>
      <c r="J187">
        <v>8.3520700458573113E-2</v>
      </c>
      <c r="K187">
        <v>0.46475072954811325</v>
      </c>
      <c r="L187">
        <v>0.10145241590998064</v>
      </c>
    </row>
    <row r="188" spans="1:12" x14ac:dyDescent="0.2">
      <c r="A188" t="s">
        <v>603</v>
      </c>
      <c r="B188">
        <v>169.74299999999999</v>
      </c>
      <c r="C188">
        <v>217.958</v>
      </c>
      <c r="D188">
        <v>8.8287788008931152</v>
      </c>
      <c r="E188">
        <v>0.8045863366715571</v>
      </c>
      <c r="F188">
        <v>0.2840470593780009</v>
      </c>
      <c r="G188">
        <v>0.3100982094023409</v>
      </c>
      <c r="H188">
        <v>3.3156006433254982E-2</v>
      </c>
      <c r="I188">
        <v>3.2649358147316829E-2</v>
      </c>
      <c r="J188">
        <v>0.12478275981925618</v>
      </c>
      <c r="K188">
        <v>0.10094083408446888</v>
      </c>
      <c r="L188">
        <v>5.2382229436047437E-2</v>
      </c>
    </row>
    <row r="189" spans="1:12" x14ac:dyDescent="0.2">
      <c r="A189" t="s">
        <v>604</v>
      </c>
      <c r="B189">
        <v>332.99599999999998</v>
      </c>
      <c r="C189">
        <v>392.42</v>
      </c>
      <c r="D189">
        <v>2.2580376340856949</v>
      </c>
      <c r="E189">
        <v>0.66015724320847935</v>
      </c>
      <c r="F189">
        <v>0.17845259402515357</v>
      </c>
      <c r="G189">
        <v>0.54085333932219193</v>
      </c>
      <c r="H189">
        <v>0.27754087136181815</v>
      </c>
      <c r="I189">
        <v>0.31338514576751675</v>
      </c>
      <c r="J189">
        <v>0.10337962017561772</v>
      </c>
      <c r="K189">
        <v>-0.1280555922593665</v>
      </c>
      <c r="L189">
        <v>-7.820955807276965E-2</v>
      </c>
    </row>
    <row r="190" spans="1:12" x14ac:dyDescent="0.2">
      <c r="A190" t="s">
        <v>605</v>
      </c>
      <c r="B190">
        <v>67.067000000000007</v>
      </c>
      <c r="C190">
        <v>79</v>
      </c>
      <c r="D190">
        <v>13.079168592601427</v>
      </c>
      <c r="E190">
        <v>0.3454840910002811</v>
      </c>
      <c r="F190">
        <v>0.1779265510608794</v>
      </c>
      <c r="G190">
        <v>0.94920005481524361</v>
      </c>
      <c r="H190">
        <v>0.19643043523640535</v>
      </c>
      <c r="I190">
        <v>0.12311569027986936</v>
      </c>
      <c r="J190">
        <v>0.13025780189959293</v>
      </c>
      <c r="K190">
        <v>0.31101734086808713</v>
      </c>
      <c r="L190">
        <v>0.23566135357180129</v>
      </c>
    </row>
    <row r="191" spans="1:12" x14ac:dyDescent="0.2">
      <c r="A191" t="s">
        <v>606</v>
      </c>
      <c r="B191">
        <v>2006.2450000000001</v>
      </c>
      <c r="C191">
        <v>2239.0819999999999</v>
      </c>
      <c r="D191">
        <v>2.1280513596295565</v>
      </c>
      <c r="E191">
        <v>0.29443596002062089</v>
      </c>
      <c r="F191">
        <v>0.11605611478159439</v>
      </c>
      <c r="G191">
        <v>0.4293378986370916</v>
      </c>
      <c r="H191">
        <v>0.10976675331278084</v>
      </c>
      <c r="I191" t="e">
        <v>#VALUE!</v>
      </c>
      <c r="J191" t="e">
        <v>#VALUE!</v>
      </c>
      <c r="K191">
        <v>0.18780757085998967</v>
      </c>
      <c r="L191">
        <v>-1.112608460836239E-2</v>
      </c>
    </row>
    <row r="192" spans="1:12" x14ac:dyDescent="0.2">
      <c r="A192" t="s">
        <v>607</v>
      </c>
      <c r="B192">
        <v>4838</v>
      </c>
      <c r="C192">
        <v>5394.9750000000004</v>
      </c>
      <c r="D192">
        <v>5.3446900578751544</v>
      </c>
      <c r="E192">
        <v>0.1005459508644222</v>
      </c>
      <c r="F192">
        <v>0.11512505167424569</v>
      </c>
      <c r="G192">
        <v>0.72405952873088053</v>
      </c>
      <c r="H192">
        <v>0.27284001653575857</v>
      </c>
      <c r="I192">
        <v>0.13249276560562215</v>
      </c>
      <c r="J192">
        <v>9.6940884663083912E-2</v>
      </c>
      <c r="K192">
        <v>0.23790822653989252</v>
      </c>
      <c r="L192">
        <v>0.18211657709797435</v>
      </c>
    </row>
    <row r="193" spans="1:12" x14ac:dyDescent="0.2">
      <c r="A193" t="s">
        <v>608</v>
      </c>
      <c r="B193">
        <v>883.15200000000004</v>
      </c>
      <c r="C193">
        <v>981.11099999999999</v>
      </c>
      <c r="D193">
        <v>3.2369381488124351</v>
      </c>
      <c r="E193">
        <v>0.19116290361738297</v>
      </c>
      <c r="F193">
        <v>0.11091975107342789</v>
      </c>
      <c r="G193">
        <v>0.69071462825322683</v>
      </c>
      <c r="H193">
        <v>0.28988441400800768</v>
      </c>
      <c r="I193">
        <v>0.24008324727793176</v>
      </c>
      <c r="J193">
        <v>0.12302865191948838</v>
      </c>
      <c r="K193">
        <v>9.3039476783158506E-2</v>
      </c>
      <c r="L193">
        <v>5.6450316593293103E-2</v>
      </c>
    </row>
    <row r="194" spans="1:12" x14ac:dyDescent="0.2">
      <c r="A194" t="s">
        <v>609</v>
      </c>
      <c r="B194">
        <v>756.01800000000003</v>
      </c>
      <c r="C194">
        <v>833.2</v>
      </c>
      <c r="D194">
        <v>3.3996599287318552</v>
      </c>
      <c r="E194">
        <v>9.1528869240553631E-2</v>
      </c>
      <c r="F194">
        <v>0.10209016187445275</v>
      </c>
      <c r="G194">
        <v>0.46448497185342624</v>
      </c>
      <c r="H194">
        <v>8.7328608578102637E-2</v>
      </c>
      <c r="I194" t="e">
        <v>#VALUE!</v>
      </c>
      <c r="J194" t="e">
        <v>#VALUE!</v>
      </c>
      <c r="K194">
        <v>0.11651838977378845</v>
      </c>
      <c r="L194">
        <v>3.3839593869066605E-2</v>
      </c>
    </row>
    <row r="195" spans="1:12" x14ac:dyDescent="0.2">
      <c r="A195" t="s">
        <v>610</v>
      </c>
      <c r="B195">
        <v>1286.5</v>
      </c>
      <c r="C195">
        <v>1414.836</v>
      </c>
      <c r="D195">
        <v>3.7845551496307817</v>
      </c>
      <c r="E195">
        <v>0.18801366700526354</v>
      </c>
      <c r="F195">
        <v>9.9755926933540628E-2</v>
      </c>
      <c r="G195">
        <v>0.54170228592672098</v>
      </c>
      <c r="H195">
        <v>0.13493975903614458</v>
      </c>
      <c r="I195">
        <v>0.19603575592693354</v>
      </c>
      <c r="J195">
        <v>0.11301982122036534</v>
      </c>
      <c r="K195">
        <v>0.25324523902059848</v>
      </c>
      <c r="L195">
        <v>0.10298638861940536</v>
      </c>
    </row>
    <row r="196" spans="1:12" x14ac:dyDescent="0.2">
      <c r="A196" t="s">
        <v>611</v>
      </c>
      <c r="B196">
        <v>106.27463551615409</v>
      </c>
      <c r="C196">
        <v>116.741</v>
      </c>
      <c r="D196">
        <v>32.785671605247494</v>
      </c>
      <c r="E196">
        <v>-0.81799265371790508</v>
      </c>
      <c r="F196">
        <v>9.8484124956184749E-2</v>
      </c>
      <c r="G196">
        <v>0.76667091650147257</v>
      </c>
      <c r="H196" t="e">
        <v>#VALUE!</v>
      </c>
      <c r="I196">
        <v>0.27648791818823526</v>
      </c>
      <c r="J196">
        <v>8.0513337737031135E-2</v>
      </c>
      <c r="K196">
        <v>0.4342478914207763</v>
      </c>
      <c r="L196">
        <v>0.3551697213862216</v>
      </c>
    </row>
    <row r="197" spans="1:12" x14ac:dyDescent="0.2">
      <c r="A197" t="s">
        <v>612</v>
      </c>
      <c r="B197">
        <v>158.81090657152305</v>
      </c>
      <c r="C197">
        <v>172.51400000000001</v>
      </c>
      <c r="D197">
        <v>6.2255472331475534</v>
      </c>
      <c r="E197">
        <v>1.1636068523797094</v>
      </c>
      <c r="F197">
        <v>8.6285594133961752E-2</v>
      </c>
      <c r="G197">
        <v>0.77367129388567535</v>
      </c>
      <c r="H197">
        <v>9.4960819368097443E-2</v>
      </c>
      <c r="I197" t="e">
        <v>#VALUE!</v>
      </c>
      <c r="J197" t="e">
        <v>#VALUE!</v>
      </c>
      <c r="K197">
        <v>0.21865967151760202</v>
      </c>
      <c r="L197">
        <v>0.10376276085612605</v>
      </c>
    </row>
    <row r="198" spans="1:12" x14ac:dyDescent="0.2">
      <c r="A198" t="s">
        <v>613</v>
      </c>
      <c r="B198">
        <v>390.21064688256155</v>
      </c>
      <c r="C198">
        <v>423.65500000000003</v>
      </c>
      <c r="D198">
        <v>1.2905370574154493</v>
      </c>
      <c r="E198">
        <v>0.47416186959789031</v>
      </c>
      <c r="F198">
        <v>8.5708458712311808E-2</v>
      </c>
      <c r="G198">
        <v>0.53331033155594687</v>
      </c>
      <c r="H198">
        <v>8.718074320038062E-2</v>
      </c>
      <c r="I198" t="e">
        <v>#VALUE!</v>
      </c>
      <c r="J198">
        <v>0.44250831775950766</v>
      </c>
      <c r="K198">
        <v>0.10528132550914739</v>
      </c>
      <c r="L198">
        <v>7.2236796686227123E-2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243CF-B2A3-45E8-A93C-0FA383B943C9}">
  <dimension ref="A1:W198"/>
  <sheetViews>
    <sheetView zoomScale="70" zoomScaleNormal="70" workbookViewId="0">
      <selection activeCell="H41" sqref="H41"/>
    </sheetView>
  </sheetViews>
  <sheetFormatPr defaultRowHeight="12.75" x14ac:dyDescent="0.2"/>
  <cols>
    <col min="1" max="1" width="18.140625" bestFit="1" customWidth="1"/>
    <col min="2" max="2" width="9.7109375" bestFit="1" customWidth="1"/>
    <col min="3" max="3" width="9.42578125" bestFit="1" customWidth="1"/>
    <col min="4" max="5" width="9.7109375" bestFit="1" customWidth="1"/>
    <col min="6" max="6" width="7.85546875" bestFit="1" customWidth="1"/>
    <col min="7" max="7" width="8" bestFit="1" customWidth="1"/>
    <col min="8" max="8" width="16.140625" bestFit="1" customWidth="1"/>
    <col min="9" max="9" width="16.28515625" bestFit="1" customWidth="1"/>
    <col min="10" max="10" width="12" bestFit="1" customWidth="1"/>
    <col min="11" max="11" width="10.5703125" bestFit="1" customWidth="1"/>
    <col min="12" max="12" width="9.42578125" bestFit="1" customWidth="1"/>
    <col min="13" max="13" width="11.7109375" bestFit="1" customWidth="1"/>
    <col min="14" max="14" width="9.42578125" bestFit="1" customWidth="1"/>
    <col min="15" max="15" width="12" bestFit="1" customWidth="1"/>
    <col min="16" max="16" width="9.42578125" bestFit="1" customWidth="1"/>
    <col min="17" max="17" width="11.85546875" bestFit="1" customWidth="1"/>
    <col min="18" max="18" width="9.42578125" bestFit="1" customWidth="1"/>
    <col min="19" max="19" width="14.7109375" bestFit="1" customWidth="1"/>
    <col min="20" max="20" width="9.42578125" bestFit="1" customWidth="1"/>
    <col min="21" max="21" width="8.7109375" bestFit="1" customWidth="1"/>
    <col min="22" max="22" width="11.28515625" bestFit="1" customWidth="1"/>
    <col min="23" max="23" width="14.85546875" bestFit="1" customWidth="1"/>
  </cols>
  <sheetData>
    <row r="1" spans="1:23" x14ac:dyDescent="0.2">
      <c r="A1" t="s">
        <v>0</v>
      </c>
      <c r="B1" t="s">
        <v>435</v>
      </c>
      <c r="C1" t="s">
        <v>951</v>
      </c>
      <c r="D1" t="s">
        <v>814</v>
      </c>
      <c r="E1" t="s">
        <v>961</v>
      </c>
      <c r="F1" t="s">
        <v>902</v>
      </c>
      <c r="G1" t="s">
        <v>957</v>
      </c>
      <c r="H1" t="s">
        <v>958</v>
      </c>
      <c r="I1" t="s">
        <v>960</v>
      </c>
      <c r="J1" t="s">
        <v>959</v>
      </c>
      <c r="K1" t="s">
        <v>507</v>
      </c>
      <c r="L1" t="s">
        <v>498</v>
      </c>
      <c r="M1" t="s">
        <v>508</v>
      </c>
      <c r="N1" t="s">
        <v>499</v>
      </c>
      <c r="O1" t="s">
        <v>509</v>
      </c>
      <c r="P1" t="s">
        <v>500</v>
      </c>
      <c r="Q1" t="s">
        <v>510</v>
      </c>
      <c r="R1" t="s">
        <v>438</v>
      </c>
      <c r="S1" t="s">
        <v>511</v>
      </c>
      <c r="T1" t="s">
        <v>954</v>
      </c>
      <c r="U1" t="s">
        <v>956</v>
      </c>
      <c r="V1" t="s">
        <v>439</v>
      </c>
      <c r="W1" t="s">
        <v>512</v>
      </c>
    </row>
    <row r="2" spans="1:23" x14ac:dyDescent="0.2">
      <c r="A2" t="s">
        <v>1</v>
      </c>
      <c r="B2">
        <v>759109.37990000006</v>
      </c>
      <c r="C2">
        <v>91154</v>
      </c>
      <c r="D2">
        <v>110360</v>
      </c>
      <c r="E2">
        <v>122897.462</v>
      </c>
      <c r="F2">
        <v>6.8784829639362091</v>
      </c>
      <c r="G2">
        <v>6.1767701915601814</v>
      </c>
      <c r="H2">
        <v>0.21069837856813745</v>
      </c>
      <c r="I2">
        <v>0.1136051286698079</v>
      </c>
      <c r="J2">
        <v>72007</v>
      </c>
      <c r="K2">
        <v>0.65247372236317502</v>
      </c>
      <c r="L2">
        <v>14726</v>
      </c>
      <c r="M2">
        <v>0.13343602754621239</v>
      </c>
      <c r="N2">
        <v>17469</v>
      </c>
      <c r="O2">
        <v>0.15829104748097136</v>
      </c>
      <c r="P2">
        <v>4754</v>
      </c>
      <c r="Q2">
        <v>4.3077201884740846E-2</v>
      </c>
      <c r="R2">
        <v>45319</v>
      </c>
      <c r="S2">
        <v>0.41064697354113811</v>
      </c>
      <c r="T2">
        <v>31999</v>
      </c>
      <c r="U2">
        <v>11946</v>
      </c>
      <c r="V2">
        <v>27500.14</v>
      </c>
      <c r="W2">
        <v>0.24918575570859006</v>
      </c>
    </row>
    <row r="3" spans="1:23" x14ac:dyDescent="0.2">
      <c r="A3" t="s">
        <v>7</v>
      </c>
      <c r="B3">
        <v>178833.2904</v>
      </c>
      <c r="C3">
        <v>37047</v>
      </c>
      <c r="D3">
        <v>39836</v>
      </c>
      <c r="E3">
        <v>40369.717000000004</v>
      </c>
      <c r="F3">
        <v>4.4892381363590719</v>
      </c>
      <c r="G3">
        <v>4.429887145357001</v>
      </c>
      <c r="H3">
        <v>7.5282748940534994E-2</v>
      </c>
      <c r="I3">
        <v>1.3397856210463003E-2</v>
      </c>
      <c r="J3">
        <v>31737</v>
      </c>
      <c r="K3">
        <v>0.79669143488302041</v>
      </c>
      <c r="L3">
        <v>6091</v>
      </c>
      <c r="M3">
        <v>0.15290189778090169</v>
      </c>
      <c r="N3">
        <v>8431</v>
      </c>
      <c r="O3">
        <v>0.21164273521437896</v>
      </c>
      <c r="P3">
        <v>1289</v>
      </c>
      <c r="Q3">
        <v>3.2357666432372728E-2</v>
      </c>
      <c r="R3">
        <v>17054</v>
      </c>
      <c r="S3">
        <v>0.42810523144894064</v>
      </c>
      <c r="T3">
        <v>13896</v>
      </c>
      <c r="U3">
        <v>21620</v>
      </c>
      <c r="V3">
        <v>11273.48040882633</v>
      </c>
      <c r="W3">
        <v>0.2829972991471616</v>
      </c>
    </row>
    <row r="4" spans="1:23" x14ac:dyDescent="0.2">
      <c r="A4" t="s">
        <v>9</v>
      </c>
      <c r="B4">
        <v>117401.54</v>
      </c>
      <c r="C4">
        <v>5854.43</v>
      </c>
      <c r="D4">
        <v>8571.9779999999992</v>
      </c>
      <c r="E4">
        <v>10315.565000000001</v>
      </c>
      <c r="F4">
        <v>13.695968421757499</v>
      </c>
      <c r="G4">
        <v>11.381009183694736</v>
      </c>
      <c r="H4">
        <v>0.46418660740669865</v>
      </c>
      <c r="I4">
        <v>0.20340544504430613</v>
      </c>
      <c r="J4">
        <v>7465.3680576171873</v>
      </c>
      <c r="K4">
        <v>0.8709037817895926</v>
      </c>
      <c r="L4">
        <v>1224.059</v>
      </c>
      <c r="M4">
        <v>0.14279772999884041</v>
      </c>
      <c r="N4">
        <v>2197.5920000000001</v>
      </c>
      <c r="O4">
        <v>0.25636930006119946</v>
      </c>
      <c r="P4">
        <v>624.70600000000002</v>
      </c>
      <c r="Q4">
        <v>7.2877695206403942E-2</v>
      </c>
      <c r="R4">
        <v>3089.8100000000004</v>
      </c>
      <c r="S4">
        <v>0.36045472818525676</v>
      </c>
      <c r="T4">
        <v>3512.8310000000001</v>
      </c>
      <c r="U4">
        <v>2306.0720000000001</v>
      </c>
      <c r="V4">
        <v>2415.5068601730072</v>
      </c>
      <c r="W4">
        <v>0.28179107087920752</v>
      </c>
    </row>
    <row r="5" spans="1:23" x14ac:dyDescent="0.2">
      <c r="A5" t="s">
        <v>11</v>
      </c>
      <c r="B5">
        <v>103894.19990000001</v>
      </c>
      <c r="C5">
        <v>6667.2160000000003</v>
      </c>
      <c r="D5">
        <v>11817.844000000001</v>
      </c>
      <c r="E5">
        <v>14404.651</v>
      </c>
      <c r="F5">
        <v>8.7912989797462213</v>
      </c>
      <c r="G5">
        <v>7.2125454410523382</v>
      </c>
      <c r="H5">
        <v>0.77253054348321704</v>
      </c>
      <c r="I5">
        <v>0.2188899261151187</v>
      </c>
      <c r="J5">
        <v>8749.5439453125</v>
      </c>
      <c r="K5">
        <v>0.74036718925317502</v>
      </c>
      <c r="L5">
        <v>1553.0729999999999</v>
      </c>
      <c r="M5">
        <v>0.13141762575305613</v>
      </c>
      <c r="N5">
        <v>4829.2910000000002</v>
      </c>
      <c r="O5">
        <v>0.40864399631607928</v>
      </c>
      <c r="P5">
        <v>1088.3579999999999</v>
      </c>
      <c r="Q5">
        <v>9.2094463254041928E-2</v>
      </c>
      <c r="R5">
        <v>1308.0920000000001</v>
      </c>
      <c r="S5">
        <v>0.11068787166254691</v>
      </c>
      <c r="T5">
        <v>2552.5609999999997</v>
      </c>
      <c r="U5">
        <v>2543</v>
      </c>
      <c r="V5">
        <v>482.47887560000004</v>
      </c>
      <c r="W5">
        <v>4.0826302631850615E-2</v>
      </c>
    </row>
    <row r="6" spans="1:23" x14ac:dyDescent="0.2">
      <c r="A6" t="s">
        <v>15</v>
      </c>
      <c r="B6">
        <v>61613.105499999998</v>
      </c>
      <c r="C6">
        <v>11667.8</v>
      </c>
      <c r="D6">
        <v>13325.8</v>
      </c>
      <c r="E6">
        <v>14165.857</v>
      </c>
      <c r="F6">
        <v>4.6235952438127539</v>
      </c>
      <c r="G6">
        <v>4.3494089697502947</v>
      </c>
      <c r="H6">
        <v>0.14210048166749517</v>
      </c>
      <c r="I6">
        <v>6.303989253928477E-2</v>
      </c>
      <c r="J6">
        <v>5483.0999511718746</v>
      </c>
      <c r="K6">
        <v>0.41146497404822785</v>
      </c>
      <c r="L6">
        <v>0</v>
      </c>
      <c r="M6">
        <v>0</v>
      </c>
      <c r="N6" t="s">
        <v>480</v>
      </c>
      <c r="O6" t="e">
        <v>#VALUE!</v>
      </c>
      <c r="P6" t="s">
        <v>480</v>
      </c>
      <c r="Q6" t="e">
        <v>#VALUE!</v>
      </c>
      <c r="R6">
        <v>3327.1</v>
      </c>
      <c r="S6">
        <v>0.24967356556454398</v>
      </c>
      <c r="T6">
        <v>2243.7000000000003</v>
      </c>
      <c r="U6">
        <v>2170</v>
      </c>
      <c r="V6">
        <v>1929.6169999999997</v>
      </c>
      <c r="W6">
        <v>0.144803088745141</v>
      </c>
    </row>
    <row r="7" spans="1:23" x14ac:dyDescent="0.2">
      <c r="A7" t="s">
        <v>17</v>
      </c>
      <c r="B7">
        <v>49272.508399999999</v>
      </c>
      <c r="C7">
        <v>7093</v>
      </c>
      <c r="D7">
        <v>8467</v>
      </c>
      <c r="E7">
        <v>9081.755000000001</v>
      </c>
      <c r="F7">
        <v>5.8193584976969408</v>
      </c>
      <c r="G7">
        <v>5.4254390698714063</v>
      </c>
      <c r="H7">
        <v>0.19371211053150994</v>
      </c>
      <c r="I7">
        <v>7.2605999763788898E-2</v>
      </c>
      <c r="J7">
        <v>7285</v>
      </c>
      <c r="K7">
        <v>0.8603991968820125</v>
      </c>
      <c r="L7">
        <v>1755</v>
      </c>
      <c r="M7">
        <v>0.20727530412188497</v>
      </c>
      <c r="N7">
        <v>2593</v>
      </c>
      <c r="O7">
        <v>0.30624778552025511</v>
      </c>
      <c r="P7">
        <v>654</v>
      </c>
      <c r="Q7">
        <v>7.7241053501830637E-2</v>
      </c>
      <c r="R7">
        <v>2515</v>
      </c>
      <c r="S7">
        <v>0.29703554978150465</v>
      </c>
      <c r="T7">
        <v>3221</v>
      </c>
      <c r="U7">
        <v>5971</v>
      </c>
      <c r="V7">
        <v>3395.5353242424239</v>
      </c>
      <c r="W7">
        <v>0.40103169059199528</v>
      </c>
    </row>
    <row r="8" spans="1:23" x14ac:dyDescent="0.2">
      <c r="A8" t="s">
        <v>19</v>
      </c>
      <c r="B8">
        <v>52287.719499999999</v>
      </c>
      <c r="C8">
        <v>4694</v>
      </c>
      <c r="D8">
        <v>5964</v>
      </c>
      <c r="E8">
        <v>6610.5380000000005</v>
      </c>
      <c r="F8">
        <v>8.7672232562038896</v>
      </c>
      <c r="G8">
        <v>7.9097525042591084</v>
      </c>
      <c r="H8">
        <v>0.27055815935236471</v>
      </c>
      <c r="I8">
        <v>0.10840677397719656</v>
      </c>
      <c r="J8">
        <v>4992</v>
      </c>
      <c r="K8">
        <v>0.83702213279678073</v>
      </c>
      <c r="L8">
        <v>1186</v>
      </c>
      <c r="M8">
        <v>0.19885982562038901</v>
      </c>
      <c r="N8">
        <v>1634</v>
      </c>
      <c r="O8">
        <v>0.27397719651240776</v>
      </c>
      <c r="P8">
        <v>664</v>
      </c>
      <c r="Q8">
        <v>0.11133467471495641</v>
      </c>
      <c r="R8">
        <v>1823</v>
      </c>
      <c r="S8">
        <v>0.3056673373574782</v>
      </c>
      <c r="T8">
        <v>1938</v>
      </c>
      <c r="U8">
        <v>1464</v>
      </c>
      <c r="V8">
        <v>1268.9562790151069</v>
      </c>
      <c r="W8">
        <v>0.21276932914404878</v>
      </c>
    </row>
    <row r="9" spans="1:23" x14ac:dyDescent="0.2">
      <c r="A9" t="s">
        <v>23</v>
      </c>
      <c r="B9">
        <v>30069.100900000001</v>
      </c>
      <c r="C9">
        <v>1390.5129999999999</v>
      </c>
      <c r="D9">
        <v>2264.8180000000002</v>
      </c>
      <c r="E9">
        <v>2957.73</v>
      </c>
      <c r="F9">
        <v>13.27660805415711</v>
      </c>
      <c r="G9">
        <v>10.166276468778422</v>
      </c>
      <c r="H9">
        <v>0.62876434812188042</v>
      </c>
      <c r="I9">
        <v>0.30594599654365151</v>
      </c>
      <c r="J9">
        <v>1706.5400173339845</v>
      </c>
      <c r="K9">
        <v>0.75349984737580866</v>
      </c>
      <c r="L9">
        <v>377.51799999999997</v>
      </c>
      <c r="M9">
        <v>0.16668800760149377</v>
      </c>
      <c r="N9">
        <v>946.61699999999996</v>
      </c>
      <c r="O9">
        <v>0.41796603523991765</v>
      </c>
      <c r="P9">
        <v>210.53299999999999</v>
      </c>
      <c r="Q9">
        <v>9.2958021350942971E-2</v>
      </c>
      <c r="R9">
        <v>59.362000000000002</v>
      </c>
      <c r="S9">
        <v>2.6210494618110591E-2</v>
      </c>
      <c r="T9">
        <v>535.26</v>
      </c>
      <c r="U9">
        <v>726.495</v>
      </c>
      <c r="V9">
        <v>-89.498374022804001</v>
      </c>
      <c r="W9">
        <v>-3.9516806217013457E-2</v>
      </c>
    </row>
    <row r="10" spans="1:23" x14ac:dyDescent="0.2">
      <c r="A10" t="s">
        <v>29</v>
      </c>
      <c r="B10">
        <v>37238.548000000003</v>
      </c>
      <c r="C10">
        <v>3578.991</v>
      </c>
      <c r="D10">
        <v>3957.0110000000004</v>
      </c>
      <c r="E10">
        <v>4123.2660000000005</v>
      </c>
      <c r="F10">
        <v>9.4107769728211519</v>
      </c>
      <c r="G10">
        <v>9.0313232277519813</v>
      </c>
      <c r="H10">
        <v>0.10562194763831495</v>
      </c>
      <c r="I10">
        <v>4.2015298921332267E-2</v>
      </c>
      <c r="J10">
        <v>2980.6710327148439</v>
      </c>
      <c r="K10">
        <v>0.75326326682307521</v>
      </c>
      <c r="L10">
        <v>0</v>
      </c>
      <c r="M10">
        <v>0</v>
      </c>
      <c r="N10">
        <v>669.50599999999997</v>
      </c>
      <c r="O10">
        <v>0.16919487967053917</v>
      </c>
      <c r="P10">
        <v>295.101</v>
      </c>
      <c r="Q10">
        <v>7.4576744921861463E-2</v>
      </c>
      <c r="R10">
        <v>1336.268</v>
      </c>
      <c r="S10">
        <v>0.33769630663144479</v>
      </c>
      <c r="T10">
        <v>255.92199999999997</v>
      </c>
      <c r="U10">
        <v>126.503</v>
      </c>
      <c r="V10">
        <v>93.840450000000004</v>
      </c>
      <c r="W10">
        <v>2.3714983354860525E-2</v>
      </c>
    </row>
    <row r="11" spans="1:23" x14ac:dyDescent="0.2">
      <c r="A11" t="s">
        <v>31</v>
      </c>
      <c r="B11">
        <v>28484.287400000001</v>
      </c>
      <c r="C11">
        <v>2504.1</v>
      </c>
      <c r="D11">
        <v>2240.6999999999998</v>
      </c>
      <c r="E11">
        <v>2807.2000000000003</v>
      </c>
      <c r="F11">
        <v>12.712227161154997</v>
      </c>
      <c r="G11">
        <v>10.146867839840409</v>
      </c>
      <c r="H11">
        <v>-0.10518749251227991</v>
      </c>
      <c r="I11">
        <v>0.25282277859597468</v>
      </c>
      <c r="J11">
        <v>1953.5000061035157</v>
      </c>
      <c r="K11">
        <v>0.87182577145691786</v>
      </c>
      <c r="L11">
        <v>755.5</v>
      </c>
      <c r="M11">
        <v>0.33717141964564645</v>
      </c>
      <c r="N11">
        <v>1087.3</v>
      </c>
      <c r="O11">
        <v>0.48525014504395947</v>
      </c>
      <c r="P11">
        <v>305.2</v>
      </c>
      <c r="Q11">
        <v>0.13620743517650735</v>
      </c>
      <c r="R11">
        <v>-131.1</v>
      </c>
      <c r="S11">
        <v>-5.8508501807470879E-2</v>
      </c>
      <c r="T11">
        <v>84.1</v>
      </c>
      <c r="U11">
        <v>1078</v>
      </c>
      <c r="V11">
        <v>-301.367196788814</v>
      </c>
      <c r="W11">
        <v>-0.13449689685759542</v>
      </c>
    </row>
    <row r="12" spans="1:23" x14ac:dyDescent="0.2">
      <c r="A12" t="s">
        <v>33</v>
      </c>
      <c r="B12">
        <v>25456.8783</v>
      </c>
      <c r="C12">
        <v>1156.69</v>
      </c>
      <c r="D12">
        <v>2428.232</v>
      </c>
      <c r="E12">
        <v>3119.846</v>
      </c>
      <c r="F12">
        <v>10.483709258423414</v>
      </c>
      <c r="G12">
        <v>8.1596586177651069</v>
      </c>
      <c r="H12">
        <v>1.0992936741910104</v>
      </c>
      <c r="I12">
        <v>0.28482204336323713</v>
      </c>
      <c r="J12">
        <v>1715.5240270996094</v>
      </c>
      <c r="K12">
        <v>0.70649098895806062</v>
      </c>
      <c r="L12">
        <v>910.58399999999995</v>
      </c>
      <c r="M12">
        <v>0.37499876453320768</v>
      </c>
      <c r="N12">
        <v>683.36699999999996</v>
      </c>
      <c r="O12">
        <v>0.28142574515120466</v>
      </c>
      <c r="P12">
        <v>222.90899999999999</v>
      </c>
      <c r="Q12">
        <v>9.1798889068260364E-2</v>
      </c>
      <c r="R12">
        <v>-107.83699999999999</v>
      </c>
      <c r="S12">
        <v>-4.4409677493748537E-2</v>
      </c>
      <c r="T12">
        <v>288.99900000000002</v>
      </c>
      <c r="U12">
        <v>1134.355</v>
      </c>
      <c r="V12">
        <v>-334.86065359999998</v>
      </c>
      <c r="W12">
        <v>-0.137903072523548</v>
      </c>
    </row>
    <row r="13" spans="1:23" x14ac:dyDescent="0.2">
      <c r="A13" t="s">
        <v>35</v>
      </c>
      <c r="B13">
        <v>23118.2019</v>
      </c>
      <c r="C13">
        <v>2951.9</v>
      </c>
      <c r="D13">
        <v>3426.9</v>
      </c>
      <c r="E13">
        <v>3662.9560000000001</v>
      </c>
      <c r="F13">
        <v>6.7460976100849166</v>
      </c>
      <c r="G13">
        <v>6.3113512420023605</v>
      </c>
      <c r="H13">
        <v>0.16091331007147938</v>
      </c>
      <c r="I13">
        <v>6.8883247249700963E-2</v>
      </c>
      <c r="J13">
        <v>2375.6999633789064</v>
      </c>
      <c r="K13">
        <v>0.69325044891269261</v>
      </c>
      <c r="L13">
        <v>0</v>
      </c>
      <c r="M13">
        <v>0</v>
      </c>
      <c r="N13" t="s">
        <v>480</v>
      </c>
      <c r="O13" t="e">
        <v>#VALUE!</v>
      </c>
      <c r="P13" t="s">
        <v>480</v>
      </c>
      <c r="Q13" t="e">
        <v>#VALUE!</v>
      </c>
      <c r="R13">
        <v>1437.8257196663981</v>
      </c>
      <c r="S13">
        <v>0.41957037546073656</v>
      </c>
      <c r="T13">
        <v>1005.9</v>
      </c>
      <c r="U13">
        <v>358.2</v>
      </c>
      <c r="V13">
        <v>914.04665999999997</v>
      </c>
      <c r="W13">
        <v>0.26672697189880062</v>
      </c>
    </row>
    <row r="14" spans="1:23" x14ac:dyDescent="0.2">
      <c r="A14" t="s">
        <v>37</v>
      </c>
      <c r="B14">
        <v>19172.8344</v>
      </c>
      <c r="C14">
        <v>2052.23</v>
      </c>
      <c r="D14">
        <v>3156.587</v>
      </c>
      <c r="E14">
        <v>3599.1820000000002</v>
      </c>
      <c r="F14">
        <v>6.0739128685507477</v>
      </c>
      <c r="G14">
        <v>5.3269977455988604</v>
      </c>
      <c r="H14">
        <v>0.5381253563197107</v>
      </c>
      <c r="I14">
        <v>0.14021314793477901</v>
      </c>
      <c r="J14">
        <v>2690.5739580078125</v>
      </c>
      <c r="K14">
        <v>0.85236806652495634</v>
      </c>
      <c r="L14">
        <v>578.32999999999993</v>
      </c>
      <c r="M14">
        <v>0.18321370518221103</v>
      </c>
      <c r="N14">
        <v>1198.576</v>
      </c>
      <c r="O14">
        <v>0.37970630937781852</v>
      </c>
      <c r="P14">
        <v>239.316</v>
      </c>
      <c r="Q14">
        <v>7.5814796170674215E-2</v>
      </c>
      <c r="R14">
        <v>602.68600000000004</v>
      </c>
      <c r="S14">
        <v>0.19092963381018804</v>
      </c>
      <c r="T14">
        <v>941.41899999999998</v>
      </c>
      <c r="U14">
        <v>1724.1319999999998</v>
      </c>
      <c r="V14">
        <v>417.021865536652</v>
      </c>
      <c r="W14">
        <v>0.13211163371598883</v>
      </c>
    </row>
    <row r="15" spans="1:23" x14ac:dyDescent="0.2">
      <c r="A15" t="s">
        <v>39</v>
      </c>
      <c r="B15">
        <v>38637.037900000003</v>
      </c>
      <c r="C15">
        <v>11584</v>
      </c>
      <c r="D15">
        <v>10956</v>
      </c>
      <c r="E15">
        <v>8994.0679999999993</v>
      </c>
      <c r="F15">
        <v>3.5265642479006938</v>
      </c>
      <c r="G15">
        <v>4.2958356441156553</v>
      </c>
      <c r="H15">
        <v>-5.4212707182320442E-2</v>
      </c>
      <c r="I15">
        <v>-0.17907374954362909</v>
      </c>
      <c r="J15">
        <v>5450</v>
      </c>
      <c r="K15">
        <v>0.49744432274552758</v>
      </c>
      <c r="L15">
        <v>0</v>
      </c>
      <c r="M15">
        <v>0</v>
      </c>
      <c r="N15" t="s">
        <v>480</v>
      </c>
      <c r="O15" t="e">
        <v>#VALUE!</v>
      </c>
      <c r="P15" t="s">
        <v>480</v>
      </c>
      <c r="Q15" t="e">
        <v>#VALUE!</v>
      </c>
      <c r="R15">
        <v>3054</v>
      </c>
      <c r="S15">
        <v>0.2787513691128149</v>
      </c>
      <c r="T15">
        <v>1975</v>
      </c>
      <c r="U15">
        <v>498</v>
      </c>
      <c r="V15">
        <v>958.78000000000009</v>
      </c>
      <c r="W15">
        <v>8.7511865644395767E-2</v>
      </c>
    </row>
    <row r="16" spans="1:23" x14ac:dyDescent="0.2">
      <c r="A16" t="s">
        <v>43</v>
      </c>
      <c r="B16">
        <v>17761.393199999999</v>
      </c>
      <c r="C16">
        <v>4025</v>
      </c>
      <c r="D16">
        <v>4148</v>
      </c>
      <c r="E16">
        <v>4285.5</v>
      </c>
      <c r="F16">
        <v>4.2819173577627767</v>
      </c>
      <c r="G16">
        <v>4.1445323066153303</v>
      </c>
      <c r="H16">
        <v>3.0559006211180125E-2</v>
      </c>
      <c r="I16">
        <v>3.3148505303760789E-2</v>
      </c>
      <c r="J16">
        <v>3546</v>
      </c>
      <c r="K16">
        <v>0.85486981677917073</v>
      </c>
      <c r="L16">
        <v>642</v>
      </c>
      <c r="M16">
        <v>0.15477338476374156</v>
      </c>
      <c r="N16">
        <v>1061</v>
      </c>
      <c r="O16">
        <v>0.25578592092574737</v>
      </c>
      <c r="P16">
        <v>406</v>
      </c>
      <c r="Q16">
        <v>9.7878495660559311E-2</v>
      </c>
      <c r="R16">
        <v>1440</v>
      </c>
      <c r="S16">
        <v>0.34715525554484089</v>
      </c>
      <c r="T16">
        <v>1064</v>
      </c>
      <c r="U16">
        <v>3405</v>
      </c>
      <c r="V16">
        <v>788.04512350394702</v>
      </c>
      <c r="W16">
        <v>0.18998194877144337</v>
      </c>
    </row>
    <row r="17" spans="1:23" x14ac:dyDescent="0.2">
      <c r="A17" t="s">
        <v>45</v>
      </c>
      <c r="B17">
        <v>21757.589</v>
      </c>
      <c r="C17">
        <v>2898.15</v>
      </c>
      <c r="D17">
        <v>3721.3010000000004</v>
      </c>
      <c r="E17">
        <v>4117.8980000000001</v>
      </c>
      <c r="F17">
        <v>5.8467694497166445</v>
      </c>
      <c r="G17">
        <v>5.2836638984258473</v>
      </c>
      <c r="H17">
        <v>0.28402636164449746</v>
      </c>
      <c r="I17">
        <v>0.10657482423485765</v>
      </c>
      <c r="J17">
        <v>2202.0189868164061</v>
      </c>
      <c r="K17">
        <v>0.59173364014800356</v>
      </c>
      <c r="L17">
        <v>0</v>
      </c>
      <c r="M17">
        <v>0</v>
      </c>
      <c r="N17" t="s">
        <v>480</v>
      </c>
      <c r="O17" t="e">
        <v>#VALUE!</v>
      </c>
      <c r="P17" t="s">
        <v>480</v>
      </c>
      <c r="Q17" t="e">
        <v>#VALUE!</v>
      </c>
      <c r="R17">
        <v>1229.5550000000001</v>
      </c>
      <c r="S17">
        <v>0.33040998296026036</v>
      </c>
      <c r="T17">
        <v>611.91800000000001</v>
      </c>
      <c r="U17">
        <v>1335.855</v>
      </c>
      <c r="V17">
        <v>446.25907235741499</v>
      </c>
      <c r="W17">
        <v>0.11992017639997811</v>
      </c>
    </row>
    <row r="18" spans="1:23" x14ac:dyDescent="0.2">
      <c r="A18" t="s">
        <v>49</v>
      </c>
      <c r="B18">
        <v>12991.4501</v>
      </c>
      <c r="C18">
        <v>1741.3009999999999</v>
      </c>
      <c r="D18">
        <v>1896.9269999999999</v>
      </c>
      <c r="E18">
        <v>1960.394</v>
      </c>
      <c r="F18">
        <v>6.8486821580377111</v>
      </c>
      <c r="G18">
        <v>6.62695871340149</v>
      </c>
      <c r="H18">
        <v>8.9373405287196173E-2</v>
      </c>
      <c r="I18">
        <v>3.3457797796119682E-2</v>
      </c>
      <c r="J18">
        <v>1698.6110100097656</v>
      </c>
      <c r="K18">
        <v>0.89545407388358411</v>
      </c>
      <c r="L18">
        <v>192.386</v>
      </c>
      <c r="M18">
        <v>0.1014198226921753</v>
      </c>
      <c r="N18">
        <v>433.42700000000002</v>
      </c>
      <c r="O18">
        <v>0.22848902461718351</v>
      </c>
      <c r="P18">
        <v>91.965000000000003</v>
      </c>
      <c r="Q18">
        <v>4.8481043287380066E-2</v>
      </c>
      <c r="R18">
        <v>949.65100000000007</v>
      </c>
      <c r="S18">
        <v>0.50062601249283711</v>
      </c>
      <c r="T18">
        <v>1109.6179999999999</v>
      </c>
      <c r="U18">
        <v>245.01399999999998</v>
      </c>
      <c r="V18">
        <v>822.62414000000001</v>
      </c>
      <c r="W18">
        <v>0.43366146404157885</v>
      </c>
    </row>
    <row r="19" spans="1:23" x14ac:dyDescent="0.2">
      <c r="A19" t="s">
        <v>51</v>
      </c>
      <c r="B19">
        <v>15390.5118</v>
      </c>
      <c r="C19">
        <v>457.05799999999999</v>
      </c>
      <c r="D19">
        <v>947.42399999999998</v>
      </c>
      <c r="E19">
        <v>1254.6490000000001</v>
      </c>
      <c r="F19">
        <v>16.244587217549903</v>
      </c>
      <c r="G19">
        <v>12.266786806509231</v>
      </c>
      <c r="H19">
        <v>1.0728747773805511</v>
      </c>
      <c r="I19">
        <v>0.32427403147904221</v>
      </c>
      <c r="J19">
        <v>769.6390129394531</v>
      </c>
      <c r="K19">
        <v>0.81234907806795387</v>
      </c>
      <c r="L19">
        <v>415.77599999999995</v>
      </c>
      <c r="M19">
        <v>0.43884892086330929</v>
      </c>
      <c r="N19">
        <v>187.99</v>
      </c>
      <c r="O19">
        <v>0.19842224811699938</v>
      </c>
      <c r="P19">
        <v>151.24199999999999</v>
      </c>
      <c r="Q19">
        <v>0.15963496808187252</v>
      </c>
      <c r="R19">
        <v>43.517999999999994</v>
      </c>
      <c r="S19">
        <v>4.5932971932313299E-2</v>
      </c>
      <c r="T19">
        <v>292.77500000000003</v>
      </c>
      <c r="U19">
        <v>1410.3389999999999</v>
      </c>
      <c r="V19">
        <v>-301.38798999999995</v>
      </c>
      <c r="W19">
        <v>-0.31811310458675307</v>
      </c>
    </row>
    <row r="20" spans="1:23" x14ac:dyDescent="0.2">
      <c r="A20" t="s">
        <v>53</v>
      </c>
      <c r="B20">
        <v>20360.7772</v>
      </c>
      <c r="C20">
        <v>4170.0770000000002</v>
      </c>
      <c r="D20">
        <v>4283.41</v>
      </c>
      <c r="E20">
        <v>4236.25</v>
      </c>
      <c r="F20">
        <v>4.7534037600883412</v>
      </c>
      <c r="G20">
        <v>4.8063209678371202</v>
      </c>
      <c r="H20">
        <v>2.7177675616061676E-2</v>
      </c>
      <c r="I20">
        <v>-1.1009919666807533E-2</v>
      </c>
      <c r="J20">
        <v>1488.7579999999998</v>
      </c>
      <c r="K20">
        <v>0.34756374010426272</v>
      </c>
      <c r="L20">
        <v>0</v>
      </c>
      <c r="M20">
        <v>0</v>
      </c>
      <c r="N20" t="s">
        <v>480</v>
      </c>
      <c r="O20" t="e">
        <v>#VALUE!</v>
      </c>
      <c r="P20" t="s">
        <v>480</v>
      </c>
      <c r="Q20" t="e">
        <v>#VALUE!</v>
      </c>
      <c r="R20">
        <v>1222.1279999999999</v>
      </c>
      <c r="S20">
        <v>0.28531660522807761</v>
      </c>
      <c r="T20">
        <v>851.66700000000003</v>
      </c>
      <c r="U20">
        <v>450.35699999999997</v>
      </c>
      <c r="V20">
        <v>562.78363790922901</v>
      </c>
      <c r="W20">
        <v>0.13138682449479014</v>
      </c>
    </row>
    <row r="21" spans="1:23" x14ac:dyDescent="0.2">
      <c r="A21" t="s">
        <v>55</v>
      </c>
      <c r="B21">
        <v>14085.412700000001</v>
      </c>
      <c r="C21">
        <v>2125.0859999999998</v>
      </c>
      <c r="D21">
        <v>2794.5149999999999</v>
      </c>
      <c r="E21">
        <v>3253.5360000000001</v>
      </c>
      <c r="F21">
        <v>5.0403782767313832</v>
      </c>
      <c r="G21">
        <v>4.3292629004258751</v>
      </c>
      <c r="H21">
        <v>0.31501266301693209</v>
      </c>
      <c r="I21">
        <v>0.16425784080600758</v>
      </c>
      <c r="J21">
        <v>2459.358009765625</v>
      </c>
      <c r="K21">
        <v>0.88006613303762016</v>
      </c>
      <c r="L21">
        <v>341.4</v>
      </c>
      <c r="M21">
        <v>0.12216788959801611</v>
      </c>
      <c r="N21">
        <v>180.9</v>
      </c>
      <c r="O21">
        <v>6.4733952045345974E-2</v>
      </c>
      <c r="P21">
        <v>193.1</v>
      </c>
      <c r="Q21">
        <v>6.9099646987044266E-2</v>
      </c>
      <c r="R21">
        <v>707.22400000000005</v>
      </c>
      <c r="S21">
        <v>0.25307575733177318</v>
      </c>
      <c r="T21">
        <v>569.976</v>
      </c>
      <c r="U21">
        <v>488.964</v>
      </c>
      <c r="V21">
        <v>288.48589500000003</v>
      </c>
      <c r="W21">
        <v>0.10323290266826267</v>
      </c>
    </row>
    <row r="22" spans="1:23" x14ac:dyDescent="0.2">
      <c r="A22" t="s">
        <v>57</v>
      </c>
      <c r="B22">
        <v>12778.339900000001</v>
      </c>
      <c r="C22">
        <v>668.43499999999995</v>
      </c>
      <c r="D22">
        <v>1448.318</v>
      </c>
      <c r="E22">
        <v>1866.8810000000001</v>
      </c>
      <c r="F22">
        <v>8.8228827508875813</v>
      </c>
      <c r="G22">
        <v>6.8447533077898379</v>
      </c>
      <c r="H22">
        <v>1.1667297493398761</v>
      </c>
      <c r="I22">
        <v>0.28899937720859659</v>
      </c>
      <c r="J22">
        <v>1148.2299877929688</v>
      </c>
      <c r="K22">
        <v>0.79280240098719257</v>
      </c>
      <c r="L22">
        <v>301.11399999999998</v>
      </c>
      <c r="M22">
        <v>0.20790599854451852</v>
      </c>
      <c r="N22">
        <v>808.41700000000003</v>
      </c>
      <c r="O22">
        <v>0.55817645019947282</v>
      </c>
      <c r="P22">
        <v>159.143</v>
      </c>
      <c r="Q22">
        <v>0.10988125535966549</v>
      </c>
      <c r="R22">
        <v>-257.30799999999999</v>
      </c>
      <c r="S22">
        <v>-0.17765987856258086</v>
      </c>
      <c r="T22">
        <v>293.40800000000002</v>
      </c>
      <c r="U22">
        <v>545.947</v>
      </c>
      <c r="V22">
        <v>-319.97310999999996</v>
      </c>
      <c r="W22">
        <v>-0.22092738611271831</v>
      </c>
    </row>
    <row r="23" spans="1:23" x14ac:dyDescent="0.2">
      <c r="A23" t="s">
        <v>59</v>
      </c>
      <c r="B23">
        <v>12362.801600000001</v>
      </c>
      <c r="C23">
        <v>1275.443</v>
      </c>
      <c r="D23">
        <v>1631.1849999999999</v>
      </c>
      <c r="E23">
        <v>1909.7080000000001</v>
      </c>
      <c r="F23">
        <v>7.5790309498922568</v>
      </c>
      <c r="G23">
        <v>6.4736606852984853</v>
      </c>
      <c r="H23">
        <v>0.27891642354852392</v>
      </c>
      <c r="I23">
        <v>0.17074887275201789</v>
      </c>
      <c r="J23">
        <v>1221.8169738769532</v>
      </c>
      <c r="K23">
        <v>0.74903642068615961</v>
      </c>
      <c r="L23">
        <v>210.614</v>
      </c>
      <c r="M23">
        <v>0.12911717555029012</v>
      </c>
      <c r="N23">
        <v>701.02599999999995</v>
      </c>
      <c r="O23">
        <v>0.42976486419382226</v>
      </c>
      <c r="P23">
        <v>87.861999999999995</v>
      </c>
      <c r="Q23">
        <v>5.386390875345224E-2</v>
      </c>
      <c r="R23">
        <v>213.77799999999999</v>
      </c>
      <c r="S23">
        <v>0.1310568696990225</v>
      </c>
      <c r="T23">
        <v>561.17100000000005</v>
      </c>
      <c r="U23">
        <v>811.00400000000002</v>
      </c>
      <c r="V23">
        <v>136.69200000000001</v>
      </c>
      <c r="W23">
        <v>8.3799201194223835E-2</v>
      </c>
    </row>
    <row r="24" spans="1:23" x14ac:dyDescent="0.2">
      <c r="A24" t="s">
        <v>61</v>
      </c>
      <c r="B24">
        <v>14433.059600000001</v>
      </c>
      <c r="C24">
        <v>2736.08</v>
      </c>
      <c r="D24">
        <v>2908.3389999999999</v>
      </c>
      <c r="E24">
        <v>2991.1260000000002</v>
      </c>
      <c r="F24">
        <v>4.9626469266478219</v>
      </c>
      <c r="G24">
        <v>4.8252930836079786</v>
      </c>
      <c r="H24">
        <v>6.2958319932165732E-2</v>
      </c>
      <c r="I24">
        <v>2.8465388663426294E-2</v>
      </c>
      <c r="J24">
        <v>2463.42801171875</v>
      </c>
      <c r="K24">
        <v>0.84702230782544607</v>
      </c>
      <c r="L24">
        <v>415.80099999999999</v>
      </c>
      <c r="M24">
        <v>0.14296854665154235</v>
      </c>
      <c r="N24">
        <v>1006.112</v>
      </c>
      <c r="O24">
        <v>0.34594041478658438</v>
      </c>
      <c r="P24">
        <v>302.565</v>
      </c>
      <c r="Q24">
        <v>0.104033608186666</v>
      </c>
      <c r="R24">
        <v>891.87300000000005</v>
      </c>
      <c r="S24">
        <v>0.30666060593348987</v>
      </c>
      <c r="T24">
        <v>1009.174</v>
      </c>
      <c r="U24">
        <v>1115.1299999999999</v>
      </c>
      <c r="V24">
        <v>590.64465502973098</v>
      </c>
      <c r="W24">
        <v>0.2030865917039695</v>
      </c>
    </row>
    <row r="25" spans="1:23" x14ac:dyDescent="0.2">
      <c r="A25" t="s">
        <v>63</v>
      </c>
      <c r="B25">
        <v>13254.6572</v>
      </c>
      <c r="C25">
        <v>2422.5320000000002</v>
      </c>
      <c r="D25">
        <v>3022.62</v>
      </c>
      <c r="E25">
        <v>3239.1</v>
      </c>
      <c r="F25">
        <v>4.3851549979818829</v>
      </c>
      <c r="G25">
        <v>4.0920802692105829</v>
      </c>
      <c r="H25">
        <v>0.24771107254723557</v>
      </c>
      <c r="I25">
        <v>7.1619985310756862E-2</v>
      </c>
      <c r="J25">
        <v>2310.4400556640626</v>
      </c>
      <c r="K25">
        <v>0.76438323562474364</v>
      </c>
      <c r="L25">
        <v>908.84100000000001</v>
      </c>
      <c r="M25">
        <v>0.30067987375191063</v>
      </c>
      <c r="N25">
        <v>549.24800000000005</v>
      </c>
      <c r="O25">
        <v>0.18171255400943553</v>
      </c>
      <c r="P25">
        <v>196.84399999999999</v>
      </c>
      <c r="Q25">
        <v>6.5123634462817021E-2</v>
      </c>
      <c r="R25">
        <v>650.30199999999991</v>
      </c>
      <c r="S25">
        <v>0.21514513898538351</v>
      </c>
      <c r="T25">
        <v>387.55500000000006</v>
      </c>
      <c r="U25">
        <v>1048.356</v>
      </c>
      <c r="V25">
        <v>367.32709702556298</v>
      </c>
      <c r="W25">
        <v>0.12152605918890333</v>
      </c>
    </row>
    <row r="26" spans="1:23" x14ac:dyDescent="0.2">
      <c r="A26" t="s">
        <v>65</v>
      </c>
      <c r="B26">
        <v>14343.2274</v>
      </c>
      <c r="C26">
        <v>2897</v>
      </c>
      <c r="D26">
        <v>4329.9000000000005</v>
      </c>
      <c r="E26">
        <v>4491.5709999999999</v>
      </c>
      <c r="F26">
        <v>3.3126001524284621</v>
      </c>
      <c r="G26">
        <v>3.1933653948696348</v>
      </c>
      <c r="H26">
        <v>0.49461511908871264</v>
      </c>
      <c r="I26">
        <v>3.7338275710755209E-2</v>
      </c>
      <c r="J26">
        <v>1160.2999847412111</v>
      </c>
      <c r="K26">
        <v>0.26797385268509921</v>
      </c>
      <c r="L26">
        <v>0</v>
      </c>
      <c r="M26">
        <v>0</v>
      </c>
      <c r="N26" t="s">
        <v>480</v>
      </c>
      <c r="O26" t="e">
        <v>#VALUE!</v>
      </c>
      <c r="P26" t="s">
        <v>480</v>
      </c>
      <c r="Q26" t="e">
        <v>#VALUE!</v>
      </c>
      <c r="R26">
        <v>810.10000000000014</v>
      </c>
      <c r="S26">
        <v>0.1870943901706737</v>
      </c>
      <c r="T26">
        <v>595.70000000000005</v>
      </c>
      <c r="U26">
        <v>263.89999999999998</v>
      </c>
      <c r="V26">
        <v>445.40826848170406</v>
      </c>
      <c r="W26">
        <v>0.102868026624565</v>
      </c>
    </row>
    <row r="27" spans="1:23" x14ac:dyDescent="0.2">
      <c r="A27" t="s">
        <v>67</v>
      </c>
      <c r="B27">
        <v>12773.614</v>
      </c>
      <c r="C27">
        <v>1816.0830000000001</v>
      </c>
      <c r="D27">
        <v>2069.8940000000002</v>
      </c>
      <c r="E27">
        <v>2201.5</v>
      </c>
      <c r="F27">
        <v>6.1711440295976496</v>
      </c>
      <c r="G27">
        <v>5.8022321144674081</v>
      </c>
      <c r="H27">
        <v>0.13975737893036835</v>
      </c>
      <c r="I27">
        <v>6.3581033618146598E-2</v>
      </c>
      <c r="J27">
        <v>1826.9869919433593</v>
      </c>
      <c r="K27">
        <v>0.88264760994686642</v>
      </c>
      <c r="L27">
        <v>804.22299999999996</v>
      </c>
      <c r="M27">
        <v>0.38853342248443634</v>
      </c>
      <c r="N27">
        <v>419.161</v>
      </c>
      <c r="O27">
        <v>0.20250360646487209</v>
      </c>
      <c r="P27">
        <v>134.18100000000001</v>
      </c>
      <c r="Q27">
        <v>6.4825058674502167E-2</v>
      </c>
      <c r="R27">
        <v>518.21699999999998</v>
      </c>
      <c r="S27">
        <v>0.25035919713763116</v>
      </c>
      <c r="T27">
        <v>539.73699999999997</v>
      </c>
      <c r="U27">
        <v>688.08699999999999</v>
      </c>
      <c r="V27">
        <v>347.59648759077601</v>
      </c>
      <c r="W27">
        <v>0.16792960779188498</v>
      </c>
    </row>
    <row r="28" spans="1:23" x14ac:dyDescent="0.2">
      <c r="A28" t="s">
        <v>69</v>
      </c>
      <c r="B28">
        <v>11715.847599999999</v>
      </c>
      <c r="C28">
        <v>988.46500000000003</v>
      </c>
      <c r="D28">
        <v>1172.3630000000001</v>
      </c>
      <c r="E28">
        <v>1282.5710000000001</v>
      </c>
      <c r="F28">
        <v>9.9933617829972441</v>
      </c>
      <c r="G28">
        <v>9.1346581202911938</v>
      </c>
      <c r="H28">
        <v>0.18604401774468496</v>
      </c>
      <c r="I28">
        <v>9.4005013805451121E-2</v>
      </c>
      <c r="J28">
        <v>1016.0799910888672</v>
      </c>
      <c r="K28">
        <v>0.86669401123104972</v>
      </c>
      <c r="L28">
        <v>202.74599999999998</v>
      </c>
      <c r="M28">
        <v>0.17293790404507817</v>
      </c>
      <c r="N28" t="s">
        <v>480</v>
      </c>
      <c r="O28" t="e">
        <v>#VALUE!</v>
      </c>
      <c r="P28" t="s">
        <v>480</v>
      </c>
      <c r="Q28" t="e">
        <v>#VALUE!</v>
      </c>
      <c r="R28">
        <v>497.34900000000005</v>
      </c>
      <c r="S28">
        <v>0.42422782022291733</v>
      </c>
      <c r="T28">
        <v>417.50700000000001</v>
      </c>
      <c r="U28">
        <v>881.50099999999998</v>
      </c>
      <c r="V28">
        <v>334.11229267563596</v>
      </c>
      <c r="W28">
        <v>0.28499047878143197</v>
      </c>
    </row>
    <row r="29" spans="1:23" x14ac:dyDescent="0.2">
      <c r="A29" t="s">
        <v>71</v>
      </c>
      <c r="B29">
        <v>18277.499500000002</v>
      </c>
      <c r="C29">
        <v>1481.4359999999999</v>
      </c>
      <c r="D29">
        <v>2174.3449999999998</v>
      </c>
      <c r="E29">
        <v>4355.393</v>
      </c>
      <c r="F29">
        <v>8.405979501872979</v>
      </c>
      <c r="G29">
        <v>4.1965213012924441</v>
      </c>
      <c r="H29">
        <v>0.46772793424758136</v>
      </c>
      <c r="I29">
        <v>1.003082767454107</v>
      </c>
      <c r="J29">
        <v>895.99100952148433</v>
      </c>
      <c r="K29">
        <v>0.4120739852790079</v>
      </c>
      <c r="L29">
        <v>153.334</v>
      </c>
      <c r="M29">
        <v>7.0519627749966091E-2</v>
      </c>
      <c r="N29">
        <v>118.449</v>
      </c>
      <c r="O29">
        <v>5.4475715675295321E-2</v>
      </c>
      <c r="P29">
        <v>120.17400000000001</v>
      </c>
      <c r="Q29">
        <v>5.5269058038167826E-2</v>
      </c>
      <c r="R29">
        <v>748.41300000000001</v>
      </c>
      <c r="S29">
        <v>0.34420158714463439</v>
      </c>
      <c r="T29">
        <v>419.84499999999997</v>
      </c>
      <c r="U29">
        <v>64.057000000000002</v>
      </c>
      <c r="V29">
        <v>260.79930813918901</v>
      </c>
      <c r="W29">
        <v>0.11994384890125027</v>
      </c>
    </row>
    <row r="30" spans="1:23" x14ac:dyDescent="0.2">
      <c r="A30" t="s">
        <v>73</v>
      </c>
      <c r="B30">
        <v>14628.111500000001</v>
      </c>
      <c r="C30">
        <v>3600</v>
      </c>
      <c r="D30">
        <v>4827</v>
      </c>
      <c r="E30">
        <v>4770.0380000000005</v>
      </c>
      <c r="F30">
        <v>3.0304767971825153</v>
      </c>
      <c r="G30">
        <v>3.066665611468923</v>
      </c>
      <c r="H30">
        <v>0.34083333333333332</v>
      </c>
      <c r="I30">
        <v>-1.180070437124503E-2</v>
      </c>
      <c r="J30">
        <v>3803</v>
      </c>
      <c r="K30">
        <v>0.78785995442303713</v>
      </c>
      <c r="L30">
        <v>957</v>
      </c>
      <c r="M30">
        <v>0.19825978868862648</v>
      </c>
      <c r="N30">
        <v>1593</v>
      </c>
      <c r="O30">
        <v>0.33001864512119328</v>
      </c>
      <c r="P30">
        <v>578</v>
      </c>
      <c r="Q30">
        <v>0.11974311166355915</v>
      </c>
      <c r="R30">
        <v>1276</v>
      </c>
      <c r="S30">
        <v>0.26434638491816864</v>
      </c>
      <c r="T30">
        <v>966</v>
      </c>
      <c r="U30">
        <v>1774</v>
      </c>
      <c r="V30">
        <v>412.36329172576399</v>
      </c>
      <c r="W30">
        <v>8.5428483887666037E-2</v>
      </c>
    </row>
    <row r="31" spans="1:23" x14ac:dyDescent="0.2">
      <c r="A31" t="s">
        <v>75</v>
      </c>
      <c r="B31">
        <v>11659.7503</v>
      </c>
      <c r="C31">
        <v>1354.646</v>
      </c>
      <c r="D31">
        <v>1536.6029999999998</v>
      </c>
      <c r="E31">
        <v>1642.25</v>
      </c>
      <c r="F31">
        <v>7.5880043836957238</v>
      </c>
      <c r="G31">
        <v>7.0998631755213886</v>
      </c>
      <c r="H31">
        <v>0.13432070075872213</v>
      </c>
      <c r="I31">
        <v>6.8753607795897898E-2</v>
      </c>
      <c r="J31">
        <v>662.96098620605471</v>
      </c>
      <c r="K31">
        <v>0.43144584919205209</v>
      </c>
      <c r="L31">
        <v>90.339999999999989</v>
      </c>
      <c r="M31">
        <v>5.8792023704235905E-2</v>
      </c>
      <c r="N31" t="s">
        <v>480</v>
      </c>
      <c r="O31" t="e">
        <v>#VALUE!</v>
      </c>
      <c r="P31" t="s">
        <v>480</v>
      </c>
      <c r="Q31" t="e">
        <v>#VALUE!</v>
      </c>
      <c r="R31">
        <v>542.40800000000002</v>
      </c>
      <c r="S31">
        <v>0.35299163154048252</v>
      </c>
      <c r="T31">
        <v>359.726</v>
      </c>
      <c r="U31">
        <v>31.439999999999998</v>
      </c>
      <c r="V31">
        <v>282.15797000000003</v>
      </c>
      <c r="W31">
        <v>0.18362450808699454</v>
      </c>
    </row>
    <row r="32" spans="1:23" x14ac:dyDescent="0.2">
      <c r="A32" t="s">
        <v>77</v>
      </c>
      <c r="B32">
        <v>13353.356</v>
      </c>
      <c r="C32">
        <v>7138.1</v>
      </c>
      <c r="D32">
        <v>7841.5</v>
      </c>
      <c r="E32">
        <v>8247.7070000000003</v>
      </c>
      <c r="F32">
        <v>1.7029083721226805</v>
      </c>
      <c r="G32">
        <v>1.6190386006680402</v>
      </c>
      <c r="H32">
        <v>9.8541628724730615E-2</v>
      </c>
      <c r="I32">
        <v>5.1802206210546542E-2</v>
      </c>
      <c r="J32">
        <v>3531.9999511718752</v>
      </c>
      <c r="K32">
        <v>0.45042401978854496</v>
      </c>
      <c r="L32">
        <v>0</v>
      </c>
      <c r="M32">
        <v>0</v>
      </c>
      <c r="N32" t="s">
        <v>480</v>
      </c>
      <c r="O32" t="e">
        <v>#VALUE!</v>
      </c>
      <c r="P32">
        <v>166.3</v>
      </c>
      <c r="Q32">
        <v>2.120767710259517E-2</v>
      </c>
      <c r="R32">
        <v>2272.1</v>
      </c>
      <c r="S32">
        <v>0.2897532359880125</v>
      </c>
      <c r="T32">
        <v>2657.3</v>
      </c>
      <c r="U32">
        <v>4190</v>
      </c>
      <c r="V32">
        <v>884.5</v>
      </c>
      <c r="W32">
        <v>0.11279729643563094</v>
      </c>
    </row>
    <row r="33" spans="1:23" x14ac:dyDescent="0.2">
      <c r="A33" t="s">
        <v>79</v>
      </c>
      <c r="B33">
        <v>10635.886500000001</v>
      </c>
      <c r="C33">
        <v>1140.5329999999999</v>
      </c>
      <c r="D33">
        <v>1235.683</v>
      </c>
      <c r="E33">
        <v>1329.231</v>
      </c>
      <c r="F33">
        <v>8.6072936991121516</v>
      </c>
      <c r="G33">
        <v>8.0015335934837513</v>
      </c>
      <c r="H33">
        <v>8.3425907010143588E-2</v>
      </c>
      <c r="I33">
        <v>7.5705500520764524E-2</v>
      </c>
      <c r="J33">
        <v>904.73300866699219</v>
      </c>
      <c r="K33">
        <v>0.73217241692812174</v>
      </c>
      <c r="L33">
        <v>236.059</v>
      </c>
      <c r="M33">
        <v>0.19103524123905566</v>
      </c>
      <c r="N33">
        <v>372.94600000000003</v>
      </c>
      <c r="O33">
        <v>0.30181365285433243</v>
      </c>
      <c r="P33">
        <v>145.06700000000001</v>
      </c>
      <c r="Q33">
        <v>0.11739823239455427</v>
      </c>
      <c r="R33">
        <v>170.774</v>
      </c>
      <c r="S33">
        <v>0.1382021117066432</v>
      </c>
      <c r="T33">
        <v>211.76999999999998</v>
      </c>
      <c r="U33">
        <v>259.94600000000003</v>
      </c>
      <c r="V33">
        <v>48.873303467433999</v>
      </c>
      <c r="W33">
        <v>3.955165157037363E-2</v>
      </c>
    </row>
    <row r="34" spans="1:23" x14ac:dyDescent="0.2">
      <c r="A34" t="s">
        <v>81</v>
      </c>
      <c r="B34">
        <v>10049.311299999999</v>
      </c>
      <c r="C34">
        <v>1138.385</v>
      </c>
      <c r="D34">
        <v>790.56539690225225</v>
      </c>
      <c r="E34">
        <v>1373.425</v>
      </c>
      <c r="F34">
        <v>12.711549657216436</v>
      </c>
      <c r="G34">
        <v>7.3169712943917578</v>
      </c>
      <c r="H34">
        <v>-0.30553776015824852</v>
      </c>
      <c r="I34">
        <v>0.73726930799352219</v>
      </c>
      <c r="J34">
        <v>375.64298104046151</v>
      </c>
      <c r="K34">
        <v>0.47515737788724272</v>
      </c>
      <c r="L34">
        <v>0</v>
      </c>
      <c r="M34">
        <v>0</v>
      </c>
      <c r="N34">
        <v>76.995211344008382</v>
      </c>
      <c r="O34">
        <v>9.7392589715798408E-2</v>
      </c>
      <c r="P34">
        <v>47.989678864420718</v>
      </c>
      <c r="Q34">
        <v>6.0702984284998117E-2</v>
      </c>
      <c r="R34">
        <v>266.81505779650513</v>
      </c>
      <c r="S34">
        <v>0.3374990340356307</v>
      </c>
      <c r="T34">
        <v>346.06900000000002</v>
      </c>
      <c r="U34">
        <v>66.766999999999996</v>
      </c>
      <c r="V34">
        <v>149.9999767353207</v>
      </c>
      <c r="W34">
        <v>0.1897375945406666</v>
      </c>
    </row>
    <row r="35" spans="1:23" x14ac:dyDescent="0.2">
      <c r="A35" t="s">
        <v>83</v>
      </c>
      <c r="B35">
        <v>9553.6566000000003</v>
      </c>
      <c r="C35">
        <v>844.8</v>
      </c>
      <c r="D35">
        <v>1106.8</v>
      </c>
      <c r="E35">
        <v>1480.6469999999999</v>
      </c>
      <c r="F35">
        <v>8.6317822551499823</v>
      </c>
      <c r="G35">
        <v>6.4523526539411495</v>
      </c>
      <c r="H35">
        <v>0.3101325757575758</v>
      </c>
      <c r="I35">
        <v>0.33777285869172391</v>
      </c>
      <c r="J35">
        <v>737.9</v>
      </c>
      <c r="K35">
        <v>0.66669678352005779</v>
      </c>
      <c r="L35">
        <v>380.29999999999995</v>
      </c>
      <c r="M35">
        <v>0.3436031803397181</v>
      </c>
      <c r="N35">
        <v>314</v>
      </c>
      <c r="O35">
        <v>0.28370075894470548</v>
      </c>
      <c r="P35">
        <v>157.30000000000001</v>
      </c>
      <c r="Q35">
        <v>0.14212143115287315</v>
      </c>
      <c r="R35">
        <v>68.100000000000009</v>
      </c>
      <c r="S35">
        <v>6.1528731478135174E-2</v>
      </c>
      <c r="T35">
        <v>305</v>
      </c>
      <c r="U35">
        <v>430</v>
      </c>
      <c r="V35">
        <v>-50</v>
      </c>
      <c r="W35">
        <v>-4.517528008673654E-2</v>
      </c>
    </row>
    <row r="36" spans="1:23" x14ac:dyDescent="0.2">
      <c r="A36" t="s">
        <v>85</v>
      </c>
      <c r="B36">
        <v>11155.011</v>
      </c>
      <c r="C36">
        <v>1824.2280000000001</v>
      </c>
      <c r="D36">
        <v>2815.241</v>
      </c>
      <c r="E36">
        <v>2896.0419999999999</v>
      </c>
      <c r="F36">
        <v>3.9623645009432589</v>
      </c>
      <c r="G36">
        <v>3.8518125773037823</v>
      </c>
      <c r="H36">
        <v>0.54325062437370764</v>
      </c>
      <c r="I36">
        <v>2.8701272821758383E-2</v>
      </c>
      <c r="J36">
        <v>1863.8300090332032</v>
      </c>
      <c r="K36">
        <v>0.66204989520726754</v>
      </c>
      <c r="L36">
        <v>323.46100000000001</v>
      </c>
      <c r="M36">
        <v>0.11489638009676614</v>
      </c>
      <c r="N36">
        <v>529.38099999999997</v>
      </c>
      <c r="O36">
        <v>0.18804109488317342</v>
      </c>
      <c r="P36">
        <v>205.31299999999999</v>
      </c>
      <c r="Q36">
        <v>7.2929102694938019E-2</v>
      </c>
      <c r="R36">
        <v>991.54299999999989</v>
      </c>
      <c r="S36">
        <v>0.35220537069472913</v>
      </c>
      <c r="T36">
        <v>714.82</v>
      </c>
      <c r="U36">
        <v>682.94200000000001</v>
      </c>
      <c r="V36">
        <v>279.654731196885</v>
      </c>
      <c r="W36">
        <v>9.9335982673200984E-2</v>
      </c>
    </row>
    <row r="37" spans="1:23" x14ac:dyDescent="0.2">
      <c r="A37" t="s">
        <v>87</v>
      </c>
      <c r="B37">
        <v>8730.4277999999995</v>
      </c>
      <c r="C37">
        <v>781.29100000000005</v>
      </c>
      <c r="D37">
        <v>1035.461</v>
      </c>
      <c r="E37">
        <v>1245.01</v>
      </c>
      <c r="F37">
        <v>8.4314404888257499</v>
      </c>
      <c r="G37">
        <v>7.0123354832491298</v>
      </c>
      <c r="H37">
        <v>0.32532052717873361</v>
      </c>
      <c r="I37">
        <v>0.20237266299744738</v>
      </c>
      <c r="J37">
        <v>648.36900695800773</v>
      </c>
      <c r="K37">
        <v>0.62616458462270208</v>
      </c>
      <c r="L37">
        <v>150.583</v>
      </c>
      <c r="M37">
        <v>0.14542604694913666</v>
      </c>
      <c r="N37">
        <v>269.78100000000001</v>
      </c>
      <c r="O37">
        <v>0.26054192287300054</v>
      </c>
      <c r="P37">
        <v>122.119</v>
      </c>
      <c r="Q37">
        <v>0.11793684165796683</v>
      </c>
      <c r="R37">
        <v>114.41199999999999</v>
      </c>
      <c r="S37">
        <v>0.11049378006511108</v>
      </c>
      <c r="T37">
        <v>172.06</v>
      </c>
      <c r="U37">
        <v>155.685</v>
      </c>
      <c r="V37">
        <v>46.960708818636007</v>
      </c>
      <c r="W37">
        <v>4.5352465055309668E-2</v>
      </c>
    </row>
    <row r="38" spans="1:23" x14ac:dyDescent="0.2">
      <c r="A38" t="s">
        <v>89</v>
      </c>
      <c r="B38">
        <v>7440.2691999999997</v>
      </c>
      <c r="C38">
        <v>826.94299999999998</v>
      </c>
      <c r="D38">
        <v>992.76900000000001</v>
      </c>
      <c r="E38">
        <v>1052.4590000000001</v>
      </c>
      <c r="F38">
        <v>7.494461652207109</v>
      </c>
      <c r="G38">
        <v>7.0694147705516315</v>
      </c>
      <c r="H38">
        <v>0.20052893609353972</v>
      </c>
      <c r="I38">
        <v>6.0124762155143952E-2</v>
      </c>
      <c r="J38">
        <v>864.88000952148434</v>
      </c>
      <c r="K38">
        <v>0.87117950854779347</v>
      </c>
      <c r="L38">
        <v>334.14799999999997</v>
      </c>
      <c r="M38">
        <v>0.33658182316329377</v>
      </c>
      <c r="N38">
        <v>517.44600000000003</v>
      </c>
      <c r="O38">
        <v>0.52121490497789513</v>
      </c>
      <c r="P38">
        <v>102.871</v>
      </c>
      <c r="Q38">
        <v>0.10362027823189483</v>
      </c>
      <c r="R38">
        <v>-123.949</v>
      </c>
      <c r="S38">
        <v>-0.12485180339031537</v>
      </c>
      <c r="T38">
        <v>121.97600000000001</v>
      </c>
      <c r="U38">
        <v>627.87799999999993</v>
      </c>
      <c r="V38">
        <v>-146.929</v>
      </c>
      <c r="W38">
        <v>-0.14799918208566143</v>
      </c>
    </row>
    <row r="39" spans="1:23" x14ac:dyDescent="0.2">
      <c r="A39" t="s">
        <v>91</v>
      </c>
      <c r="B39">
        <v>7952.1031999999996</v>
      </c>
      <c r="C39">
        <v>756.04300000000001</v>
      </c>
      <c r="D39">
        <v>891.15700000000004</v>
      </c>
      <c r="E39">
        <v>1005.667</v>
      </c>
      <c r="F39">
        <v>8.9233470645464266</v>
      </c>
      <c r="G39">
        <v>7.9072925729888714</v>
      </c>
      <c r="H39">
        <v>0.17871205738297957</v>
      </c>
      <c r="I39">
        <v>0.12849587670859353</v>
      </c>
      <c r="J39">
        <v>422.93600115966797</v>
      </c>
      <c r="K39">
        <v>0.47459202044047005</v>
      </c>
      <c r="L39">
        <v>47.323999999999998</v>
      </c>
      <c r="M39">
        <v>5.3103998509802422E-2</v>
      </c>
      <c r="N39" t="s">
        <v>480</v>
      </c>
      <c r="O39" t="e">
        <v>#VALUE!</v>
      </c>
      <c r="P39" t="s">
        <v>480</v>
      </c>
      <c r="Q39" t="e">
        <v>#VALUE!</v>
      </c>
      <c r="R39">
        <v>222.82000000000002</v>
      </c>
      <c r="S39">
        <v>0.25003450570438207</v>
      </c>
      <c r="T39">
        <v>203.94400000000002</v>
      </c>
      <c r="U39">
        <v>185.92599999999999</v>
      </c>
      <c r="V39">
        <v>145.27799871199099</v>
      </c>
      <c r="W39">
        <v>0.16302177810642904</v>
      </c>
    </row>
    <row r="40" spans="1:23" x14ac:dyDescent="0.2">
      <c r="A40" t="s">
        <v>93</v>
      </c>
      <c r="B40">
        <v>10399.2865</v>
      </c>
      <c r="C40">
        <v>5422.9</v>
      </c>
      <c r="D40">
        <v>5643.5</v>
      </c>
      <c r="E40">
        <v>5758.5690000000004</v>
      </c>
      <c r="F40">
        <v>1.8427016036147781</v>
      </c>
      <c r="G40">
        <v>1.8058803324228641</v>
      </c>
      <c r="H40">
        <v>4.0679341311844287E-2</v>
      </c>
      <c r="I40">
        <v>2.0389651811818954E-2</v>
      </c>
      <c r="J40">
        <v>2280.8999999999996</v>
      </c>
      <c r="K40">
        <v>0.4041640825728714</v>
      </c>
      <c r="L40">
        <v>0</v>
      </c>
      <c r="M40">
        <v>0</v>
      </c>
      <c r="N40" t="s">
        <v>480</v>
      </c>
      <c r="O40" t="e">
        <v>#VALUE!</v>
      </c>
      <c r="P40" t="s">
        <v>480</v>
      </c>
      <c r="Q40" t="e">
        <v>#VALUE!</v>
      </c>
      <c r="R40">
        <v>1359.4</v>
      </c>
      <c r="S40">
        <v>0.24087888721538053</v>
      </c>
      <c r="T40">
        <v>709.8</v>
      </c>
      <c r="U40">
        <v>838.19999999999993</v>
      </c>
      <c r="V40">
        <v>852.35</v>
      </c>
      <c r="W40">
        <v>0.15103216089306282</v>
      </c>
    </row>
    <row r="41" spans="1:23" x14ac:dyDescent="0.2">
      <c r="A41" t="s">
        <v>95</v>
      </c>
      <c r="B41">
        <v>9911.8019000000004</v>
      </c>
      <c r="C41">
        <v>1018.46</v>
      </c>
      <c r="D41">
        <v>1381.0119999999999</v>
      </c>
      <c r="E41">
        <v>1551.74</v>
      </c>
      <c r="F41">
        <v>7.1772018635609252</v>
      </c>
      <c r="G41">
        <v>6.3875403740317322</v>
      </c>
      <c r="H41">
        <v>0.35598059815800315</v>
      </c>
      <c r="I41">
        <v>0.12362528348776114</v>
      </c>
      <c r="J41">
        <v>1037.137987915039</v>
      </c>
      <c r="K41">
        <v>0.75099853434657993</v>
      </c>
      <c r="L41">
        <v>0</v>
      </c>
      <c r="M41">
        <v>0</v>
      </c>
      <c r="N41">
        <v>0</v>
      </c>
      <c r="O41">
        <v>0</v>
      </c>
      <c r="P41" t="s">
        <v>480</v>
      </c>
      <c r="Q41" t="e">
        <v>#VALUE!</v>
      </c>
      <c r="R41">
        <v>541.74800000000005</v>
      </c>
      <c r="S41">
        <v>0.3922833400433885</v>
      </c>
      <c r="T41">
        <v>285.154</v>
      </c>
      <c r="U41">
        <v>508.072</v>
      </c>
      <c r="V41">
        <v>160.82074499958901</v>
      </c>
      <c r="W41">
        <v>0.11645137406451864</v>
      </c>
    </row>
    <row r="42" spans="1:23" x14ac:dyDescent="0.2">
      <c r="A42" t="s">
        <v>97</v>
      </c>
      <c r="B42">
        <v>7407.2659999999996</v>
      </c>
      <c r="C42">
        <v>329.14100000000002</v>
      </c>
      <c r="D42">
        <v>498.02800000000002</v>
      </c>
      <c r="E42">
        <v>621.76</v>
      </c>
      <c r="F42">
        <v>14.87319186873027</v>
      </c>
      <c r="G42">
        <v>11.913384585692228</v>
      </c>
      <c r="H42">
        <v>0.5131144403158524</v>
      </c>
      <c r="I42">
        <v>0.24844386259407103</v>
      </c>
      <c r="J42">
        <v>416.48600439453128</v>
      </c>
      <c r="K42">
        <v>0.83627025868933325</v>
      </c>
      <c r="L42">
        <v>30.43</v>
      </c>
      <c r="M42">
        <v>6.1100982274089007E-2</v>
      </c>
      <c r="N42">
        <v>150.512</v>
      </c>
      <c r="O42">
        <v>0.30221593966604288</v>
      </c>
      <c r="P42">
        <v>91.647000000000006</v>
      </c>
      <c r="Q42">
        <v>0.18401977398861108</v>
      </c>
      <c r="R42">
        <v>148.13299999999998</v>
      </c>
      <c r="S42">
        <v>0.29743909980964922</v>
      </c>
      <c r="T42">
        <v>123.30200000000001</v>
      </c>
      <c r="U42">
        <v>46.076999999999998</v>
      </c>
      <c r="V42">
        <v>104.562799698118</v>
      </c>
      <c r="W42">
        <v>0.20995365661793713</v>
      </c>
    </row>
    <row r="43" spans="1:23" x14ac:dyDescent="0.2">
      <c r="A43" t="s">
        <v>99</v>
      </c>
      <c r="B43">
        <v>9247.8755000000001</v>
      </c>
      <c r="C43">
        <v>2114.6</v>
      </c>
      <c r="D43">
        <v>2273.2000000000003</v>
      </c>
      <c r="E43">
        <v>2275</v>
      </c>
      <c r="F43">
        <v>4.0682190304416679</v>
      </c>
      <c r="G43">
        <v>4.0650002197802202</v>
      </c>
      <c r="H43">
        <v>7.5002364513383324E-2</v>
      </c>
      <c r="I43">
        <v>7.9183529825788135E-4</v>
      </c>
      <c r="J43">
        <v>1091.2</v>
      </c>
      <c r="K43">
        <v>0.48002815414393801</v>
      </c>
      <c r="L43">
        <v>0</v>
      </c>
      <c r="M43">
        <v>0</v>
      </c>
      <c r="N43" t="s">
        <v>480</v>
      </c>
      <c r="O43" t="e">
        <v>#VALUE!</v>
      </c>
      <c r="P43" t="s">
        <v>480</v>
      </c>
      <c r="Q43" t="e">
        <v>#VALUE!</v>
      </c>
      <c r="R43">
        <v>767.59999999999991</v>
      </c>
      <c r="S43">
        <v>0.33767376385711761</v>
      </c>
      <c r="T43">
        <v>429.3</v>
      </c>
      <c r="U43">
        <v>804.4</v>
      </c>
      <c r="V43">
        <v>426.99656571026196</v>
      </c>
      <c r="W43">
        <v>0.18783941831350603</v>
      </c>
    </row>
    <row r="44" spans="1:23" x14ac:dyDescent="0.2">
      <c r="A44" t="s">
        <v>101</v>
      </c>
      <c r="B44">
        <v>6390.3563999999997</v>
      </c>
      <c r="C44">
        <v>424.44600000000003</v>
      </c>
      <c r="D44">
        <v>661.06700000000001</v>
      </c>
      <c r="E44">
        <v>749.7</v>
      </c>
      <c r="F44">
        <v>9.6667303011646322</v>
      </c>
      <c r="G44">
        <v>8.5238847539015605</v>
      </c>
      <c r="H44">
        <v>0.55748198828590667</v>
      </c>
      <c r="I44">
        <v>0.13407566857822273</v>
      </c>
      <c r="J44">
        <v>364.36000024414062</v>
      </c>
      <c r="K44">
        <v>0.55116954899297743</v>
      </c>
      <c r="L44">
        <v>171.65699999999998</v>
      </c>
      <c r="M44">
        <v>0.25966656934924898</v>
      </c>
      <c r="N44">
        <v>124.117</v>
      </c>
      <c r="O44">
        <v>0.18775252735350578</v>
      </c>
      <c r="P44">
        <v>75.915999999999997</v>
      </c>
      <c r="Q44">
        <v>0.11483858670906277</v>
      </c>
      <c r="R44">
        <v>28.280999999999985</v>
      </c>
      <c r="S44">
        <v>4.2780837645805925E-2</v>
      </c>
      <c r="T44">
        <v>131.27800000000002</v>
      </c>
      <c r="U44">
        <v>437.14</v>
      </c>
      <c r="V44">
        <v>35.34196</v>
      </c>
      <c r="W44">
        <v>5.3461994018760582E-2</v>
      </c>
    </row>
    <row r="45" spans="1:23" x14ac:dyDescent="0.2">
      <c r="A45" t="s">
        <v>105</v>
      </c>
      <c r="B45">
        <v>6894.6152000000002</v>
      </c>
      <c r="C45">
        <v>472.34399999999999</v>
      </c>
      <c r="D45">
        <v>499.51400000000001</v>
      </c>
      <c r="E45">
        <v>548.56299999999999</v>
      </c>
      <c r="F45">
        <v>13.80264657246844</v>
      </c>
      <c r="G45">
        <v>12.568502068130735</v>
      </c>
      <c r="H45">
        <v>5.7521636773199228E-2</v>
      </c>
      <c r="I45">
        <v>9.8193444027594667E-2</v>
      </c>
      <c r="J45">
        <v>448.87000836181642</v>
      </c>
      <c r="K45">
        <v>0.89861346901551586</v>
      </c>
      <c r="L45">
        <v>82.075999999999993</v>
      </c>
      <c r="M45">
        <v>0.16431171098307554</v>
      </c>
      <c r="N45">
        <v>101.077</v>
      </c>
      <c r="O45">
        <v>0.20235068486568944</v>
      </c>
      <c r="P45">
        <v>56.076000000000001</v>
      </c>
      <c r="Q45">
        <v>0.11226111780650792</v>
      </c>
      <c r="R45">
        <v>218.595</v>
      </c>
      <c r="S45">
        <v>0.43761536213199226</v>
      </c>
      <c r="T45">
        <v>199.48799999999997</v>
      </c>
      <c r="U45">
        <v>96.164999999999992</v>
      </c>
      <c r="V45">
        <v>150.27254635458399</v>
      </c>
      <c r="W45">
        <v>0.30083750676574428</v>
      </c>
    </row>
    <row r="46" spans="1:23" x14ac:dyDescent="0.2">
      <c r="A46" t="s">
        <v>107</v>
      </c>
      <c r="B46">
        <v>6236.2366000000002</v>
      </c>
      <c r="C46">
        <v>503.41</v>
      </c>
      <c r="D46">
        <v>1155.4570000000001</v>
      </c>
      <c r="E46">
        <v>1366.1669999999999</v>
      </c>
      <c r="F46">
        <v>5.397203530724207</v>
      </c>
      <c r="G46">
        <v>4.5647688752546358</v>
      </c>
      <c r="H46">
        <v>1.2952603245863212</v>
      </c>
      <c r="I46">
        <v>0.18236074557512727</v>
      </c>
      <c r="J46">
        <v>769.42700024414057</v>
      </c>
      <c r="K46">
        <v>0.66590708286343891</v>
      </c>
      <c r="L46">
        <v>313.77699999999999</v>
      </c>
      <c r="M46">
        <v>0.27156094947713327</v>
      </c>
      <c r="N46">
        <v>649.65700000000004</v>
      </c>
      <c r="O46">
        <v>0.56225112661050991</v>
      </c>
      <c r="P46">
        <v>86.400999999999996</v>
      </c>
      <c r="Q46">
        <v>7.4776473724249351E-2</v>
      </c>
      <c r="R46">
        <v>-222.005860759494</v>
      </c>
      <c r="S46">
        <v>-0.19213684348227064</v>
      </c>
      <c r="T46">
        <v>58.033000000000001</v>
      </c>
      <c r="U46">
        <v>305.97499999999997</v>
      </c>
      <c r="V46">
        <v>-290.7982245</v>
      </c>
      <c r="W46">
        <v>-0.25167377453250095</v>
      </c>
    </row>
    <row r="47" spans="1:23" x14ac:dyDescent="0.2">
      <c r="A47" t="s">
        <v>109</v>
      </c>
      <c r="B47">
        <v>9733.1316000000006</v>
      </c>
      <c r="C47">
        <v>3373.3870000000002</v>
      </c>
      <c r="D47">
        <v>3755.2129999999997</v>
      </c>
      <c r="E47">
        <v>3945.0750000000003</v>
      </c>
      <c r="F47">
        <v>2.5918986752549058</v>
      </c>
      <c r="G47">
        <v>2.4671600920134598</v>
      </c>
      <c r="H47">
        <v>0.11318772497789301</v>
      </c>
      <c r="I47">
        <v>5.0559582106261436E-2</v>
      </c>
      <c r="J47">
        <v>1077.0209764404296</v>
      </c>
      <c r="K47">
        <v>0.28680689389401604</v>
      </c>
      <c r="L47">
        <v>0</v>
      </c>
      <c r="M47">
        <v>0</v>
      </c>
      <c r="N47" t="s">
        <v>480</v>
      </c>
      <c r="O47" t="e">
        <v>#VALUE!</v>
      </c>
      <c r="P47" t="s">
        <v>480</v>
      </c>
      <c r="Q47" t="e">
        <v>#VALUE!</v>
      </c>
      <c r="R47">
        <v>972.27599999999995</v>
      </c>
      <c r="S47">
        <v>0.2589136754692743</v>
      </c>
      <c r="T47">
        <v>478.452</v>
      </c>
      <c r="U47">
        <v>361.38099999999997</v>
      </c>
      <c r="V47">
        <v>307.796316586464</v>
      </c>
      <c r="W47">
        <v>8.1965075372945298E-2</v>
      </c>
    </row>
    <row r="48" spans="1:23" x14ac:dyDescent="0.2">
      <c r="A48" t="s">
        <v>113</v>
      </c>
      <c r="B48">
        <v>5616.1094999999996</v>
      </c>
      <c r="C48">
        <v>311.99900000000002</v>
      </c>
      <c r="D48">
        <v>507.88499999999999</v>
      </c>
      <c r="E48">
        <v>667.96900000000005</v>
      </c>
      <c r="F48">
        <v>11.057836911899347</v>
      </c>
      <c r="G48">
        <v>8.4077397304365906</v>
      </c>
      <c r="H48">
        <v>0.62784175590306368</v>
      </c>
      <c r="I48">
        <v>0.31519733798005456</v>
      </c>
      <c r="J48">
        <v>356.01800524902342</v>
      </c>
      <c r="K48">
        <v>0.70098153174246813</v>
      </c>
      <c r="L48">
        <v>115.291</v>
      </c>
      <c r="M48">
        <v>0.2270021756893785</v>
      </c>
      <c r="N48">
        <v>220.74199999999999</v>
      </c>
      <c r="O48">
        <v>0.43462988668694685</v>
      </c>
      <c r="P48">
        <v>81.680000000000007</v>
      </c>
      <c r="Q48">
        <v>0.1608238085393347</v>
      </c>
      <c r="R48">
        <v>-86.045139240506003</v>
      </c>
      <c r="S48">
        <v>-0.16941854797937722</v>
      </c>
      <c r="T48">
        <v>35.010000000000005</v>
      </c>
      <c r="U48">
        <v>109.36999999999999</v>
      </c>
      <c r="V48">
        <v>-115.405</v>
      </c>
      <c r="W48">
        <v>-0.22722663595105191</v>
      </c>
    </row>
    <row r="49" spans="1:23" x14ac:dyDescent="0.2">
      <c r="A49" t="s">
        <v>115</v>
      </c>
      <c r="B49">
        <v>5688.8769000000002</v>
      </c>
      <c r="C49">
        <v>379.72399999999999</v>
      </c>
      <c r="D49">
        <v>581.47399999999993</v>
      </c>
      <c r="E49">
        <v>724.625</v>
      </c>
      <c r="F49">
        <v>9.7835447500662127</v>
      </c>
      <c r="G49">
        <v>7.8507875107814389</v>
      </c>
      <c r="H49">
        <v>0.53130694925788191</v>
      </c>
      <c r="I49">
        <v>0.24618641590165691</v>
      </c>
      <c r="J49">
        <v>443.33000299072262</v>
      </c>
      <c r="K49">
        <v>0.762424464362504</v>
      </c>
      <c r="L49">
        <v>75.147999999999996</v>
      </c>
      <c r="M49">
        <v>0.12923707680824939</v>
      </c>
      <c r="N49">
        <v>260.06900000000002</v>
      </c>
      <c r="O49">
        <v>0.44725817491409769</v>
      </c>
      <c r="P49">
        <v>72.313000000000002</v>
      </c>
      <c r="Q49">
        <v>0.1243615363713597</v>
      </c>
      <c r="R49">
        <v>1.981681596884</v>
      </c>
      <c r="S49">
        <v>3.4080313081651117E-3</v>
      </c>
      <c r="T49">
        <v>27.823</v>
      </c>
      <c r="U49">
        <v>181.19199999999998</v>
      </c>
      <c r="V49">
        <v>-22.126999999999999</v>
      </c>
      <c r="W49">
        <v>-3.8053292150637866E-2</v>
      </c>
    </row>
    <row r="50" spans="1:23" x14ac:dyDescent="0.2">
      <c r="A50" t="s">
        <v>117</v>
      </c>
      <c r="B50">
        <v>6521.5419000000002</v>
      </c>
      <c r="C50">
        <v>881.35599999999999</v>
      </c>
      <c r="D50">
        <v>1005.8890000000001</v>
      </c>
      <c r="E50">
        <v>1083.6669999999999</v>
      </c>
      <c r="F50">
        <v>6.4833613848048834</v>
      </c>
      <c r="G50">
        <v>6.0180312771358739</v>
      </c>
      <c r="H50">
        <v>0.14129704682330424</v>
      </c>
      <c r="I50">
        <v>7.732264693221591E-2</v>
      </c>
      <c r="J50">
        <v>699.41901611328126</v>
      </c>
      <c r="K50">
        <v>0.69532425159563449</v>
      </c>
      <c r="L50">
        <v>110.86999999999999</v>
      </c>
      <c r="M50">
        <v>0.11022090906650732</v>
      </c>
      <c r="N50" t="s">
        <v>480</v>
      </c>
      <c r="O50" t="e">
        <v>#VALUE!</v>
      </c>
      <c r="P50" t="s">
        <v>480</v>
      </c>
      <c r="Q50" t="e">
        <v>#VALUE!</v>
      </c>
      <c r="R50">
        <v>228.197</v>
      </c>
      <c r="S50">
        <v>0.2268610154798392</v>
      </c>
      <c r="T50">
        <v>191.75299999999999</v>
      </c>
      <c r="U50">
        <v>90.022999999999996</v>
      </c>
      <c r="V50">
        <v>130.87135000000001</v>
      </c>
      <c r="W50">
        <v>0.13010516070858713</v>
      </c>
    </row>
    <row r="51" spans="1:23" x14ac:dyDescent="0.2">
      <c r="A51" t="s">
        <v>119</v>
      </c>
      <c r="B51">
        <v>5499.3319000000001</v>
      </c>
      <c r="C51">
        <v>1958.615</v>
      </c>
      <c r="D51">
        <v>2491.8389999999999</v>
      </c>
      <c r="E51">
        <v>2815.54</v>
      </c>
      <c r="F51">
        <v>2.2069370854216506</v>
      </c>
      <c r="G51">
        <v>1.9532068093509594</v>
      </c>
      <c r="H51">
        <v>0.27224543874115126</v>
      </c>
      <c r="I51">
        <v>0.12990446011961443</v>
      </c>
      <c r="J51">
        <v>1021.3030059814453</v>
      </c>
      <c r="K51">
        <v>0.40985914659070882</v>
      </c>
      <c r="L51">
        <v>0</v>
      </c>
      <c r="M51">
        <v>0</v>
      </c>
      <c r="N51" t="s">
        <v>480</v>
      </c>
      <c r="O51" t="e">
        <v>#VALUE!</v>
      </c>
      <c r="P51" t="s">
        <v>480</v>
      </c>
      <c r="Q51" t="e">
        <v>#VALUE!</v>
      </c>
      <c r="R51">
        <v>464.61600000000004</v>
      </c>
      <c r="S51">
        <v>0.18645506391062988</v>
      </c>
      <c r="T51">
        <v>165.20499999999998</v>
      </c>
      <c r="U51">
        <v>819.14400000000001</v>
      </c>
      <c r="V51">
        <v>221.308428571429</v>
      </c>
      <c r="W51">
        <v>8.8813293544016694E-2</v>
      </c>
    </row>
    <row r="52" spans="1:23" x14ac:dyDescent="0.2">
      <c r="A52" t="s">
        <v>121</v>
      </c>
      <c r="B52">
        <v>6190.1469999999999</v>
      </c>
      <c r="C52">
        <v>2570.7559999999999</v>
      </c>
      <c r="D52">
        <v>2860.71</v>
      </c>
      <c r="E52">
        <v>3102.7919999999999</v>
      </c>
      <c r="F52">
        <v>2.1638498834205495</v>
      </c>
      <c r="G52">
        <v>1.9950248034673288</v>
      </c>
      <c r="H52">
        <v>0.11278938958034142</v>
      </c>
      <c r="I52">
        <v>8.4623048124416567E-2</v>
      </c>
      <c r="J52">
        <v>1068.4139918212891</v>
      </c>
      <c r="K52">
        <v>0.37347860909399733</v>
      </c>
      <c r="L52">
        <v>0</v>
      </c>
      <c r="M52">
        <v>0</v>
      </c>
      <c r="N52" t="s">
        <v>480</v>
      </c>
      <c r="O52" t="e">
        <v>#VALUE!</v>
      </c>
      <c r="P52" t="s">
        <v>480</v>
      </c>
      <c r="Q52" t="e">
        <v>#VALUE!</v>
      </c>
      <c r="R52">
        <v>407.05099999999999</v>
      </c>
      <c r="S52">
        <v>0.14229020068444545</v>
      </c>
      <c r="T52">
        <v>229.39300000000003</v>
      </c>
      <c r="U52">
        <v>504.46799999999996</v>
      </c>
      <c r="V52">
        <v>271.84730999999999</v>
      </c>
      <c r="W52">
        <v>9.5027916146690858E-2</v>
      </c>
    </row>
    <row r="53" spans="1:23" x14ac:dyDescent="0.2">
      <c r="A53" t="s">
        <v>123</v>
      </c>
      <c r="B53">
        <v>5264.8521000000001</v>
      </c>
      <c r="C53">
        <v>568.12800000000004</v>
      </c>
      <c r="D53">
        <v>774.29099999999994</v>
      </c>
      <c r="E53">
        <v>940.42899999999997</v>
      </c>
      <c r="F53">
        <v>6.7995780656109917</v>
      </c>
      <c r="G53">
        <v>5.5983514970295474</v>
      </c>
      <c r="H53">
        <v>0.36288125211219985</v>
      </c>
      <c r="I53">
        <v>0.21456790793125591</v>
      </c>
      <c r="J53">
        <v>470.14299932861331</v>
      </c>
      <c r="K53">
        <v>0.60719161055548021</v>
      </c>
      <c r="L53">
        <v>89.451999999999998</v>
      </c>
      <c r="M53">
        <v>0.11552762462691676</v>
      </c>
      <c r="N53">
        <v>165.07900000000001</v>
      </c>
      <c r="O53">
        <v>0.21320020509085089</v>
      </c>
      <c r="P53">
        <v>112.97499999999999</v>
      </c>
      <c r="Q53">
        <v>0.14590767553800832</v>
      </c>
      <c r="R53">
        <v>151.96100000000001</v>
      </c>
      <c r="S53">
        <v>0.19625825432557015</v>
      </c>
      <c r="T53">
        <v>117.538</v>
      </c>
      <c r="U53">
        <v>69.343000000000004</v>
      </c>
      <c r="V53">
        <v>39.375608755979997</v>
      </c>
      <c r="W53">
        <v>5.0853760092755822E-2</v>
      </c>
    </row>
    <row r="54" spans="1:23" x14ac:dyDescent="0.2">
      <c r="A54" t="s">
        <v>127</v>
      </c>
      <c r="B54">
        <v>5177.2318999999998</v>
      </c>
      <c r="C54">
        <v>375.49599999999998</v>
      </c>
      <c r="D54">
        <v>614.04600000000005</v>
      </c>
      <c r="E54">
        <v>792.19399999999996</v>
      </c>
      <c r="F54">
        <v>8.4313421144344218</v>
      </c>
      <c r="G54">
        <v>6.5353081442171996</v>
      </c>
      <c r="H54">
        <v>0.63529305238937317</v>
      </c>
      <c r="I54">
        <v>0.29012158698208257</v>
      </c>
      <c r="J54">
        <v>439.7080033569336</v>
      </c>
      <c r="K54">
        <v>0.71608316536046746</v>
      </c>
      <c r="L54">
        <v>129.803</v>
      </c>
      <c r="M54">
        <v>0.21138970044589492</v>
      </c>
      <c r="N54">
        <v>258.83699999999999</v>
      </c>
      <c r="O54">
        <v>0.42152705171925225</v>
      </c>
      <c r="P54">
        <v>52.734999999999999</v>
      </c>
      <c r="Q54">
        <v>8.5881188054315147E-2</v>
      </c>
      <c r="R54">
        <v>-23.048000000000005</v>
      </c>
      <c r="S54">
        <v>-3.7534647241411888E-2</v>
      </c>
      <c r="T54">
        <v>136.89599999999999</v>
      </c>
      <c r="U54">
        <v>286.072</v>
      </c>
      <c r="V54">
        <v>-78.538188416806008</v>
      </c>
      <c r="W54">
        <v>-0.12790277669230971</v>
      </c>
    </row>
    <row r="55" spans="1:23" x14ac:dyDescent="0.2">
      <c r="A55" t="s">
        <v>129</v>
      </c>
      <c r="B55">
        <v>4738.1673000000001</v>
      </c>
      <c r="C55">
        <v>270.96699999999998</v>
      </c>
      <c r="D55">
        <v>441.399</v>
      </c>
      <c r="E55">
        <v>558.06700000000001</v>
      </c>
      <c r="F55">
        <v>10.734431432785303</v>
      </c>
      <c r="G55">
        <v>8.490319800310715</v>
      </c>
      <c r="H55">
        <v>0.62897696029405803</v>
      </c>
      <c r="I55">
        <v>0.26431414661111607</v>
      </c>
      <c r="J55">
        <v>354.10500488281252</v>
      </c>
      <c r="K55">
        <v>0.80223336455862504</v>
      </c>
      <c r="L55">
        <v>70.37299999999999</v>
      </c>
      <c r="M55">
        <v>0.15943171597579511</v>
      </c>
      <c r="N55">
        <v>212.85900000000001</v>
      </c>
      <c r="O55">
        <v>0.48223715957670954</v>
      </c>
      <c r="P55">
        <v>56.786999999999999</v>
      </c>
      <c r="Q55">
        <v>0.12865230777595779</v>
      </c>
      <c r="R55">
        <v>-24.503810126582</v>
      </c>
      <c r="S55">
        <v>-5.5513968374604379E-2</v>
      </c>
      <c r="T55">
        <v>43.858999999999995</v>
      </c>
      <c r="U55">
        <v>87.679999999999993</v>
      </c>
      <c r="V55">
        <v>-55.844099999999997</v>
      </c>
      <c r="W55">
        <v>-0.1265161452563327</v>
      </c>
    </row>
    <row r="56" spans="1:23" x14ac:dyDescent="0.2">
      <c r="A56" t="s">
        <v>131</v>
      </c>
      <c r="B56">
        <v>3355.8386999999998</v>
      </c>
      <c r="C56">
        <v>2160</v>
      </c>
      <c r="D56">
        <v>882</v>
      </c>
      <c r="E56">
        <v>905.96699999999998</v>
      </c>
      <c r="F56">
        <v>3.8048057823129251</v>
      </c>
      <c r="G56">
        <v>3.7041511445781135</v>
      </c>
      <c r="H56">
        <v>-0.59166666666666667</v>
      </c>
      <c r="I56">
        <v>2.7173469387755E-2</v>
      </c>
      <c r="J56">
        <v>675</v>
      </c>
      <c r="K56">
        <v>0.76530612244897955</v>
      </c>
      <c r="L56">
        <v>239</v>
      </c>
      <c r="M56">
        <v>0.27097505668934241</v>
      </c>
      <c r="N56">
        <v>0</v>
      </c>
      <c r="O56">
        <v>0</v>
      </c>
      <c r="P56" t="s">
        <v>480</v>
      </c>
      <c r="Q56" t="e">
        <v>#VALUE!</v>
      </c>
      <c r="R56">
        <v>74</v>
      </c>
      <c r="S56">
        <v>8.390022675736962E-2</v>
      </c>
      <c r="T56">
        <v>-159</v>
      </c>
      <c r="U56">
        <v>816</v>
      </c>
      <c r="V56">
        <v>-68.715000000000003</v>
      </c>
      <c r="W56">
        <v>-7.7908163265306127E-2</v>
      </c>
    </row>
    <row r="57" spans="1:23" x14ac:dyDescent="0.2">
      <c r="A57" t="s">
        <v>133</v>
      </c>
      <c r="B57">
        <v>6274.3391000000001</v>
      </c>
      <c r="C57">
        <v>704.2</v>
      </c>
      <c r="D57">
        <v>750.7</v>
      </c>
      <c r="E57">
        <v>763.30000000000007</v>
      </c>
      <c r="F57">
        <v>8.3579846809644334</v>
      </c>
      <c r="G57">
        <v>8.2200171623214988</v>
      </c>
      <c r="H57">
        <v>6.6032377165577957E-2</v>
      </c>
      <c r="I57">
        <v>1.6784334621020358E-2</v>
      </c>
      <c r="J57">
        <v>293.00000000000006</v>
      </c>
      <c r="K57">
        <v>0.39030238444118825</v>
      </c>
      <c r="L57">
        <v>0</v>
      </c>
      <c r="M57">
        <v>0</v>
      </c>
      <c r="N57" t="s">
        <v>480</v>
      </c>
      <c r="O57" t="e">
        <v>#VALUE!</v>
      </c>
      <c r="P57" t="s">
        <v>480</v>
      </c>
      <c r="Q57" t="e">
        <v>#VALUE!</v>
      </c>
      <c r="R57">
        <v>90.5</v>
      </c>
      <c r="S57">
        <v>0.12055414946050352</v>
      </c>
      <c r="T57">
        <v>-90.6</v>
      </c>
      <c r="U57">
        <v>99.6</v>
      </c>
      <c r="V57">
        <v>-9.1999999999999993</v>
      </c>
      <c r="W57">
        <v>-1.2255228453443451E-2</v>
      </c>
    </row>
    <row r="58" spans="1:23" x14ac:dyDescent="0.2">
      <c r="A58" t="s">
        <v>135</v>
      </c>
      <c r="B58">
        <v>6727.3046000000004</v>
      </c>
      <c r="C58">
        <v>1948.903</v>
      </c>
      <c r="D58">
        <v>2007.8210000000001</v>
      </c>
      <c r="E58">
        <v>2103.1669999999999</v>
      </c>
      <c r="F58">
        <v>3.3505499743254004</v>
      </c>
      <c r="G58">
        <v>3.1986545053245892</v>
      </c>
      <c r="H58">
        <v>3.0231366055673434E-2</v>
      </c>
      <c r="I58">
        <v>4.7487300909792252E-2</v>
      </c>
      <c r="J58">
        <v>1132.4420061035157</v>
      </c>
      <c r="K58">
        <v>0.56401542074891919</v>
      </c>
      <c r="L58">
        <v>266.09699999999998</v>
      </c>
      <c r="M58">
        <v>0.13253024049454606</v>
      </c>
      <c r="N58">
        <v>398.13</v>
      </c>
      <c r="O58">
        <v>0.19828958856392076</v>
      </c>
      <c r="P58">
        <v>166.67699999999999</v>
      </c>
      <c r="Q58">
        <v>8.3013874244765834E-2</v>
      </c>
      <c r="R58">
        <v>344.83600000000001</v>
      </c>
      <c r="S58">
        <v>0.17174638575849141</v>
      </c>
      <c r="T58">
        <v>395.58100000000002</v>
      </c>
      <c r="U58">
        <v>315.96299999999997</v>
      </c>
      <c r="V58">
        <v>21.322419709094</v>
      </c>
      <c r="W58">
        <v>1.0619681589690514E-2</v>
      </c>
    </row>
    <row r="59" spans="1:23" x14ac:dyDescent="0.2">
      <c r="A59" t="s">
        <v>137</v>
      </c>
      <c r="B59">
        <v>4436.8191999999999</v>
      </c>
      <c r="C59">
        <v>181.309</v>
      </c>
      <c r="D59">
        <v>383.18099999999998</v>
      </c>
      <c r="E59">
        <v>489.97500000000002</v>
      </c>
      <c r="F59">
        <v>11.578912315589761</v>
      </c>
      <c r="G59">
        <v>9.0551950609724976</v>
      </c>
      <c r="H59">
        <v>1.1134141162325091</v>
      </c>
      <c r="I59">
        <v>0.27870379794405276</v>
      </c>
      <c r="J59">
        <v>318.38299798583984</v>
      </c>
      <c r="K59">
        <v>0.83089453283393444</v>
      </c>
      <c r="L59">
        <v>74.331999999999994</v>
      </c>
      <c r="M59">
        <v>0.1939866538267816</v>
      </c>
      <c r="N59">
        <v>207.02099999999999</v>
      </c>
      <c r="O59">
        <v>0.54026948100245054</v>
      </c>
      <c r="P59">
        <v>57.787999999999997</v>
      </c>
      <c r="Q59">
        <v>0.1508112354213805</v>
      </c>
      <c r="R59">
        <v>-2.2589999999999986</v>
      </c>
      <c r="S59">
        <v>-5.8953862534937762E-3</v>
      </c>
      <c r="T59">
        <v>49.615000000000009</v>
      </c>
      <c r="U59">
        <v>132.47900000000001</v>
      </c>
      <c r="V59">
        <v>-33.405200000000001</v>
      </c>
      <c r="W59">
        <v>-8.7178644035064382E-2</v>
      </c>
    </row>
    <row r="60" spans="1:23" x14ac:dyDescent="0.2">
      <c r="A60" t="s">
        <v>139</v>
      </c>
      <c r="B60">
        <v>4485.9957999999997</v>
      </c>
      <c r="C60">
        <v>280.87400000000002</v>
      </c>
      <c r="D60">
        <v>509.43599999999998</v>
      </c>
      <c r="E60">
        <v>735.4</v>
      </c>
      <c r="F60">
        <v>8.8058083841738704</v>
      </c>
      <c r="G60">
        <v>6.1000758770737011</v>
      </c>
      <c r="H60">
        <v>0.81375278594672318</v>
      </c>
      <c r="I60">
        <v>0.44355718873420802</v>
      </c>
      <c r="J60">
        <v>281.04199999999997</v>
      </c>
      <c r="K60">
        <v>0.55167283034571557</v>
      </c>
      <c r="L60">
        <v>160.947</v>
      </c>
      <c r="M60">
        <v>0.31593173627305493</v>
      </c>
      <c r="N60">
        <v>221.18700000000001</v>
      </c>
      <c r="O60">
        <v>0.43418015216828026</v>
      </c>
      <c r="P60">
        <v>67.203999999999994</v>
      </c>
      <c r="Q60">
        <v>0.13191843528922179</v>
      </c>
      <c r="R60">
        <v>-146.059</v>
      </c>
      <c r="S60">
        <v>-0.2867072605783651</v>
      </c>
      <c r="T60">
        <v>-129.36799999999999</v>
      </c>
      <c r="U60">
        <v>73.012</v>
      </c>
      <c r="V60">
        <v>-163.51499999999999</v>
      </c>
      <c r="W60">
        <v>-0.32097260499846886</v>
      </c>
    </row>
    <row r="61" spans="1:23" x14ac:dyDescent="0.2">
      <c r="A61" t="s">
        <v>147</v>
      </c>
      <c r="B61">
        <v>3887.6603</v>
      </c>
      <c r="C61">
        <v>750.26599999999996</v>
      </c>
      <c r="D61">
        <v>851.31600000000003</v>
      </c>
      <c r="E61">
        <v>927.80000000000007</v>
      </c>
      <c r="F61">
        <v>4.5666477547702611</v>
      </c>
      <c r="G61">
        <v>4.1901921750377236</v>
      </c>
      <c r="H61">
        <v>0.1346855648529989</v>
      </c>
      <c r="I61">
        <v>8.9842079791757845E-2</v>
      </c>
      <c r="J61">
        <v>558.17699633789061</v>
      </c>
      <c r="K61">
        <v>0.65566369754343934</v>
      </c>
      <c r="L61">
        <v>162.886</v>
      </c>
      <c r="M61">
        <v>0.19133435762983428</v>
      </c>
      <c r="N61">
        <v>307.20999999999998</v>
      </c>
      <c r="O61">
        <v>0.36086482575212958</v>
      </c>
      <c r="P61">
        <v>52.152999999999999</v>
      </c>
      <c r="Q61">
        <v>6.1261623181051453E-2</v>
      </c>
      <c r="R61">
        <v>16.656999999999996</v>
      </c>
      <c r="S61">
        <v>1.9566177541594419E-2</v>
      </c>
      <c r="T61">
        <v>106.762</v>
      </c>
      <c r="U61">
        <v>162.279</v>
      </c>
      <c r="V61">
        <v>16.697999999999997</v>
      </c>
      <c r="W61">
        <v>1.9614338271570129E-2</v>
      </c>
    </row>
    <row r="62" spans="1:23" x14ac:dyDescent="0.2">
      <c r="A62" t="s">
        <v>149</v>
      </c>
      <c r="B62">
        <v>5314.2241999999997</v>
      </c>
      <c r="C62">
        <v>6408</v>
      </c>
      <c r="D62">
        <v>5780</v>
      </c>
      <c r="E62">
        <v>5298.5830000000005</v>
      </c>
      <c r="F62">
        <v>0.91941595155709332</v>
      </c>
      <c r="G62">
        <v>1.0029519590426343</v>
      </c>
      <c r="H62">
        <v>-9.8002496878901377E-2</v>
      </c>
      <c r="I62">
        <v>-8.3290138408304459E-2</v>
      </c>
      <c r="J62">
        <v>1057</v>
      </c>
      <c r="K62">
        <v>0.1828719723183391</v>
      </c>
      <c r="L62">
        <v>13</v>
      </c>
      <c r="M62">
        <v>2.249134948096886E-3</v>
      </c>
      <c r="N62" t="s">
        <v>480</v>
      </c>
      <c r="O62" t="e">
        <v>#VALUE!</v>
      </c>
      <c r="P62" t="s">
        <v>480</v>
      </c>
      <c r="Q62" t="e">
        <v>#VALUE!</v>
      </c>
      <c r="R62">
        <v>689</v>
      </c>
      <c r="S62">
        <v>0.11920415224913494</v>
      </c>
      <c r="T62">
        <v>76</v>
      </c>
      <c r="U62">
        <v>658</v>
      </c>
      <c r="V62">
        <v>34.552340425531995</v>
      </c>
      <c r="W62">
        <v>5.9779135684311412E-3</v>
      </c>
    </row>
    <row r="63" spans="1:23" x14ac:dyDescent="0.2">
      <c r="A63" t="s">
        <v>151</v>
      </c>
      <c r="B63">
        <v>3967.4378999999999</v>
      </c>
      <c r="C63">
        <v>2403.36</v>
      </c>
      <c r="D63">
        <v>2454.6930000000002</v>
      </c>
      <c r="E63">
        <v>2523.6790000000001</v>
      </c>
      <c r="F63">
        <v>1.6162664333177303</v>
      </c>
      <c r="G63">
        <v>1.5720849997166835</v>
      </c>
      <c r="H63">
        <v>2.1358847613341357E-2</v>
      </c>
      <c r="I63">
        <v>2.8103718061688321E-2</v>
      </c>
      <c r="J63">
        <v>618.02799414062497</v>
      </c>
      <c r="K63">
        <v>0.25177404838023532</v>
      </c>
      <c r="L63">
        <v>0</v>
      </c>
      <c r="M63">
        <v>0</v>
      </c>
      <c r="N63" t="s">
        <v>480</v>
      </c>
      <c r="O63" t="e">
        <v>#VALUE!</v>
      </c>
      <c r="P63" t="s">
        <v>480</v>
      </c>
      <c r="Q63" t="e">
        <v>#VALUE!</v>
      </c>
      <c r="R63">
        <v>376.36900000000003</v>
      </c>
      <c r="S63">
        <v>0.1533263019041485</v>
      </c>
      <c r="T63">
        <v>297.005</v>
      </c>
      <c r="U63">
        <v>349.245</v>
      </c>
      <c r="V63">
        <v>229.65975</v>
      </c>
      <c r="W63">
        <v>9.3559459370275627E-2</v>
      </c>
    </row>
    <row r="64" spans="1:23" x14ac:dyDescent="0.2">
      <c r="A64" t="s">
        <v>153</v>
      </c>
      <c r="B64">
        <v>4064.2968000000001</v>
      </c>
      <c r="C64">
        <v>336.06799999999998</v>
      </c>
      <c r="D64">
        <v>1130.17</v>
      </c>
      <c r="E64">
        <v>1221.8890000000001</v>
      </c>
      <c r="F64">
        <v>3.5961818133555128</v>
      </c>
      <c r="G64">
        <v>3.3262405995961988</v>
      </c>
      <c r="H64">
        <v>2.3629205994025022</v>
      </c>
      <c r="I64">
        <v>8.1155047470734543E-2</v>
      </c>
      <c r="J64">
        <v>883.36700305175782</v>
      </c>
      <c r="K64">
        <v>0.78162312134613177</v>
      </c>
      <c r="L64">
        <v>156.73099999999999</v>
      </c>
      <c r="M64">
        <v>0.13867913676703503</v>
      </c>
      <c r="N64">
        <v>346.96100000000001</v>
      </c>
      <c r="O64">
        <v>0.30699894706106162</v>
      </c>
      <c r="P64">
        <v>160.36600000000001</v>
      </c>
      <c r="Q64">
        <v>0.1418954670536291</v>
      </c>
      <c r="R64">
        <v>389.65500000000003</v>
      </c>
      <c r="S64">
        <v>0.34477556473804827</v>
      </c>
      <c r="T64">
        <v>328.89800000000002</v>
      </c>
      <c r="U64">
        <v>252.40199999999999</v>
      </c>
      <c r="V64">
        <v>85.247472264912005</v>
      </c>
      <c r="W64">
        <v>7.5428893232798611E-2</v>
      </c>
    </row>
    <row r="65" spans="1:23" x14ac:dyDescent="0.2">
      <c r="A65" t="s">
        <v>155</v>
      </c>
      <c r="B65">
        <v>3256.0626999999999</v>
      </c>
      <c r="C65">
        <v>83.677999999999997</v>
      </c>
      <c r="D65">
        <v>219.095</v>
      </c>
      <c r="E65">
        <v>265.79300000000001</v>
      </c>
      <c r="F65">
        <v>14.861419475569958</v>
      </c>
      <c r="G65">
        <v>12.250370401026363</v>
      </c>
      <c r="H65">
        <v>1.6183106670809533</v>
      </c>
      <c r="I65">
        <v>0.21314041853990284</v>
      </c>
      <c r="J65">
        <v>150.86900170898437</v>
      </c>
      <c r="K65">
        <v>0.68860084305431146</v>
      </c>
      <c r="L65">
        <v>44.536000000000001</v>
      </c>
      <c r="M65">
        <v>0.20327255300212238</v>
      </c>
      <c r="N65">
        <v>88.721999999999994</v>
      </c>
      <c r="O65">
        <v>0.40494762545927565</v>
      </c>
      <c r="P65">
        <v>38.578000000000003</v>
      </c>
      <c r="Q65">
        <v>0.17607886989662019</v>
      </c>
      <c r="R65">
        <v>-34.963000000000001</v>
      </c>
      <c r="S65">
        <v>-0.15957917798215387</v>
      </c>
      <c r="T65">
        <v>20.446999999999996</v>
      </c>
      <c r="U65">
        <v>412.90299999999996</v>
      </c>
      <c r="V65">
        <v>-49.332999999999998</v>
      </c>
      <c r="W65">
        <v>-0.22516716492845568</v>
      </c>
    </row>
    <row r="66" spans="1:23" x14ac:dyDescent="0.2">
      <c r="A66" t="s">
        <v>157</v>
      </c>
      <c r="B66">
        <v>4272.2191999999995</v>
      </c>
      <c r="C66">
        <v>874.255</v>
      </c>
      <c r="D66">
        <v>1158.5079999999998</v>
      </c>
      <c r="E66">
        <v>1252.3330000000001</v>
      </c>
      <c r="F66">
        <v>3.6876907194425934</v>
      </c>
      <c r="G66">
        <v>3.4114083075348165</v>
      </c>
      <c r="H66">
        <v>0.3251374027028725</v>
      </c>
      <c r="I66">
        <v>8.0987787740784078E-2</v>
      </c>
      <c r="J66">
        <v>974.26899780273436</v>
      </c>
      <c r="K66">
        <v>0.84096872684757851</v>
      </c>
      <c r="L66">
        <v>46.003999999999998</v>
      </c>
      <c r="M66">
        <v>3.9709695573962374E-2</v>
      </c>
      <c r="N66">
        <v>330.29599999999999</v>
      </c>
      <c r="O66">
        <v>0.28510463458172064</v>
      </c>
      <c r="P66">
        <v>323.517</v>
      </c>
      <c r="Q66">
        <v>0.27925314283544012</v>
      </c>
      <c r="R66">
        <v>412.85069230769199</v>
      </c>
      <c r="S66">
        <v>0.35636412722889443</v>
      </c>
      <c r="T66">
        <v>324.49900000000002</v>
      </c>
      <c r="U66">
        <v>350.94499999999999</v>
      </c>
      <c r="V66">
        <v>150.78399999999999</v>
      </c>
      <c r="W66">
        <v>0.1301536113691058</v>
      </c>
    </row>
    <row r="67" spans="1:23" x14ac:dyDescent="0.2">
      <c r="A67" t="s">
        <v>159</v>
      </c>
      <c r="B67">
        <v>5315.9659000000001</v>
      </c>
      <c r="C67">
        <v>1952.557</v>
      </c>
      <c r="D67">
        <v>1870.5889999999999</v>
      </c>
      <c r="E67">
        <v>1850.3410000000001</v>
      </c>
      <c r="F67">
        <v>2.8418674011233898</v>
      </c>
      <c r="G67">
        <v>2.8729655236521268</v>
      </c>
      <c r="H67">
        <v>-4.1979824404614091E-2</v>
      </c>
      <c r="I67">
        <v>-1.0824398090654719E-2</v>
      </c>
      <c r="J67">
        <v>918.13100402832038</v>
      </c>
      <c r="K67">
        <v>0.49082454992963198</v>
      </c>
      <c r="L67">
        <v>0</v>
      </c>
      <c r="M67">
        <v>0</v>
      </c>
      <c r="N67" t="s">
        <v>480</v>
      </c>
      <c r="O67" t="e">
        <v>#VALUE!</v>
      </c>
      <c r="P67" t="s">
        <v>480</v>
      </c>
      <c r="Q67" t="e">
        <v>#VALUE!</v>
      </c>
      <c r="R67">
        <v>460.75</v>
      </c>
      <c r="S67">
        <v>0.24631279238785217</v>
      </c>
      <c r="T67">
        <v>310.55</v>
      </c>
      <c r="U67">
        <v>118.80399999999999</v>
      </c>
      <c r="V67">
        <v>156.14600000000002</v>
      </c>
      <c r="W67">
        <v>8.3474242604869381E-2</v>
      </c>
    </row>
    <row r="68" spans="1:23" x14ac:dyDescent="0.2">
      <c r="A68" t="s">
        <v>161</v>
      </c>
      <c r="B68">
        <v>3162.8121999999998</v>
      </c>
      <c r="C68">
        <v>205.864</v>
      </c>
      <c r="D68">
        <v>346.63900000000001</v>
      </c>
      <c r="E68">
        <v>473.83300000000003</v>
      </c>
      <c r="F68">
        <v>9.1242249141037206</v>
      </c>
      <c r="G68">
        <v>6.6749513014078792</v>
      </c>
      <c r="H68">
        <v>0.68382524385030896</v>
      </c>
      <c r="I68">
        <v>0.3669350534706135</v>
      </c>
      <c r="J68">
        <v>287.72500283813474</v>
      </c>
      <c r="K68">
        <v>0.83004221347896434</v>
      </c>
      <c r="L68">
        <v>45.925999999999995</v>
      </c>
      <c r="M68">
        <v>0.13248941982869786</v>
      </c>
      <c r="N68">
        <v>150.923</v>
      </c>
      <c r="O68">
        <v>0.4353895551279573</v>
      </c>
      <c r="P68">
        <v>62.664999999999999</v>
      </c>
      <c r="Q68">
        <v>0.18077885061980908</v>
      </c>
      <c r="R68">
        <v>-26.742999999999999</v>
      </c>
      <c r="S68">
        <v>-7.7149426348448957E-2</v>
      </c>
      <c r="T68" t="s">
        <v>480</v>
      </c>
      <c r="U68">
        <v>223.36999999999998</v>
      </c>
      <c r="V68">
        <v>-47.448000000000008</v>
      </c>
      <c r="W68">
        <v>-0.13688015485851276</v>
      </c>
    </row>
    <row r="69" spans="1:23" x14ac:dyDescent="0.2">
      <c r="A69" t="s">
        <v>163</v>
      </c>
      <c r="B69">
        <v>3579.8489</v>
      </c>
      <c r="C69">
        <v>730.81500000000005</v>
      </c>
      <c r="D69">
        <v>833.04499999999996</v>
      </c>
      <c r="E69">
        <v>871.04500000000007</v>
      </c>
      <c r="F69">
        <v>4.2973055477195112</v>
      </c>
      <c r="G69">
        <v>4.1098323278361049</v>
      </c>
      <c r="H69">
        <v>0.13988492299692795</v>
      </c>
      <c r="I69">
        <v>4.5615783060939163E-2</v>
      </c>
      <c r="J69">
        <v>461.10500335693359</v>
      </c>
      <c r="K69">
        <v>0.55351752109061769</v>
      </c>
      <c r="L69">
        <v>89.911000000000001</v>
      </c>
      <c r="M69">
        <v>0.10793054396821301</v>
      </c>
      <c r="N69">
        <v>173.52500000000001</v>
      </c>
      <c r="O69">
        <v>0.20830207251709093</v>
      </c>
      <c r="P69">
        <v>94.87</v>
      </c>
      <c r="Q69">
        <v>0.11388340365766557</v>
      </c>
      <c r="R69">
        <v>162.346</v>
      </c>
      <c r="S69">
        <v>0.19488262938976889</v>
      </c>
      <c r="T69">
        <v>149.40600000000001</v>
      </c>
      <c r="U69">
        <v>29.83</v>
      </c>
      <c r="V69">
        <v>80.155496400630994</v>
      </c>
      <c r="W69">
        <v>9.621988776192282E-2</v>
      </c>
    </row>
    <row r="70" spans="1:23" x14ac:dyDescent="0.2">
      <c r="A70" t="s">
        <v>165</v>
      </c>
      <c r="B70">
        <v>3196.73</v>
      </c>
      <c r="C70">
        <v>714.11400000000003</v>
      </c>
      <c r="D70">
        <v>793.64200000000005</v>
      </c>
      <c r="E70">
        <v>853.05899999999997</v>
      </c>
      <c r="F70">
        <v>4.0279244294026775</v>
      </c>
      <c r="G70">
        <v>3.7473726905173033</v>
      </c>
      <c r="H70">
        <v>0.11136597237976012</v>
      </c>
      <c r="I70">
        <v>7.4866249518044548E-2</v>
      </c>
      <c r="J70">
        <v>520.84100958251952</v>
      </c>
      <c r="K70">
        <v>0.65626694351170867</v>
      </c>
      <c r="L70">
        <v>243.273</v>
      </c>
      <c r="M70">
        <v>0.30652737632332966</v>
      </c>
      <c r="N70">
        <v>371.935</v>
      </c>
      <c r="O70">
        <v>0.46864329256768161</v>
      </c>
      <c r="P70">
        <v>125.59699999999999</v>
      </c>
      <c r="Q70">
        <v>0.15825397345402586</v>
      </c>
      <c r="R70">
        <v>-128.273</v>
      </c>
      <c r="S70">
        <v>-0.1616257708135406</v>
      </c>
      <c r="T70">
        <v>11.232999999999997</v>
      </c>
      <c r="U70">
        <v>180.89099999999999</v>
      </c>
      <c r="V70">
        <v>-257.473708220025</v>
      </c>
      <c r="W70">
        <v>-0.32442046693600513</v>
      </c>
    </row>
    <row r="71" spans="1:23" x14ac:dyDescent="0.2">
      <c r="A71" t="s">
        <v>167</v>
      </c>
      <c r="B71">
        <v>3202.2395999999999</v>
      </c>
      <c r="C71">
        <v>230.70099999999999</v>
      </c>
      <c r="D71">
        <v>377.52699999999999</v>
      </c>
      <c r="E71">
        <v>452.61400000000003</v>
      </c>
      <c r="F71">
        <v>8.482147237151251</v>
      </c>
      <c r="G71">
        <v>7.0749901682228113</v>
      </c>
      <c r="H71">
        <v>0.63643417237029742</v>
      </c>
      <c r="I71">
        <v>0.19889173489578238</v>
      </c>
      <c r="J71">
        <v>228.32999908447266</v>
      </c>
      <c r="K71">
        <v>0.60480442215913743</v>
      </c>
      <c r="L71">
        <v>37.644999999999996</v>
      </c>
      <c r="M71">
        <v>9.9714722390716423E-2</v>
      </c>
      <c r="N71">
        <v>95.483999999999995</v>
      </c>
      <c r="O71">
        <v>0.25291965872639571</v>
      </c>
      <c r="P71">
        <v>79.251999999999995</v>
      </c>
      <c r="Q71">
        <v>0.20992405841171624</v>
      </c>
      <c r="R71">
        <v>46.511999999999993</v>
      </c>
      <c r="S71">
        <v>0.12320178424324617</v>
      </c>
      <c r="T71">
        <v>58.707999999999998</v>
      </c>
      <c r="U71">
        <v>137.19299999999998</v>
      </c>
      <c r="V71">
        <v>3.8283299999999998</v>
      </c>
      <c r="W71">
        <v>1.0140546239076941E-2</v>
      </c>
    </row>
    <row r="72" spans="1:23" x14ac:dyDescent="0.2">
      <c r="A72" t="s">
        <v>169</v>
      </c>
      <c r="B72">
        <v>3692.9135000000001</v>
      </c>
      <c r="C72">
        <v>131.84100000000001</v>
      </c>
      <c r="D72">
        <v>166.82400000000001</v>
      </c>
      <c r="E72">
        <v>257.7</v>
      </c>
      <c r="F72">
        <v>22.136584064642975</v>
      </c>
      <c r="G72">
        <v>14.330281334885527</v>
      </c>
      <c r="H72">
        <v>0.26534234418731656</v>
      </c>
      <c r="I72">
        <v>0.54474176377499628</v>
      </c>
      <c r="J72">
        <v>116.99600000000001</v>
      </c>
      <c r="K72">
        <v>0.70131395962211673</v>
      </c>
      <c r="L72">
        <v>0</v>
      </c>
      <c r="M72">
        <v>0</v>
      </c>
      <c r="N72">
        <v>103.47799999999999</v>
      </c>
      <c r="O72">
        <v>0.62028245336402432</v>
      </c>
      <c r="P72">
        <v>46.970999999999997</v>
      </c>
      <c r="Q72">
        <v>0.28156020716443675</v>
      </c>
      <c r="R72">
        <v>-66.082999999999998</v>
      </c>
      <c r="S72">
        <v>-0.39612405888840929</v>
      </c>
      <c r="T72">
        <v>-18.09</v>
      </c>
      <c r="U72">
        <v>28.266999999999999</v>
      </c>
      <c r="V72">
        <v>-95.293880000000001</v>
      </c>
      <c r="W72">
        <v>-0.57122404450199005</v>
      </c>
    </row>
    <row r="73" spans="1:23" x14ac:dyDescent="0.2">
      <c r="A73" t="s">
        <v>171</v>
      </c>
      <c r="B73">
        <v>2833.0971</v>
      </c>
      <c r="C73">
        <v>604.55700000000002</v>
      </c>
      <c r="D73">
        <v>558.87699999999995</v>
      </c>
      <c r="E73">
        <v>561.4</v>
      </c>
      <c r="F73">
        <v>5.0692676563895098</v>
      </c>
      <c r="G73">
        <v>5.0464857499109375</v>
      </c>
      <c r="H73">
        <v>-7.5559459240402582E-2</v>
      </c>
      <c r="I73">
        <v>4.5144101474923204E-3</v>
      </c>
      <c r="J73">
        <v>322.08900360107418</v>
      </c>
      <c r="K73">
        <v>0.57631465170524854</v>
      </c>
      <c r="L73">
        <v>57.704000000000001</v>
      </c>
      <c r="M73">
        <v>0.10324991008755058</v>
      </c>
      <c r="N73">
        <v>47.481999999999999</v>
      </c>
      <c r="O73">
        <v>8.4959660175673718E-2</v>
      </c>
      <c r="P73">
        <v>46.054000000000002</v>
      </c>
      <c r="Q73">
        <v>8.2404536239637713E-2</v>
      </c>
      <c r="R73">
        <v>152.07</v>
      </c>
      <c r="S73">
        <v>0.27209922755812105</v>
      </c>
      <c r="T73">
        <v>142.90699999999998</v>
      </c>
      <c r="U73">
        <v>125.52199999999999</v>
      </c>
      <c r="V73">
        <v>105.80647999999999</v>
      </c>
      <c r="W73">
        <v>0.18931979666366661</v>
      </c>
    </row>
    <row r="74" spans="1:23" x14ac:dyDescent="0.2">
      <c r="A74" t="s">
        <v>173</v>
      </c>
      <c r="B74">
        <v>2532.3746999999998</v>
      </c>
      <c r="C74">
        <v>197.92500000000001</v>
      </c>
      <c r="D74">
        <v>255.43600000000001</v>
      </c>
      <c r="E74">
        <v>303.84500000000003</v>
      </c>
      <c r="F74">
        <v>9.9139302995662302</v>
      </c>
      <c r="G74">
        <v>8.3344293965673266</v>
      </c>
      <c r="H74">
        <v>0.2905696602248326</v>
      </c>
      <c r="I74">
        <v>0.18951518188509064</v>
      </c>
      <c r="J74">
        <v>196.15400054931641</v>
      </c>
      <c r="K74">
        <v>0.76791838483736197</v>
      </c>
      <c r="L74">
        <v>42.815999999999995</v>
      </c>
      <c r="M74">
        <v>0.16761928623999747</v>
      </c>
      <c r="N74">
        <v>63.854999999999997</v>
      </c>
      <c r="O74">
        <v>0.24998434050016441</v>
      </c>
      <c r="P74">
        <v>35.334000000000003</v>
      </c>
      <c r="Q74">
        <v>0.13832819179755398</v>
      </c>
      <c r="R74">
        <v>67.129000000000005</v>
      </c>
      <c r="S74">
        <v>0.2628016411155828</v>
      </c>
      <c r="T74">
        <v>93.984999999999999</v>
      </c>
      <c r="U74">
        <v>86.590999999999994</v>
      </c>
      <c r="V74">
        <v>42.557038674647998</v>
      </c>
      <c r="W74">
        <v>0.166605485032055</v>
      </c>
    </row>
    <row r="75" spans="1:23" x14ac:dyDescent="0.2">
      <c r="A75" t="s">
        <v>175</v>
      </c>
      <c r="B75">
        <v>3540.5491000000002</v>
      </c>
      <c r="C75">
        <v>1005.701</v>
      </c>
      <c r="D75">
        <v>996.43500000000006</v>
      </c>
      <c r="E75">
        <v>1060</v>
      </c>
      <c r="F75">
        <v>3.553216316167136</v>
      </c>
      <c r="G75">
        <v>3.3401406603773585</v>
      </c>
      <c r="H75">
        <v>-9.2134739848125456E-3</v>
      </c>
      <c r="I75">
        <v>6.3792419977218628E-2</v>
      </c>
      <c r="J75">
        <v>549.45199468994144</v>
      </c>
      <c r="K75">
        <v>0.55141779914388933</v>
      </c>
      <c r="L75">
        <v>136.92099999999999</v>
      </c>
      <c r="M75">
        <v>0.13741086975066108</v>
      </c>
      <c r="N75">
        <v>107.88500000000001</v>
      </c>
      <c r="O75">
        <v>0.10827098606532287</v>
      </c>
      <c r="P75">
        <v>153.03200000000001</v>
      </c>
      <c r="Q75">
        <v>0.15357951095656014</v>
      </c>
      <c r="R75">
        <v>214.69400000000002</v>
      </c>
      <c r="S75">
        <v>0.21546212246659341</v>
      </c>
      <c r="T75">
        <v>138.00200000000001</v>
      </c>
      <c r="U75">
        <v>69.709999999999994</v>
      </c>
      <c r="V75">
        <v>48.026550000000007</v>
      </c>
      <c r="W75">
        <v>4.819837721477066E-2</v>
      </c>
    </row>
    <row r="76" spans="1:23" x14ac:dyDescent="0.2">
      <c r="A76" t="s">
        <v>177</v>
      </c>
      <c r="B76">
        <v>3342.4558000000002</v>
      </c>
      <c r="C76">
        <v>1130.2660000000001</v>
      </c>
      <c r="D76">
        <v>1198.9859999999999</v>
      </c>
      <c r="E76">
        <v>1271.2</v>
      </c>
      <c r="F76">
        <v>2.7877354698053192</v>
      </c>
      <c r="G76">
        <v>2.6293705160478287</v>
      </c>
      <c r="H76">
        <v>6.0799847115634548E-2</v>
      </c>
      <c r="I76">
        <v>6.0229227030174082E-2</v>
      </c>
      <c r="J76">
        <v>770.49898681640627</v>
      </c>
      <c r="K76">
        <v>0.64262550756756653</v>
      </c>
      <c r="L76">
        <v>190.643</v>
      </c>
      <c r="M76">
        <v>0.15900352464499171</v>
      </c>
      <c r="N76" t="s">
        <v>480</v>
      </c>
      <c r="O76" t="e">
        <v>#VALUE!</v>
      </c>
      <c r="P76" t="s">
        <v>480</v>
      </c>
      <c r="Q76" t="e">
        <v>#VALUE!</v>
      </c>
      <c r="R76">
        <v>212.02799999999999</v>
      </c>
      <c r="S76">
        <v>0.17683942931777352</v>
      </c>
      <c r="T76">
        <v>144.71100000000001</v>
      </c>
      <c r="U76">
        <v>337.94200000000001</v>
      </c>
      <c r="V76">
        <v>54.014695631445996</v>
      </c>
      <c r="W76">
        <v>4.5050313874762507E-2</v>
      </c>
    </row>
    <row r="77" spans="1:23" x14ac:dyDescent="0.2">
      <c r="A77" t="s">
        <v>179</v>
      </c>
      <c r="B77">
        <v>2710.8598999999999</v>
      </c>
      <c r="C77">
        <v>423.12400000000002</v>
      </c>
      <c r="D77">
        <v>519.38200000000006</v>
      </c>
      <c r="E77">
        <v>532.57500000000005</v>
      </c>
      <c r="F77">
        <v>5.2193951657931921</v>
      </c>
      <c r="G77">
        <v>5.0900997981504945</v>
      </c>
      <c r="H77">
        <v>0.22749359525812771</v>
      </c>
      <c r="I77">
        <v>2.540134236457936E-2</v>
      </c>
      <c r="J77">
        <v>372.4000010986328</v>
      </c>
      <c r="K77">
        <v>0.71700598229941115</v>
      </c>
      <c r="L77">
        <v>61.974999999999994</v>
      </c>
      <c r="M77">
        <v>0.11932450489235281</v>
      </c>
      <c r="N77">
        <v>240.27099999999999</v>
      </c>
      <c r="O77">
        <v>0.46260940887439295</v>
      </c>
      <c r="P77">
        <v>84.588999999999999</v>
      </c>
      <c r="Q77">
        <v>0.16286471229268629</v>
      </c>
      <c r="R77">
        <v>15.740000000000002</v>
      </c>
      <c r="S77">
        <v>3.0305247390167545E-2</v>
      </c>
      <c r="T77">
        <v>86.269000000000005</v>
      </c>
      <c r="U77">
        <v>393.57599999999996</v>
      </c>
      <c r="V77">
        <v>-40.478999999999999</v>
      </c>
      <c r="W77">
        <v>-7.793685572468817E-2</v>
      </c>
    </row>
    <row r="78" spans="1:23" x14ac:dyDescent="0.2">
      <c r="A78" t="s">
        <v>181</v>
      </c>
      <c r="B78">
        <v>2781.2797</v>
      </c>
      <c r="C78">
        <v>343.274</v>
      </c>
      <c r="D78">
        <v>394.09599999999995</v>
      </c>
      <c r="E78">
        <v>427.56700000000001</v>
      </c>
      <c r="F78">
        <v>7.0573659717429269</v>
      </c>
      <c r="G78">
        <v>6.5048979458190175</v>
      </c>
      <c r="H78">
        <v>0.14805082820137833</v>
      </c>
      <c r="I78">
        <v>8.4931082781860345E-2</v>
      </c>
      <c r="J78">
        <v>220.96600073242186</v>
      </c>
      <c r="K78">
        <v>0.56069079800967758</v>
      </c>
      <c r="L78">
        <v>57.309999999999995</v>
      </c>
      <c r="M78">
        <v>0.14542142016158499</v>
      </c>
      <c r="N78">
        <v>85.912000000000006</v>
      </c>
      <c r="O78">
        <v>0.2179976452437985</v>
      </c>
      <c r="P78">
        <v>49.837000000000003</v>
      </c>
      <c r="Q78">
        <v>0.12645903536194231</v>
      </c>
      <c r="R78">
        <v>54.477999999999994</v>
      </c>
      <c r="S78">
        <v>0.13823535382241892</v>
      </c>
      <c r="T78">
        <v>56.217000000000006</v>
      </c>
      <c r="U78">
        <v>124.613</v>
      </c>
      <c r="V78">
        <v>4.2689791113369981</v>
      </c>
      <c r="W78">
        <v>1.0832333013623581E-2</v>
      </c>
    </row>
    <row r="79" spans="1:23" x14ac:dyDescent="0.2">
      <c r="A79" t="s">
        <v>183</v>
      </c>
      <c r="B79">
        <v>2538.9832999999999</v>
      </c>
      <c r="C79">
        <v>360.28500000000003</v>
      </c>
      <c r="D79">
        <v>462.851</v>
      </c>
      <c r="E79">
        <v>534.75</v>
      </c>
      <c r="F79">
        <v>5.4855305487078994</v>
      </c>
      <c r="G79">
        <v>4.7479818606825619</v>
      </c>
      <c r="H79">
        <v>0.28468018374342524</v>
      </c>
      <c r="I79">
        <v>0.15533940728225715</v>
      </c>
      <c r="J79">
        <v>273.98900335693361</v>
      </c>
      <c r="K79">
        <v>0.59195940671389624</v>
      </c>
      <c r="L79">
        <v>69.265999999999991</v>
      </c>
      <c r="M79">
        <v>0.14965075153775187</v>
      </c>
      <c r="N79">
        <v>65.042000000000002</v>
      </c>
      <c r="O79">
        <v>0.14052470449453497</v>
      </c>
      <c r="P79">
        <v>79.686000000000007</v>
      </c>
      <c r="Q79">
        <v>0.17216339599568761</v>
      </c>
      <c r="R79">
        <v>85.867999999999995</v>
      </c>
      <c r="S79">
        <v>0.1855197460953957</v>
      </c>
      <c r="T79">
        <v>30.468</v>
      </c>
      <c r="U79">
        <v>137.69800000000001</v>
      </c>
      <c r="V79">
        <v>19.337490000000003</v>
      </c>
      <c r="W79">
        <v>4.177908225325213E-2</v>
      </c>
    </row>
    <row r="80" spans="1:23" x14ac:dyDescent="0.2">
      <c r="A80" t="s">
        <v>185</v>
      </c>
      <c r="B80">
        <v>2584.7898</v>
      </c>
      <c r="C80">
        <v>302.70400000000001</v>
      </c>
      <c r="D80">
        <v>554.70800000000008</v>
      </c>
      <c r="E80">
        <v>668.68299999999999</v>
      </c>
      <c r="F80">
        <v>4.6597305248887695</v>
      </c>
      <c r="G80">
        <v>3.8654935148642928</v>
      </c>
      <c r="H80">
        <v>0.83250964638723002</v>
      </c>
      <c r="I80">
        <v>0.20546846268667451</v>
      </c>
      <c r="J80">
        <v>403.28800524902346</v>
      </c>
      <c r="K80">
        <v>0.72702756269789404</v>
      </c>
      <c r="L80">
        <v>136.791</v>
      </c>
      <c r="M80">
        <v>0.24660001297980194</v>
      </c>
      <c r="N80">
        <v>303.31900000000002</v>
      </c>
      <c r="O80">
        <v>0.54680841091168686</v>
      </c>
      <c r="P80">
        <v>84.805000000000007</v>
      </c>
      <c r="Q80">
        <v>0.15288223714098229</v>
      </c>
      <c r="R80">
        <v>-104.10600000000001</v>
      </c>
      <c r="S80">
        <v>-0.18767712021459937</v>
      </c>
      <c r="T80">
        <v>53.064000000000007</v>
      </c>
      <c r="U80">
        <v>208.07599999999999</v>
      </c>
      <c r="V80">
        <v>-150.31100000000001</v>
      </c>
      <c r="W80">
        <v>-0.27097319670889908</v>
      </c>
    </row>
    <row r="81" spans="1:23" x14ac:dyDescent="0.2">
      <c r="A81" t="s">
        <v>187</v>
      </c>
      <c r="B81">
        <v>2961.8824</v>
      </c>
      <c r="C81">
        <v>124.371</v>
      </c>
      <c r="D81">
        <v>187.727</v>
      </c>
      <c r="E81">
        <v>294.17700000000002</v>
      </c>
      <c r="F81">
        <v>15.777604713227186</v>
      </c>
      <c r="G81">
        <v>10.068368363264293</v>
      </c>
      <c r="H81">
        <v>0.50941135795322068</v>
      </c>
      <c r="I81">
        <v>0.56704682863946054</v>
      </c>
      <c r="J81">
        <v>162.13900000000001</v>
      </c>
      <c r="K81">
        <v>0.86369568575644429</v>
      </c>
      <c r="L81">
        <v>57.672999999999995</v>
      </c>
      <c r="M81">
        <v>0.30721739547321375</v>
      </c>
      <c r="N81">
        <v>116.29900000000001</v>
      </c>
      <c r="O81">
        <v>0.61951131163870943</v>
      </c>
      <c r="P81">
        <v>28.927</v>
      </c>
      <c r="Q81">
        <v>0.15409078076142482</v>
      </c>
      <c r="R81">
        <v>-36.067999999999998</v>
      </c>
      <c r="S81">
        <v>-0.19213006120590004</v>
      </c>
      <c r="T81">
        <v>-9.0210000000000008</v>
      </c>
      <c r="U81">
        <v>27.209999999999997</v>
      </c>
      <c r="V81">
        <v>-41.021999999999998</v>
      </c>
      <c r="W81">
        <v>-0.21851944579096239</v>
      </c>
    </row>
    <row r="82" spans="1:23" x14ac:dyDescent="0.2">
      <c r="A82" t="s">
        <v>189</v>
      </c>
      <c r="B82">
        <v>2363.1176</v>
      </c>
      <c r="C82">
        <v>85.79</v>
      </c>
      <c r="D82">
        <v>162.35999999999999</v>
      </c>
      <c r="E82">
        <v>224.28800000000001</v>
      </c>
      <c r="F82">
        <v>14.554801675289482</v>
      </c>
      <c r="G82">
        <v>10.536085746896847</v>
      </c>
      <c r="H82">
        <v>0.89252826669774998</v>
      </c>
      <c r="I82">
        <v>0.3814239960581427</v>
      </c>
      <c r="J82">
        <v>140.40400271606444</v>
      </c>
      <c r="K82">
        <v>0.86476966442513215</v>
      </c>
      <c r="L82">
        <v>29.341999999999999</v>
      </c>
      <c r="M82">
        <v>0.1807218526730722</v>
      </c>
      <c r="N82">
        <v>66.42</v>
      </c>
      <c r="O82">
        <v>0.40909090909090912</v>
      </c>
      <c r="P82">
        <v>32.241</v>
      </c>
      <c r="Q82">
        <v>0.19857723577235775</v>
      </c>
      <c r="R82">
        <v>-13.546000000000001</v>
      </c>
      <c r="S82">
        <v>-8.3431879773343209E-2</v>
      </c>
      <c r="T82">
        <v>16.873000000000001</v>
      </c>
      <c r="U82">
        <v>119.71599999999999</v>
      </c>
      <c r="V82">
        <v>-19.666589999999999</v>
      </c>
      <c r="W82">
        <v>-0.12112952697708795</v>
      </c>
    </row>
    <row r="83" spans="1:23" x14ac:dyDescent="0.2">
      <c r="A83" t="s">
        <v>191</v>
      </c>
      <c r="B83">
        <v>2249.4695999999999</v>
      </c>
      <c r="C83">
        <v>595.12599999999998</v>
      </c>
      <c r="D83">
        <v>709.59799999999996</v>
      </c>
      <c r="E83">
        <v>761.19500000000005</v>
      </c>
      <c r="F83">
        <v>3.1700619223842232</v>
      </c>
      <c r="G83">
        <v>2.955181786533017</v>
      </c>
      <c r="H83">
        <v>0.19234918319817987</v>
      </c>
      <c r="I83">
        <v>7.2713000882189682E-2</v>
      </c>
      <c r="J83">
        <v>605.50099267578128</v>
      </c>
      <c r="K83">
        <v>0.85330143641298495</v>
      </c>
      <c r="L83">
        <v>94.164000000000001</v>
      </c>
      <c r="M83">
        <v>0.13270048675447227</v>
      </c>
      <c r="N83">
        <v>410.72699999999998</v>
      </c>
      <c r="O83">
        <v>0.57881645664164783</v>
      </c>
      <c r="P83">
        <v>87.575000000000003</v>
      </c>
      <c r="Q83">
        <v>0.12341494761822892</v>
      </c>
      <c r="R83">
        <v>20.122</v>
      </c>
      <c r="S83">
        <v>2.8356900667701995E-2</v>
      </c>
      <c r="T83">
        <v>88.67</v>
      </c>
      <c r="U83">
        <v>330.78399999999999</v>
      </c>
      <c r="V83">
        <v>-7.6881895614599998</v>
      </c>
      <c r="W83">
        <v>-1.0834570505356555E-2</v>
      </c>
    </row>
    <row r="84" spans="1:23" x14ac:dyDescent="0.2">
      <c r="A84" t="s">
        <v>193</v>
      </c>
      <c r="B84">
        <v>2665.1181000000001</v>
      </c>
      <c r="C84">
        <v>263.86500000000001</v>
      </c>
      <c r="D84">
        <v>325.887</v>
      </c>
      <c r="E84">
        <v>515.72500000000002</v>
      </c>
      <c r="F84">
        <v>8.1780436163455441</v>
      </c>
      <c r="G84">
        <v>5.1677116680401376</v>
      </c>
      <c r="H84">
        <v>0.23505201523506333</v>
      </c>
      <c r="I84">
        <v>0.58252707226738099</v>
      </c>
      <c r="J84">
        <v>236.179</v>
      </c>
      <c r="K84">
        <v>0.72472666906013439</v>
      </c>
      <c r="L84">
        <v>0</v>
      </c>
      <c r="M84">
        <v>0</v>
      </c>
      <c r="N84">
        <v>2.198</v>
      </c>
      <c r="O84">
        <v>6.7446691644649833E-3</v>
      </c>
      <c r="P84">
        <v>14.875999999999999</v>
      </c>
      <c r="Q84">
        <v>4.5647724518007776E-2</v>
      </c>
      <c r="R84">
        <v>150.26899999999998</v>
      </c>
      <c r="S84">
        <v>0.46110768456550882</v>
      </c>
      <c r="T84">
        <v>156.25900000000001</v>
      </c>
      <c r="U84">
        <v>224.61399999999998</v>
      </c>
      <c r="V84">
        <v>138.66800000000001</v>
      </c>
      <c r="W84">
        <v>0.42550945573158794</v>
      </c>
    </row>
    <row r="85" spans="1:23" x14ac:dyDescent="0.2">
      <c r="A85" t="s">
        <v>195</v>
      </c>
      <c r="B85">
        <v>2121.9027000000001</v>
      </c>
      <c r="C85">
        <v>216.613</v>
      </c>
      <c r="D85">
        <v>294.68199999999996</v>
      </c>
      <c r="E85">
        <v>349.25299999999999</v>
      </c>
      <c r="F85">
        <v>7.2006525678528055</v>
      </c>
      <c r="G85">
        <v>6.0755460940922488</v>
      </c>
      <c r="H85">
        <v>0.36040773176125146</v>
      </c>
      <c r="I85">
        <v>0.1851860649785193</v>
      </c>
      <c r="J85">
        <v>249.10499847412109</v>
      </c>
      <c r="K85">
        <v>0.84533496607909919</v>
      </c>
      <c r="L85">
        <v>42.388999999999996</v>
      </c>
      <c r="M85">
        <v>0.14384658716854101</v>
      </c>
      <c r="N85">
        <v>126.739</v>
      </c>
      <c r="O85">
        <v>0.43008734839589802</v>
      </c>
      <c r="P85">
        <v>30.399000000000001</v>
      </c>
      <c r="Q85">
        <v>0.10315865916479461</v>
      </c>
      <c r="R85">
        <v>33.942999999999998</v>
      </c>
      <c r="S85">
        <v>0.11518518267148996</v>
      </c>
      <c r="T85">
        <v>115.262</v>
      </c>
      <c r="U85">
        <v>161.261</v>
      </c>
      <c r="V85">
        <v>27.055742028858003</v>
      </c>
      <c r="W85">
        <v>9.1813351439375343E-2</v>
      </c>
    </row>
    <row r="86" spans="1:23" x14ac:dyDescent="0.2">
      <c r="A86" t="s">
        <v>197</v>
      </c>
      <c r="B86">
        <v>2344.0949000000001</v>
      </c>
      <c r="C86">
        <v>313.24</v>
      </c>
      <c r="D86">
        <v>362.10199999999998</v>
      </c>
      <c r="E86">
        <v>403.58300000000003</v>
      </c>
      <c r="F86">
        <v>6.473576229902072</v>
      </c>
      <c r="G86">
        <v>5.8082102070701689</v>
      </c>
      <c r="H86">
        <v>0.15598901800536319</v>
      </c>
      <c r="I86">
        <v>0.11455611954642619</v>
      </c>
      <c r="J86">
        <v>250.68500076293947</v>
      </c>
      <c r="K86">
        <v>0.69230493276187233</v>
      </c>
      <c r="L86">
        <v>93.233999999999995</v>
      </c>
      <c r="M86">
        <v>0.25747993659245183</v>
      </c>
      <c r="N86">
        <v>79.957999999999998</v>
      </c>
      <c r="O86">
        <v>0.22081623409978404</v>
      </c>
      <c r="P86">
        <v>87.978999999999999</v>
      </c>
      <c r="Q86">
        <v>0.24296745116017035</v>
      </c>
      <c r="R86">
        <v>-3.4740000000000002</v>
      </c>
      <c r="S86">
        <v>-9.5939818062313938E-3</v>
      </c>
      <c r="T86">
        <v>32.57</v>
      </c>
      <c r="U86">
        <v>39.213000000000001</v>
      </c>
      <c r="V86">
        <v>-84.54</v>
      </c>
      <c r="W86">
        <v>-0.23347012720172772</v>
      </c>
    </row>
    <row r="87" spans="1:23" x14ac:dyDescent="0.2">
      <c r="A87" t="s">
        <v>199</v>
      </c>
      <c r="B87">
        <v>2777.4384</v>
      </c>
      <c r="C87">
        <v>578.16399999999999</v>
      </c>
      <c r="D87">
        <v>757.60300000000007</v>
      </c>
      <c r="E87">
        <v>863.7</v>
      </c>
      <c r="F87">
        <v>3.6660868555166752</v>
      </c>
      <c r="G87">
        <v>3.215744355679055</v>
      </c>
      <c r="H87">
        <v>0.31036003625268971</v>
      </c>
      <c r="I87">
        <v>0.14004300405357428</v>
      </c>
      <c r="J87">
        <v>512.96599737548831</v>
      </c>
      <c r="K87">
        <v>0.67709076835161464</v>
      </c>
      <c r="L87">
        <v>0</v>
      </c>
      <c r="M87">
        <v>0</v>
      </c>
      <c r="N87" t="s">
        <v>480</v>
      </c>
      <c r="O87" t="e">
        <v>#VALUE!</v>
      </c>
      <c r="P87">
        <v>121.01</v>
      </c>
      <c r="Q87">
        <v>0.15972745620067502</v>
      </c>
      <c r="R87">
        <v>106.039</v>
      </c>
      <c r="S87">
        <v>0.13996644680657283</v>
      </c>
      <c r="T87">
        <v>99.716999999999999</v>
      </c>
      <c r="U87">
        <v>60.114999999999995</v>
      </c>
      <c r="V87">
        <v>32.882268060742</v>
      </c>
      <c r="W87">
        <v>4.3403033067110346E-2</v>
      </c>
    </row>
    <row r="88" spans="1:23" x14ac:dyDescent="0.2">
      <c r="A88" t="s">
        <v>201</v>
      </c>
      <c r="B88">
        <v>2499.6136000000001</v>
      </c>
      <c r="C88">
        <v>40.750999999999998</v>
      </c>
      <c r="D88">
        <v>111.253</v>
      </c>
      <c r="E88">
        <v>195.833</v>
      </c>
      <c r="F88">
        <v>22.467830979838748</v>
      </c>
      <c r="G88">
        <v>12.764006066393305</v>
      </c>
      <c r="H88">
        <v>1.7300679737920546</v>
      </c>
      <c r="I88">
        <v>0.76024916182035529</v>
      </c>
      <c r="J88">
        <v>89.570999999999998</v>
      </c>
      <c r="K88">
        <v>0.80511087341464949</v>
      </c>
      <c r="L88">
        <v>37.589999999999996</v>
      </c>
      <c r="M88">
        <v>0.3378785291183159</v>
      </c>
      <c r="N88">
        <v>72.924999999999997</v>
      </c>
      <c r="O88">
        <v>0.65548794189819592</v>
      </c>
      <c r="P88">
        <v>28.033999999999999</v>
      </c>
      <c r="Q88">
        <v>0.25198421615596883</v>
      </c>
      <c r="R88">
        <v>-44.902000000000001</v>
      </c>
      <c r="S88">
        <v>-0.40360259948046345</v>
      </c>
      <c r="T88">
        <v>-19.587</v>
      </c>
      <c r="U88">
        <v>58.157999999999994</v>
      </c>
      <c r="V88">
        <v>-49.106000000000002</v>
      </c>
      <c r="W88">
        <v>-0.44139034453003517</v>
      </c>
    </row>
    <row r="89" spans="1:23" x14ac:dyDescent="0.2">
      <c r="A89" t="s">
        <v>203</v>
      </c>
      <c r="B89">
        <v>2436.4575</v>
      </c>
      <c r="C89">
        <v>562.17899999999997</v>
      </c>
      <c r="D89">
        <v>777.6</v>
      </c>
      <c r="E89">
        <v>824</v>
      </c>
      <c r="F89">
        <v>3.1333043981481481</v>
      </c>
      <c r="G89">
        <v>2.9568658980582523</v>
      </c>
      <c r="H89">
        <v>0.38318934005005534</v>
      </c>
      <c r="I89">
        <v>5.967078189300401E-2</v>
      </c>
      <c r="J89">
        <v>266.30000152587888</v>
      </c>
      <c r="K89">
        <v>0.34246399373184011</v>
      </c>
      <c r="L89">
        <v>0</v>
      </c>
      <c r="M89">
        <v>0</v>
      </c>
      <c r="N89">
        <v>41.767000000000003</v>
      </c>
      <c r="O89">
        <v>5.3712705761316877E-2</v>
      </c>
      <c r="P89">
        <v>117.626</v>
      </c>
      <c r="Q89">
        <v>0.15126800411522634</v>
      </c>
      <c r="R89">
        <v>119.85900000000001</v>
      </c>
      <c r="S89">
        <v>0.15413966049382716</v>
      </c>
      <c r="T89" t="s">
        <v>480</v>
      </c>
      <c r="U89">
        <v>99.828999999999994</v>
      </c>
      <c r="V89">
        <v>92.1</v>
      </c>
      <c r="W89">
        <v>0.11844135802469134</v>
      </c>
    </row>
    <row r="90" spans="1:23" x14ac:dyDescent="0.2">
      <c r="A90" t="s">
        <v>205</v>
      </c>
      <c r="B90">
        <v>2399.3838999999998</v>
      </c>
      <c r="C90">
        <v>184.99299999999999</v>
      </c>
      <c r="D90">
        <v>259.76499999999999</v>
      </c>
      <c r="E90">
        <v>290.03199999999998</v>
      </c>
      <c r="F90">
        <v>9.2367482147325468</v>
      </c>
      <c r="G90">
        <v>8.2728247227892098</v>
      </c>
      <c r="H90">
        <v>0.40418826658305984</v>
      </c>
      <c r="I90">
        <v>0.11651685176986892</v>
      </c>
      <c r="J90">
        <v>189.24499960327148</v>
      </c>
      <c r="K90">
        <v>0.72852385657525642</v>
      </c>
      <c r="L90">
        <v>41.803999999999995</v>
      </c>
      <c r="M90">
        <v>0.16093007141069812</v>
      </c>
      <c r="N90">
        <v>33.128</v>
      </c>
      <c r="O90">
        <v>0.12753065270532982</v>
      </c>
      <c r="P90">
        <v>25.448</v>
      </c>
      <c r="Q90">
        <v>9.7965468789097843E-2</v>
      </c>
      <c r="R90">
        <v>83.233999999999995</v>
      </c>
      <c r="S90">
        <v>0.3204203799588089</v>
      </c>
      <c r="T90">
        <v>71.663000000000011</v>
      </c>
      <c r="U90">
        <v>35.144999999999996</v>
      </c>
      <c r="V90">
        <v>31.351610000000001</v>
      </c>
      <c r="W90">
        <v>0.12069220256770544</v>
      </c>
    </row>
    <row r="91" spans="1:23" x14ac:dyDescent="0.2">
      <c r="A91" t="s">
        <v>207</v>
      </c>
      <c r="B91">
        <v>2165.1192999999998</v>
      </c>
      <c r="C91">
        <v>123.123</v>
      </c>
      <c r="D91">
        <v>202.84200000000001</v>
      </c>
      <c r="E91">
        <v>246.78800000000001</v>
      </c>
      <c r="F91">
        <v>10.673920095443743</v>
      </c>
      <c r="G91">
        <v>8.7731952120848646</v>
      </c>
      <c r="H91">
        <v>0.64747447674276948</v>
      </c>
      <c r="I91">
        <v>0.21665138383569471</v>
      </c>
      <c r="J91">
        <v>157.49099987792968</v>
      </c>
      <c r="K91">
        <v>0.77642204217040689</v>
      </c>
      <c r="L91">
        <v>23.873999999999999</v>
      </c>
      <c r="M91">
        <v>0.11769751826544797</v>
      </c>
      <c r="N91">
        <v>109.77500000000001</v>
      </c>
      <c r="O91">
        <v>0.54118476449650466</v>
      </c>
      <c r="P91">
        <v>36.956000000000003</v>
      </c>
      <c r="Q91">
        <v>0.18219106496682147</v>
      </c>
      <c r="R91">
        <v>-13.472000000000001</v>
      </c>
      <c r="S91">
        <v>-6.6416225436546669E-2</v>
      </c>
      <c r="T91">
        <v>9.2060000000000013</v>
      </c>
      <c r="U91">
        <v>31.103999999999999</v>
      </c>
      <c r="V91">
        <v>-33.920332731689001</v>
      </c>
      <c r="W91">
        <v>-0.16722539085440391</v>
      </c>
    </row>
    <row r="92" spans="1:23" x14ac:dyDescent="0.2">
      <c r="A92" t="s">
        <v>211</v>
      </c>
      <c r="B92">
        <v>2527.3155999999999</v>
      </c>
      <c r="C92">
        <v>167.42599999999999</v>
      </c>
      <c r="D92">
        <v>213.15899999999999</v>
      </c>
      <c r="E92">
        <v>282.81</v>
      </c>
      <c r="F92">
        <v>11.85648084293884</v>
      </c>
      <c r="G92">
        <v>8.9364435486722531</v>
      </c>
      <c r="H92">
        <v>0.27315351259660992</v>
      </c>
      <c r="I92">
        <v>0.32675608348697449</v>
      </c>
      <c r="J92">
        <v>155.18199999999999</v>
      </c>
      <c r="K92">
        <v>0.72801054611815585</v>
      </c>
      <c r="L92">
        <v>41.263999999999996</v>
      </c>
      <c r="M92">
        <v>0.19358319376615576</v>
      </c>
      <c r="N92">
        <v>133.79400000000001</v>
      </c>
      <c r="O92">
        <v>0.62767230095843951</v>
      </c>
      <c r="P92">
        <v>34.286000000000001</v>
      </c>
      <c r="Q92">
        <v>0.16084706721273792</v>
      </c>
      <c r="R92">
        <v>-43.302999999999997</v>
      </c>
      <c r="S92">
        <v>-0.20314882317894153</v>
      </c>
      <c r="T92">
        <v>-17.495999999999999</v>
      </c>
      <c r="U92">
        <v>14.074999999999999</v>
      </c>
      <c r="V92">
        <v>-55.233550000000001</v>
      </c>
      <c r="W92">
        <v>-0.25911901444461649</v>
      </c>
    </row>
    <row r="93" spans="1:23" x14ac:dyDescent="0.2">
      <c r="A93" t="s">
        <v>213</v>
      </c>
      <c r="B93">
        <v>2086.6887999999999</v>
      </c>
      <c r="C93">
        <v>261.10599999999999</v>
      </c>
      <c r="D93">
        <v>375.99900000000002</v>
      </c>
      <c r="E93">
        <v>410.81200000000001</v>
      </c>
      <c r="F93">
        <v>5.5497190152101465</v>
      </c>
      <c r="G93">
        <v>5.0794251385061777</v>
      </c>
      <c r="H93">
        <v>0.44002435792360201</v>
      </c>
      <c r="I93">
        <v>9.2588012202160064E-2</v>
      </c>
      <c r="J93">
        <v>251.41600036621094</v>
      </c>
      <c r="K93">
        <v>0.66866135379671465</v>
      </c>
      <c r="L93">
        <v>72.754999999999995</v>
      </c>
      <c r="M93">
        <v>0.19349785504748682</v>
      </c>
      <c r="N93">
        <v>43.49</v>
      </c>
      <c r="O93">
        <v>0.11566520123723734</v>
      </c>
      <c r="P93">
        <v>55.396000000000001</v>
      </c>
      <c r="Q93">
        <v>0.14733017906962517</v>
      </c>
      <c r="R93">
        <v>78.801000000000002</v>
      </c>
      <c r="S93">
        <v>0.2095776850470347</v>
      </c>
      <c r="T93">
        <v>41.491</v>
      </c>
      <c r="U93">
        <v>96.328999999999994</v>
      </c>
      <c r="V93">
        <v>54.195191958732003</v>
      </c>
      <c r="W93">
        <v>0.14413653216825575</v>
      </c>
    </row>
    <row r="94" spans="1:23" x14ac:dyDescent="0.2">
      <c r="A94" t="s">
        <v>215</v>
      </c>
      <c r="B94">
        <v>1642.0148999999999</v>
      </c>
      <c r="C94">
        <v>166.048</v>
      </c>
      <c r="D94">
        <v>411.06400000000002</v>
      </c>
      <c r="E94">
        <v>487.03300000000002</v>
      </c>
      <c r="F94">
        <v>3.9945480509117797</v>
      </c>
      <c r="G94">
        <v>3.3714653832491841</v>
      </c>
      <c r="H94">
        <v>1.4755733281942571</v>
      </c>
      <c r="I94">
        <v>0.18481063775957018</v>
      </c>
      <c r="J94">
        <v>279.62800469970705</v>
      </c>
      <c r="K94">
        <v>0.68025418110004043</v>
      </c>
      <c r="L94">
        <v>215.69499999999999</v>
      </c>
      <c r="M94">
        <v>0.52472364400677263</v>
      </c>
      <c r="N94">
        <v>298.46699999999998</v>
      </c>
      <c r="O94">
        <v>0.72608401611427897</v>
      </c>
      <c r="P94">
        <v>85.539000000000001</v>
      </c>
      <c r="Q94">
        <v>0.20809168402000661</v>
      </c>
      <c r="R94">
        <v>-176.494</v>
      </c>
      <c r="S94">
        <v>-0.42935893194247121</v>
      </c>
      <c r="T94">
        <v>-42.265000000000001</v>
      </c>
      <c r="U94">
        <v>43.247</v>
      </c>
      <c r="V94">
        <v>-184.54894999999999</v>
      </c>
      <c r="W94">
        <v>-0.44895429908724671</v>
      </c>
    </row>
    <row r="95" spans="1:23" x14ac:dyDescent="0.2">
      <c r="A95" t="s">
        <v>217</v>
      </c>
      <c r="B95">
        <v>2066.1927000000001</v>
      </c>
      <c r="C95">
        <v>162.09</v>
      </c>
      <c r="D95">
        <v>225.50900000000001</v>
      </c>
      <c r="E95">
        <v>266.108</v>
      </c>
      <c r="F95">
        <v>9.1623513917404615</v>
      </c>
      <c r="G95">
        <v>7.7644892299367179</v>
      </c>
      <c r="H95">
        <v>0.39125794311802092</v>
      </c>
      <c r="I95">
        <v>0.18003272596659103</v>
      </c>
      <c r="J95">
        <v>133.13299966430662</v>
      </c>
      <c r="K95">
        <v>0.59036668010725346</v>
      </c>
      <c r="L95">
        <v>27.119999999999997</v>
      </c>
      <c r="M95">
        <v>0.12026127560319098</v>
      </c>
      <c r="N95">
        <v>66.569999999999993</v>
      </c>
      <c r="O95">
        <v>0.29519886124278849</v>
      </c>
      <c r="P95">
        <v>29.151</v>
      </c>
      <c r="Q95">
        <v>0.12926756803497863</v>
      </c>
      <c r="R95">
        <v>10.643000000000001</v>
      </c>
      <c r="S95">
        <v>4.7195455613744906E-2</v>
      </c>
      <c r="T95">
        <v>20.688000000000002</v>
      </c>
      <c r="U95">
        <v>68.947000000000003</v>
      </c>
      <c r="V95">
        <v>-2.3560000000000003</v>
      </c>
      <c r="W95">
        <v>-1.0447476597386358E-2</v>
      </c>
    </row>
    <row r="96" spans="1:23" x14ac:dyDescent="0.2">
      <c r="A96" t="s">
        <v>219</v>
      </c>
      <c r="B96">
        <v>2059.2656000000002</v>
      </c>
      <c r="C96">
        <v>150.22399999999999</v>
      </c>
      <c r="D96">
        <v>215.20100000000002</v>
      </c>
      <c r="E96">
        <v>265.75200000000001</v>
      </c>
      <c r="F96">
        <v>9.5690336011449766</v>
      </c>
      <c r="G96">
        <v>7.7488244679249831</v>
      </c>
      <c r="H96">
        <v>0.43253408243689451</v>
      </c>
      <c r="I96">
        <v>0.2349013248079701</v>
      </c>
      <c r="J96">
        <v>106.53599938964844</v>
      </c>
      <c r="K96">
        <v>0.49505345881129004</v>
      </c>
      <c r="L96">
        <v>40.338000000000001</v>
      </c>
      <c r="M96">
        <v>0.18744336689885269</v>
      </c>
      <c r="N96">
        <v>41.17</v>
      </c>
      <c r="O96">
        <v>0.19130951993717502</v>
      </c>
      <c r="P96">
        <v>37.179000000000002</v>
      </c>
      <c r="Q96">
        <v>0.17276406708147266</v>
      </c>
      <c r="R96">
        <v>-7.5960000000000001</v>
      </c>
      <c r="S96">
        <v>-3.5297233748913803E-2</v>
      </c>
      <c r="T96">
        <v>-8.8409999999999993</v>
      </c>
      <c r="U96">
        <v>57.960999999999999</v>
      </c>
      <c r="V96">
        <v>-24.3462</v>
      </c>
      <c r="W96">
        <v>-0.11313237392019553</v>
      </c>
    </row>
    <row r="97" spans="1:23" x14ac:dyDescent="0.2">
      <c r="A97" t="s">
        <v>221</v>
      </c>
      <c r="B97">
        <v>1943.9061999999999</v>
      </c>
      <c r="C97">
        <v>685.98800000000006</v>
      </c>
      <c r="D97">
        <v>807.30500000000006</v>
      </c>
      <c r="E97">
        <v>961.45699999999999</v>
      </c>
      <c r="F97">
        <v>2.4078956528201854</v>
      </c>
      <c r="G97">
        <v>2.0218337377542626</v>
      </c>
      <c r="H97">
        <v>0.17685003236208213</v>
      </c>
      <c r="I97">
        <v>0.19094642049782906</v>
      </c>
      <c r="J97">
        <v>275.29600018310543</v>
      </c>
      <c r="K97">
        <v>0.34100618747945993</v>
      </c>
      <c r="L97">
        <v>0</v>
      </c>
      <c r="M97">
        <v>0</v>
      </c>
      <c r="N97">
        <v>53.383000000000003</v>
      </c>
      <c r="O97">
        <v>6.6124946581527427E-2</v>
      </c>
      <c r="P97">
        <v>102.56699999999999</v>
      </c>
      <c r="Q97">
        <v>0.1270486371321867</v>
      </c>
      <c r="R97">
        <v>101.57077215189899</v>
      </c>
      <c r="S97">
        <v>0.12581462043700831</v>
      </c>
      <c r="T97">
        <v>49.341999999999999</v>
      </c>
      <c r="U97">
        <v>86.795000000000002</v>
      </c>
      <c r="V97">
        <v>66.466239999999999</v>
      </c>
      <c r="W97">
        <v>8.233101492001163E-2</v>
      </c>
    </row>
    <row r="98" spans="1:23" x14ac:dyDescent="0.2">
      <c r="A98" t="s">
        <v>223</v>
      </c>
      <c r="B98">
        <v>1905.4384</v>
      </c>
      <c r="C98">
        <v>141.84100000000001</v>
      </c>
      <c r="D98">
        <v>282.14300000000003</v>
      </c>
      <c r="E98">
        <v>349.18299999999999</v>
      </c>
      <c r="F98">
        <v>6.7534491374941066</v>
      </c>
      <c r="G98">
        <v>5.4568475555797393</v>
      </c>
      <c r="H98">
        <v>0.98914982268878537</v>
      </c>
      <c r="I98">
        <v>0.23761000627341433</v>
      </c>
      <c r="J98">
        <v>206.71999600219726</v>
      </c>
      <c r="K98">
        <v>0.73267809586697963</v>
      </c>
      <c r="L98">
        <v>38.372999999999998</v>
      </c>
      <c r="M98">
        <v>0.13600550075670845</v>
      </c>
      <c r="N98">
        <v>121.246</v>
      </c>
      <c r="O98">
        <v>0.42973244064180216</v>
      </c>
      <c r="P98">
        <v>36.988999999999997</v>
      </c>
      <c r="Q98">
        <v>0.13110018678471552</v>
      </c>
      <c r="R98">
        <v>17.619</v>
      </c>
      <c r="S98">
        <v>6.2447056988831899E-2</v>
      </c>
      <c r="T98">
        <v>19.605</v>
      </c>
      <c r="U98">
        <v>78.338999999999999</v>
      </c>
      <c r="V98">
        <v>-11.200076829023001</v>
      </c>
      <c r="W98">
        <v>-3.9696454737572787E-2</v>
      </c>
    </row>
    <row r="99" spans="1:23" x14ac:dyDescent="0.2">
      <c r="A99" t="s">
        <v>225</v>
      </c>
      <c r="B99">
        <v>2014.3187</v>
      </c>
      <c r="C99">
        <v>105.586</v>
      </c>
      <c r="D99">
        <v>165.38</v>
      </c>
      <c r="E99">
        <v>205.85</v>
      </c>
      <c r="F99">
        <v>12.179941347200387</v>
      </c>
      <c r="G99">
        <v>9.7853713869322334</v>
      </c>
      <c r="H99">
        <v>0.56630613907146776</v>
      </c>
      <c r="I99">
        <v>0.24470915467408383</v>
      </c>
      <c r="J99">
        <v>102.44899972534179</v>
      </c>
      <c r="K99">
        <v>0.6194763558189732</v>
      </c>
      <c r="L99">
        <v>16.577999999999999</v>
      </c>
      <c r="M99">
        <v>0.10024186721489901</v>
      </c>
      <c r="N99">
        <v>28.709</v>
      </c>
      <c r="O99">
        <v>0.17359414681339944</v>
      </c>
      <c r="P99">
        <v>21.199000000000002</v>
      </c>
      <c r="Q99">
        <v>0.12818357721610837</v>
      </c>
      <c r="R99">
        <v>31.149000000000001</v>
      </c>
      <c r="S99">
        <v>0.18834804692223969</v>
      </c>
      <c r="T99">
        <v>30.143000000000001</v>
      </c>
      <c r="U99">
        <v>16.109000000000002</v>
      </c>
      <c r="V99">
        <v>18.071339999999999</v>
      </c>
      <c r="W99">
        <v>0.1092716168823316</v>
      </c>
    </row>
    <row r="100" spans="1:23" x14ac:dyDescent="0.2">
      <c r="A100" t="s">
        <v>227</v>
      </c>
      <c r="B100">
        <v>2202.7654000000002</v>
      </c>
      <c r="C100">
        <v>92.183999999999997</v>
      </c>
      <c r="D100">
        <v>167.92599999999999</v>
      </c>
      <c r="E100">
        <v>255.9</v>
      </c>
      <c r="F100">
        <v>13.117476745709421</v>
      </c>
      <c r="G100">
        <v>8.6079148104728418</v>
      </c>
      <c r="H100">
        <v>0.82163933003558087</v>
      </c>
      <c r="I100">
        <v>0.52388552100329933</v>
      </c>
      <c r="J100">
        <v>88.019999999999982</v>
      </c>
      <c r="K100">
        <v>0.52415945118683227</v>
      </c>
      <c r="L100">
        <v>38.638999999999996</v>
      </c>
      <c r="M100">
        <v>0.23009539916391744</v>
      </c>
      <c r="N100">
        <v>73.087000000000003</v>
      </c>
      <c r="O100">
        <v>0.43523337660636235</v>
      </c>
      <c r="P100">
        <v>22.571999999999999</v>
      </c>
      <c r="Q100">
        <v>0.13441635005895455</v>
      </c>
      <c r="R100">
        <v>-39.728000000000002</v>
      </c>
      <c r="S100">
        <v>-0.23658039850886703</v>
      </c>
      <c r="T100">
        <v>-29.518000000000001</v>
      </c>
      <c r="U100">
        <v>48.207999999999998</v>
      </c>
      <c r="V100">
        <v>-47.155000000000001</v>
      </c>
      <c r="W100">
        <v>-0.28080821314150284</v>
      </c>
    </row>
    <row r="101" spans="1:23" x14ac:dyDescent="0.2">
      <c r="A101" t="s">
        <v>229</v>
      </c>
      <c r="B101">
        <v>1544.9141</v>
      </c>
      <c r="C101">
        <v>264.45499999999998</v>
      </c>
      <c r="D101">
        <v>344.017</v>
      </c>
      <c r="E101">
        <v>369.76900000000001</v>
      </c>
      <c r="F101">
        <v>4.4908074310281174</v>
      </c>
      <c r="G101">
        <v>4.1780519729885413</v>
      </c>
      <c r="H101">
        <v>0.30085269705620998</v>
      </c>
      <c r="I101">
        <v>7.4856765799364622E-2</v>
      </c>
      <c r="J101">
        <v>274.43599694824218</v>
      </c>
      <c r="K101">
        <v>0.79773963771628198</v>
      </c>
      <c r="L101">
        <v>63.451999999999998</v>
      </c>
      <c r="M101">
        <v>0.1844443733885244</v>
      </c>
      <c r="N101">
        <v>152.178</v>
      </c>
      <c r="O101">
        <v>0.44235604635817416</v>
      </c>
      <c r="P101">
        <v>54.435000000000002</v>
      </c>
      <c r="Q101">
        <v>0.15823345939299513</v>
      </c>
      <c r="R101">
        <v>7.0558987341769992</v>
      </c>
      <c r="S101">
        <v>2.0510319938192006E-2</v>
      </c>
      <c r="T101">
        <v>76.452000000000012</v>
      </c>
      <c r="U101">
        <v>192.53799999999998</v>
      </c>
      <c r="V101">
        <v>-22.831899999999997</v>
      </c>
      <c r="W101">
        <v>-6.636852248580738E-2</v>
      </c>
    </row>
    <row r="102" spans="1:23" x14ac:dyDescent="0.2">
      <c r="A102" t="s">
        <v>237</v>
      </c>
      <c r="B102">
        <v>3979.5682000000002</v>
      </c>
      <c r="C102">
        <v>2351.3560000000002</v>
      </c>
      <c r="D102">
        <v>2524.2550000000001</v>
      </c>
      <c r="E102">
        <v>2627.6289999999999</v>
      </c>
      <c r="F102">
        <v>1.5765317687793032</v>
      </c>
      <c r="G102">
        <v>1.5145091639649282</v>
      </c>
      <c r="H102">
        <v>7.3531613247845018E-2</v>
      </c>
      <c r="I102">
        <v>4.0952280970028676E-2</v>
      </c>
      <c r="J102">
        <v>920.60099450683606</v>
      </c>
      <c r="K102">
        <v>0.36470205843182879</v>
      </c>
      <c r="L102">
        <v>0</v>
      </c>
      <c r="M102">
        <v>0</v>
      </c>
      <c r="N102" t="s">
        <v>480</v>
      </c>
      <c r="O102" t="e">
        <v>#VALUE!</v>
      </c>
      <c r="P102" t="s">
        <v>480</v>
      </c>
      <c r="Q102" t="e">
        <v>#VALUE!</v>
      </c>
      <c r="R102">
        <v>545.98500000000001</v>
      </c>
      <c r="S102">
        <v>0.21629550104882431</v>
      </c>
      <c r="T102">
        <v>181.19699999999997</v>
      </c>
      <c r="U102">
        <v>122.039</v>
      </c>
      <c r="V102">
        <v>163.409500215957</v>
      </c>
      <c r="W102">
        <v>6.4735733995161734E-2</v>
      </c>
    </row>
    <row r="103" spans="1:23" x14ac:dyDescent="0.2">
      <c r="A103" t="s">
        <v>239</v>
      </c>
      <c r="B103">
        <v>2334.0005999999998</v>
      </c>
      <c r="C103">
        <v>389.50700000000001</v>
      </c>
      <c r="D103">
        <v>425.97399999999993</v>
      </c>
      <c r="E103">
        <v>456</v>
      </c>
      <c r="F103">
        <v>5.4792090597078698</v>
      </c>
      <c r="G103">
        <v>5.1184223684210526</v>
      </c>
      <c r="H103">
        <v>9.3623477883580858E-2</v>
      </c>
      <c r="I103">
        <v>7.048787015169955E-2</v>
      </c>
      <c r="J103">
        <v>215.97600213623048</v>
      </c>
      <c r="K103">
        <v>0.50701686519888656</v>
      </c>
      <c r="L103">
        <v>0</v>
      </c>
      <c r="M103">
        <v>0</v>
      </c>
      <c r="N103" t="s">
        <v>480</v>
      </c>
      <c r="O103" t="e">
        <v>#VALUE!</v>
      </c>
      <c r="P103" t="s">
        <v>480</v>
      </c>
      <c r="Q103" t="e">
        <v>#VALUE!</v>
      </c>
      <c r="R103">
        <v>171.22300000000001</v>
      </c>
      <c r="S103">
        <v>0.40195645743636943</v>
      </c>
      <c r="T103">
        <v>153.16899999999998</v>
      </c>
      <c r="U103">
        <v>50.422999999999995</v>
      </c>
      <c r="V103">
        <v>66.721209999999999</v>
      </c>
      <c r="W103">
        <v>0.15663211839220237</v>
      </c>
    </row>
    <row r="104" spans="1:23" x14ac:dyDescent="0.2">
      <c r="A104" t="s">
        <v>241</v>
      </c>
      <c r="B104">
        <v>1637.1987999999999</v>
      </c>
      <c r="C104">
        <v>164.45599999999999</v>
      </c>
      <c r="D104">
        <v>242.52799999999999</v>
      </c>
      <c r="E104">
        <v>285.279</v>
      </c>
      <c r="F104">
        <v>6.7505558121124158</v>
      </c>
      <c r="G104">
        <v>5.7389390736787496</v>
      </c>
      <c r="H104">
        <v>0.47472880284088148</v>
      </c>
      <c r="I104">
        <v>0.1762724303997889</v>
      </c>
      <c r="J104">
        <v>218.322998046875</v>
      </c>
      <c r="K104">
        <v>0.90019708259201003</v>
      </c>
      <c r="L104">
        <v>47.369</v>
      </c>
      <c r="M104">
        <v>0.19531353080881383</v>
      </c>
      <c r="N104">
        <v>135.89599999999999</v>
      </c>
      <c r="O104">
        <v>0.56033117825570655</v>
      </c>
      <c r="P104">
        <v>26.823</v>
      </c>
      <c r="Q104">
        <v>0.11059753925319964</v>
      </c>
      <c r="R104">
        <v>-20.379999999999995</v>
      </c>
      <c r="S104">
        <v>-8.4031534503232599E-2</v>
      </c>
      <c r="T104">
        <v>16.852999999999998</v>
      </c>
      <c r="U104">
        <v>56.689</v>
      </c>
      <c r="V104">
        <v>-25.522279999999999</v>
      </c>
      <c r="W104">
        <v>-0.10523436469191186</v>
      </c>
    </row>
    <row r="105" spans="1:23" x14ac:dyDescent="0.2">
      <c r="A105" t="s">
        <v>243</v>
      </c>
      <c r="B105">
        <v>1797.1029000000001</v>
      </c>
      <c r="C105">
        <v>89.724000000000004</v>
      </c>
      <c r="D105">
        <v>198.54300000000001</v>
      </c>
      <c r="E105">
        <v>249.18700000000001</v>
      </c>
      <c r="F105">
        <v>9.0514543449026164</v>
      </c>
      <c r="G105">
        <v>7.2118645836259514</v>
      </c>
      <c r="H105">
        <v>1.2128193125585127</v>
      </c>
      <c r="I105">
        <v>0.25507824501493381</v>
      </c>
      <c r="J105">
        <v>147.79099822998046</v>
      </c>
      <c r="K105">
        <v>0.74437778330125193</v>
      </c>
      <c r="L105">
        <v>25.686999999999998</v>
      </c>
      <c r="M105">
        <v>0.12937751519821902</v>
      </c>
      <c r="N105">
        <v>126.98</v>
      </c>
      <c r="O105">
        <v>0.63955918868960371</v>
      </c>
      <c r="P105">
        <v>40.079000000000001</v>
      </c>
      <c r="Q105">
        <v>0.20186559082919064</v>
      </c>
      <c r="R105">
        <v>-68.009</v>
      </c>
      <c r="S105">
        <v>-0.34254040686400428</v>
      </c>
      <c r="T105">
        <v>-32.906999999999996</v>
      </c>
      <c r="U105">
        <v>34.366999999999997</v>
      </c>
      <c r="V105">
        <v>-73.292000000000002</v>
      </c>
      <c r="W105">
        <v>-0.36914925230302753</v>
      </c>
    </row>
    <row r="106" spans="1:23" x14ac:dyDescent="0.2">
      <c r="A106" t="s">
        <v>245</v>
      </c>
      <c r="B106">
        <v>1708.3059000000001</v>
      </c>
      <c r="C106">
        <v>105.98399999999999</v>
      </c>
      <c r="D106">
        <v>176.48500000000001</v>
      </c>
      <c r="E106">
        <v>232.17500000000001</v>
      </c>
      <c r="F106">
        <v>9.679609598549451</v>
      </c>
      <c r="G106">
        <v>7.357837407128244</v>
      </c>
      <c r="H106">
        <v>0.66520418176328522</v>
      </c>
      <c r="I106">
        <v>0.31555089667677128</v>
      </c>
      <c r="J106">
        <v>135.33699801635743</v>
      </c>
      <c r="K106">
        <v>0.76684702958527584</v>
      </c>
      <c r="L106">
        <v>26.834999999999997</v>
      </c>
      <c r="M106">
        <v>0.15205258237243957</v>
      </c>
      <c r="N106">
        <v>86.891999999999996</v>
      </c>
      <c r="O106">
        <v>0.49234779159701952</v>
      </c>
      <c r="P106">
        <v>29.446000000000002</v>
      </c>
      <c r="Q106">
        <v>0.16684704082499929</v>
      </c>
      <c r="R106">
        <v>-30.723999999999997</v>
      </c>
      <c r="S106">
        <v>-0.17408844944329543</v>
      </c>
      <c r="T106">
        <v>-5.52</v>
      </c>
      <c r="U106">
        <v>87.024000000000001</v>
      </c>
      <c r="V106">
        <v>-34.695</v>
      </c>
      <c r="W106">
        <v>-0.19658894523613904</v>
      </c>
    </row>
    <row r="107" spans="1:23" x14ac:dyDescent="0.2">
      <c r="A107" t="s">
        <v>247</v>
      </c>
      <c r="B107">
        <v>2277.1129999999998</v>
      </c>
      <c r="C107">
        <v>298.29399999999998</v>
      </c>
      <c r="D107">
        <v>430.33699999999999</v>
      </c>
      <c r="E107">
        <v>547.33299999999997</v>
      </c>
      <c r="F107">
        <v>5.291464596351231</v>
      </c>
      <c r="G107">
        <v>4.16037951302041</v>
      </c>
      <c r="H107">
        <v>0.44266059659262341</v>
      </c>
      <c r="I107">
        <v>0.27187065021134593</v>
      </c>
      <c r="J107">
        <v>273.81199511718751</v>
      </c>
      <c r="K107">
        <v>0.63627342087059102</v>
      </c>
      <c r="L107">
        <v>33.853999999999999</v>
      </c>
      <c r="M107">
        <v>7.8668578346737558E-2</v>
      </c>
      <c r="N107">
        <v>16.303000000000001</v>
      </c>
      <c r="O107">
        <v>3.7884262798690331E-2</v>
      </c>
      <c r="P107">
        <v>59.975999999999999</v>
      </c>
      <c r="Q107">
        <v>0.13936984270467098</v>
      </c>
      <c r="R107">
        <v>145.13300000000001</v>
      </c>
      <c r="S107">
        <v>0.33725429140417862</v>
      </c>
      <c r="T107">
        <v>94.004999999999995</v>
      </c>
      <c r="U107">
        <v>63.894999999999996</v>
      </c>
      <c r="V107">
        <v>106.145</v>
      </c>
      <c r="W107">
        <v>0.24665552810936545</v>
      </c>
    </row>
    <row r="108" spans="1:23" x14ac:dyDescent="0.2">
      <c r="A108" t="s">
        <v>249</v>
      </c>
      <c r="B108">
        <v>1683.934</v>
      </c>
      <c r="C108">
        <v>322.85599999999999</v>
      </c>
      <c r="D108">
        <v>472.71199999999999</v>
      </c>
      <c r="E108">
        <v>564.25700000000006</v>
      </c>
      <c r="F108">
        <v>3.5622831660715191</v>
      </c>
      <c r="G108">
        <v>2.9843386967286181</v>
      </c>
      <c r="H108">
        <v>0.46415739524741678</v>
      </c>
      <c r="I108">
        <v>0.19365914129533435</v>
      </c>
      <c r="J108">
        <v>176.87399850463868</v>
      </c>
      <c r="K108">
        <v>0.37416862382304378</v>
      </c>
      <c r="L108">
        <v>0</v>
      </c>
      <c r="M108">
        <v>0</v>
      </c>
      <c r="N108" t="s">
        <v>480</v>
      </c>
      <c r="O108" t="e">
        <v>#VALUE!</v>
      </c>
      <c r="P108" t="s">
        <v>480</v>
      </c>
      <c r="Q108" t="e">
        <v>#VALUE!</v>
      </c>
      <c r="R108">
        <v>71.519571428570998</v>
      </c>
      <c r="S108">
        <v>0.15129628913285678</v>
      </c>
      <c r="T108" t="s">
        <v>480</v>
      </c>
      <c r="U108">
        <v>52.524999999999999</v>
      </c>
      <c r="V108">
        <v>48.062889999999996</v>
      </c>
      <c r="W108">
        <v>0.10167478295452621</v>
      </c>
    </row>
    <row r="109" spans="1:23" x14ac:dyDescent="0.2">
      <c r="A109" t="s">
        <v>251</v>
      </c>
      <c r="B109">
        <v>1563.4879000000001</v>
      </c>
      <c r="C109">
        <v>115.95099999999999</v>
      </c>
      <c r="D109">
        <v>143.75199999999998</v>
      </c>
      <c r="E109">
        <v>169.75800000000001</v>
      </c>
      <c r="F109">
        <v>10.876286242974013</v>
      </c>
      <c r="G109">
        <v>9.2100984931490704</v>
      </c>
      <c r="H109">
        <v>0.23976507317746279</v>
      </c>
      <c r="I109">
        <v>0.18090878735600224</v>
      </c>
      <c r="J109">
        <v>101.70600183105469</v>
      </c>
      <c r="K109">
        <v>0.70751016911802767</v>
      </c>
      <c r="L109">
        <v>23.690999999999999</v>
      </c>
      <c r="M109">
        <v>0.16480466358728924</v>
      </c>
      <c r="N109">
        <v>29.28</v>
      </c>
      <c r="O109">
        <v>0.20368412265568483</v>
      </c>
      <c r="P109">
        <v>13.855</v>
      </c>
      <c r="Q109">
        <v>9.6381267738883655E-2</v>
      </c>
      <c r="R109">
        <v>35.331999999999994</v>
      </c>
      <c r="S109">
        <v>0.2457844064778229</v>
      </c>
      <c r="T109">
        <v>17.315999999999999</v>
      </c>
      <c r="U109">
        <v>158.398</v>
      </c>
      <c r="V109">
        <v>20.335000000000001</v>
      </c>
      <c r="W109">
        <v>0.14145890144137127</v>
      </c>
    </row>
    <row r="110" spans="1:23" x14ac:dyDescent="0.2">
      <c r="A110" t="s">
        <v>253</v>
      </c>
      <c r="B110">
        <v>1478.7066</v>
      </c>
      <c r="C110">
        <v>209.33600000000001</v>
      </c>
      <c r="D110">
        <v>310.62700000000001</v>
      </c>
      <c r="E110">
        <v>366.35300000000001</v>
      </c>
      <c r="F110">
        <v>4.7603930115540498</v>
      </c>
      <c r="G110">
        <v>4.0362890436273213</v>
      </c>
      <c r="H110">
        <v>0.48386803989758087</v>
      </c>
      <c r="I110">
        <v>0.17939844250499792</v>
      </c>
      <c r="J110">
        <v>234.64100097656251</v>
      </c>
      <c r="K110">
        <v>0.75537864054497039</v>
      </c>
      <c r="L110">
        <v>34.796999999999997</v>
      </c>
      <c r="M110">
        <v>0.11202181394405508</v>
      </c>
      <c r="N110">
        <v>184.04400000000001</v>
      </c>
      <c r="O110">
        <v>0.5924919598103191</v>
      </c>
      <c r="P110">
        <v>38.914999999999999</v>
      </c>
      <c r="Q110">
        <v>0.12527887144388608</v>
      </c>
      <c r="R110">
        <v>-13.42</v>
      </c>
      <c r="S110">
        <v>-4.3202941148065041E-2</v>
      </c>
      <c r="T110">
        <v>-20.387</v>
      </c>
      <c r="U110">
        <v>31.702999999999999</v>
      </c>
      <c r="V110">
        <v>42.356312490929</v>
      </c>
      <c r="W110">
        <v>0.13635747211584634</v>
      </c>
    </row>
    <row r="111" spans="1:23" x14ac:dyDescent="0.2">
      <c r="A111" t="s">
        <v>257</v>
      </c>
      <c r="B111">
        <v>1454.999</v>
      </c>
      <c r="C111">
        <v>139.02099999999999</v>
      </c>
      <c r="D111">
        <v>211.739</v>
      </c>
      <c r="E111">
        <v>279.25700000000001</v>
      </c>
      <c r="F111">
        <v>6.8716627546177129</v>
      </c>
      <c r="G111">
        <v>5.2102507725858258</v>
      </c>
      <c r="H111">
        <v>0.52307205386236633</v>
      </c>
      <c r="I111">
        <v>0.31887370772507673</v>
      </c>
      <c r="J111">
        <v>149.78799795532225</v>
      </c>
      <c r="K111">
        <v>0.70741808526214944</v>
      </c>
      <c r="L111">
        <v>35.809999999999995</v>
      </c>
      <c r="M111">
        <v>0.16912330746815651</v>
      </c>
      <c r="N111">
        <v>71.825000000000003</v>
      </c>
      <c r="O111">
        <v>0.33921478801732324</v>
      </c>
      <c r="P111">
        <v>37.470999999999997</v>
      </c>
      <c r="Q111">
        <v>0.176967870822097</v>
      </c>
      <c r="R111">
        <v>-11.435911392404998</v>
      </c>
      <c r="S111">
        <v>-5.4009471058260393E-2</v>
      </c>
      <c r="T111">
        <v>-8.91</v>
      </c>
      <c r="U111">
        <v>232.01899999999998</v>
      </c>
      <c r="V111">
        <v>-22.763379999999998</v>
      </c>
      <c r="W111">
        <v>-0.10750678901855586</v>
      </c>
    </row>
    <row r="112" spans="1:23" x14ac:dyDescent="0.2">
      <c r="A112" t="s">
        <v>259</v>
      </c>
      <c r="B112">
        <v>1346.6967</v>
      </c>
      <c r="C112">
        <v>79.929000000000002</v>
      </c>
      <c r="D112">
        <v>128.28899999999999</v>
      </c>
      <c r="E112">
        <v>156.166</v>
      </c>
      <c r="F112">
        <v>10.497366882585414</v>
      </c>
      <c r="G112">
        <v>8.6234948708425652</v>
      </c>
      <c r="H112">
        <v>0.605036970311151</v>
      </c>
      <c r="I112">
        <v>0.21729844335835513</v>
      </c>
      <c r="J112">
        <v>95.234000320434575</v>
      </c>
      <c r="K112">
        <v>0.74233956395664935</v>
      </c>
      <c r="L112">
        <v>29.642999999999997</v>
      </c>
      <c r="M112">
        <v>0.23106423777564716</v>
      </c>
      <c r="N112">
        <v>28.184999999999999</v>
      </c>
      <c r="O112">
        <v>0.21969927273577627</v>
      </c>
      <c r="P112">
        <v>30.100999999999999</v>
      </c>
      <c r="Q112">
        <v>0.23463430223947496</v>
      </c>
      <c r="R112">
        <v>4.5019999999999998</v>
      </c>
      <c r="S112">
        <v>3.5092642393346273E-2</v>
      </c>
      <c r="T112">
        <v>6.2230000000000008</v>
      </c>
      <c r="U112">
        <v>175.49599999999998</v>
      </c>
      <c r="V112">
        <v>-4.702</v>
      </c>
      <c r="W112">
        <v>-3.6651622508554908E-2</v>
      </c>
    </row>
    <row r="113" spans="1:23" x14ac:dyDescent="0.2">
      <c r="A113" t="s">
        <v>261</v>
      </c>
      <c r="B113">
        <v>1407.1201000000001</v>
      </c>
      <c r="C113">
        <v>307.983</v>
      </c>
      <c r="D113">
        <v>268.00934779214469</v>
      </c>
      <c r="E113">
        <v>275.88499999999999</v>
      </c>
      <c r="F113">
        <v>5.2502650060224596</v>
      </c>
      <c r="G113">
        <v>5.1003863928810924</v>
      </c>
      <c r="H113">
        <v>-0.12979174892073689</v>
      </c>
      <c r="I113">
        <v>2.9385737000350076E-2</v>
      </c>
      <c r="J113">
        <v>186.44702180226108</v>
      </c>
      <c r="K113">
        <v>0.69567357757558712</v>
      </c>
      <c r="L113">
        <v>34.081785163002429</v>
      </c>
      <c r="M113">
        <v>0.12716640461897114</v>
      </c>
      <c r="N113" t="s">
        <v>480</v>
      </c>
      <c r="O113" t="e">
        <v>#VALUE!</v>
      </c>
      <c r="P113" t="s">
        <v>480</v>
      </c>
      <c r="Q113" t="e">
        <v>#VALUE!</v>
      </c>
      <c r="R113">
        <v>92.270070899827459</v>
      </c>
      <c r="S113">
        <v>0.34427930092717413</v>
      </c>
      <c r="T113">
        <v>101.11699999999999</v>
      </c>
      <c r="U113">
        <v>120.60799999999999</v>
      </c>
      <c r="V113">
        <v>45.2449786771883</v>
      </c>
      <c r="W113">
        <v>0.16881865893826267</v>
      </c>
    </row>
    <row r="114" spans="1:23" x14ac:dyDescent="0.2">
      <c r="A114" t="s">
        <v>263</v>
      </c>
      <c r="B114">
        <v>1443.3649</v>
      </c>
      <c r="C114">
        <v>157.43700000000001</v>
      </c>
      <c r="D114">
        <v>221.20800000000003</v>
      </c>
      <c r="E114">
        <v>260.59699999999998</v>
      </c>
      <c r="F114">
        <v>6.524921793063541</v>
      </c>
      <c r="G114">
        <v>5.5386857868663117</v>
      </c>
      <c r="H114">
        <v>0.40505726099963801</v>
      </c>
      <c r="I114">
        <v>0.17806318035514068</v>
      </c>
      <c r="J114">
        <v>155.65399899291992</v>
      </c>
      <c r="K114">
        <v>0.70365447448971064</v>
      </c>
      <c r="L114">
        <v>50.937999999999995</v>
      </c>
      <c r="M114">
        <v>0.2302719612310585</v>
      </c>
      <c r="N114">
        <v>111.593</v>
      </c>
      <c r="O114">
        <v>0.50447090521138471</v>
      </c>
      <c r="P114">
        <v>30.292999999999999</v>
      </c>
      <c r="Q114">
        <v>0.13694351018046361</v>
      </c>
      <c r="R114">
        <v>-47.295392405064</v>
      </c>
      <c r="S114">
        <v>-0.21380507217218181</v>
      </c>
      <c r="T114">
        <v>-7.3879999999999981</v>
      </c>
      <c r="U114">
        <v>51.561999999999998</v>
      </c>
      <c r="V114">
        <v>-53.869</v>
      </c>
      <c r="W114">
        <v>-0.24352193410726553</v>
      </c>
    </row>
    <row r="115" spans="1:23" x14ac:dyDescent="0.2">
      <c r="A115" t="s">
        <v>265</v>
      </c>
      <c r="B115">
        <v>1409.3098</v>
      </c>
      <c r="C115">
        <v>132.923</v>
      </c>
      <c r="D115">
        <v>206.78900000000002</v>
      </c>
      <c r="E115">
        <v>220.108</v>
      </c>
      <c r="F115">
        <v>6.8152068050041343</v>
      </c>
      <c r="G115">
        <v>6.4028104385120033</v>
      </c>
      <c r="H115">
        <v>0.55570518269975855</v>
      </c>
      <c r="I115">
        <v>6.44086484290749E-2</v>
      </c>
      <c r="J115">
        <v>128.89599989318847</v>
      </c>
      <c r="K115">
        <v>0.62332135603532324</v>
      </c>
      <c r="L115">
        <v>34.835000000000001</v>
      </c>
      <c r="M115">
        <v>0.16845673609331249</v>
      </c>
      <c r="N115">
        <v>81.965999999999994</v>
      </c>
      <c r="O115">
        <v>0.3963750489629525</v>
      </c>
      <c r="P115">
        <v>27.15</v>
      </c>
      <c r="Q115">
        <v>0.13129325060810776</v>
      </c>
      <c r="R115">
        <v>-30.616</v>
      </c>
      <c r="S115">
        <v>-0.148054296892001</v>
      </c>
      <c r="T115">
        <v>-25.271000000000001</v>
      </c>
      <c r="U115">
        <v>73.757999999999996</v>
      </c>
      <c r="V115">
        <v>-33.673000000000002</v>
      </c>
      <c r="W115">
        <v>-0.16283748168422885</v>
      </c>
    </row>
    <row r="116" spans="1:23" x14ac:dyDescent="0.2">
      <c r="A116" t="s">
        <v>267</v>
      </c>
      <c r="B116">
        <v>1375.7365</v>
      </c>
      <c r="C116">
        <v>184.46100000000001</v>
      </c>
      <c r="D116">
        <v>309.411</v>
      </c>
      <c r="E116">
        <v>376.04599999999999</v>
      </c>
      <c r="F116">
        <v>4.4463076619771114</v>
      </c>
      <c r="G116">
        <v>3.6584260968073057</v>
      </c>
      <c r="H116">
        <v>0.67737895815375593</v>
      </c>
      <c r="I116">
        <v>0.21536079842022415</v>
      </c>
      <c r="J116">
        <v>220.4609998474121</v>
      </c>
      <c r="K116">
        <v>0.71251830040758768</v>
      </c>
      <c r="L116">
        <v>101.09399999999999</v>
      </c>
      <c r="M116">
        <v>0.32673046530343136</v>
      </c>
      <c r="N116">
        <v>200.18799999999999</v>
      </c>
      <c r="O116">
        <v>0.64699703630446226</v>
      </c>
      <c r="P116">
        <v>78.281999999999996</v>
      </c>
      <c r="Q116">
        <v>0.25300328689025275</v>
      </c>
      <c r="R116">
        <v>-163.124</v>
      </c>
      <c r="S116">
        <v>-0.52720814709237873</v>
      </c>
      <c r="T116">
        <v>19.364999999999998</v>
      </c>
      <c r="U116">
        <v>62.738999999999997</v>
      </c>
      <c r="V116">
        <v>-176.84800000000001</v>
      </c>
      <c r="W116">
        <v>-0.57156338979545007</v>
      </c>
    </row>
    <row r="117" spans="1:23" x14ac:dyDescent="0.2">
      <c r="A117" t="s">
        <v>269</v>
      </c>
      <c r="B117">
        <v>1455.3159000000001</v>
      </c>
      <c r="C117">
        <v>76.846000000000004</v>
      </c>
      <c r="D117">
        <v>122.828</v>
      </c>
      <c r="E117">
        <v>163.084</v>
      </c>
      <c r="F117">
        <v>11.848405086788029</v>
      </c>
      <c r="G117">
        <v>8.9237196782026444</v>
      </c>
      <c r="H117">
        <v>0.59836556229341797</v>
      </c>
      <c r="I117">
        <v>0.32774285993421692</v>
      </c>
      <c r="J117">
        <v>85.026000061035163</v>
      </c>
      <c r="K117">
        <v>0.69223629840944378</v>
      </c>
      <c r="L117">
        <v>22.241</v>
      </c>
      <c r="M117">
        <v>0.18107434786856416</v>
      </c>
      <c r="N117">
        <v>46.997999999999998</v>
      </c>
      <c r="O117">
        <v>0.38263262448301688</v>
      </c>
      <c r="P117">
        <v>22.895</v>
      </c>
      <c r="Q117">
        <v>0.18639886670791675</v>
      </c>
      <c r="R117">
        <v>-24.664999999999999</v>
      </c>
      <c r="S117">
        <v>-0.20080926173185265</v>
      </c>
      <c r="T117">
        <v>-5.0739999999999998</v>
      </c>
      <c r="U117">
        <v>102.75399999999999</v>
      </c>
      <c r="V117">
        <v>-39.188639999999999</v>
      </c>
      <c r="W117">
        <v>-0.3190529846614778</v>
      </c>
    </row>
    <row r="118" spans="1:23" x14ac:dyDescent="0.2">
      <c r="A118" t="s">
        <v>271</v>
      </c>
      <c r="B118">
        <v>1335.0657000000001</v>
      </c>
      <c r="C118">
        <v>193.29499999999999</v>
      </c>
      <c r="D118">
        <v>234.53299999999999</v>
      </c>
      <c r="E118">
        <v>255.227</v>
      </c>
      <c r="F118">
        <v>5.6924428545236712</v>
      </c>
      <c r="G118">
        <v>5.2308952422745243</v>
      </c>
      <c r="H118">
        <v>0.21334230062857293</v>
      </c>
      <c r="I118">
        <v>8.8234917900679388E-2</v>
      </c>
      <c r="J118">
        <v>156.26900183105468</v>
      </c>
      <c r="K118">
        <v>0.666298567071818</v>
      </c>
      <c r="L118">
        <v>23.183</v>
      </c>
      <c r="M118">
        <v>9.8847496940729029E-2</v>
      </c>
      <c r="N118">
        <v>73.295000000000002</v>
      </c>
      <c r="O118">
        <v>0.31251465678603868</v>
      </c>
      <c r="P118">
        <v>37.460999999999999</v>
      </c>
      <c r="Q118">
        <v>0.15972592343081785</v>
      </c>
      <c r="R118">
        <v>24.942</v>
      </c>
      <c r="S118">
        <v>0.10634750760020978</v>
      </c>
      <c r="T118">
        <v>34.721000000000004</v>
      </c>
      <c r="U118">
        <v>123.127</v>
      </c>
      <c r="V118">
        <v>10.046000000000001</v>
      </c>
      <c r="W118">
        <v>4.2834057467392654E-2</v>
      </c>
    </row>
    <row r="119" spans="1:23" x14ac:dyDescent="0.2">
      <c r="A119" t="s">
        <v>273</v>
      </c>
      <c r="B119">
        <v>2032.1335999999999</v>
      </c>
      <c r="C119">
        <v>649.09299999999996</v>
      </c>
      <c r="D119">
        <v>774.83100000000002</v>
      </c>
      <c r="E119">
        <v>685.5</v>
      </c>
      <c r="F119">
        <v>2.6226797843658809</v>
      </c>
      <c r="G119">
        <v>2.9644545587162652</v>
      </c>
      <c r="H119">
        <v>0.19371338159554957</v>
      </c>
      <c r="I119">
        <v>-0.11529094731625344</v>
      </c>
      <c r="J119">
        <v>572.46900695800787</v>
      </c>
      <c r="K119">
        <v>0.73883079917815353</v>
      </c>
      <c r="L119">
        <v>194.38200000000001</v>
      </c>
      <c r="M119">
        <v>0.25087018975750841</v>
      </c>
      <c r="N119" t="s">
        <v>480</v>
      </c>
      <c r="O119" t="e">
        <v>#VALUE!</v>
      </c>
      <c r="P119" t="s">
        <v>480</v>
      </c>
      <c r="Q119" t="e">
        <v>#VALUE!</v>
      </c>
      <c r="R119">
        <v>202.02800000000002</v>
      </c>
      <c r="S119">
        <v>0.26073814806067391</v>
      </c>
      <c r="T119">
        <v>162.07900000000001</v>
      </c>
      <c r="U119">
        <v>128.965</v>
      </c>
      <c r="V119">
        <v>-55.119129999999998</v>
      </c>
      <c r="W119">
        <v>-7.1136970513570055E-2</v>
      </c>
    </row>
    <row r="120" spans="1:23" x14ac:dyDescent="0.2">
      <c r="A120" t="s">
        <v>275</v>
      </c>
      <c r="B120">
        <v>719.44939999999997</v>
      </c>
      <c r="C120">
        <v>512.16099999999994</v>
      </c>
      <c r="D120">
        <v>506.92600000000004</v>
      </c>
      <c r="E120">
        <v>514</v>
      </c>
      <c r="F120">
        <v>1.4192394945218827</v>
      </c>
      <c r="G120">
        <v>1.3997070038910506</v>
      </c>
      <c r="H120">
        <v>-1.0221395225329341E-2</v>
      </c>
      <c r="I120">
        <v>1.3954699502491508E-2</v>
      </c>
      <c r="J120">
        <v>407.5589940185547</v>
      </c>
      <c r="K120">
        <v>0.803981239901987</v>
      </c>
      <c r="L120">
        <v>78.765999999999991</v>
      </c>
      <c r="M120">
        <v>0.15537968066344987</v>
      </c>
      <c r="N120">
        <v>174.61199999999999</v>
      </c>
      <c r="O120">
        <v>0.34445264200297476</v>
      </c>
      <c r="P120">
        <v>80.161000000000001</v>
      </c>
      <c r="Q120">
        <v>0.1581315616085977</v>
      </c>
      <c r="R120">
        <v>47.558000000000007</v>
      </c>
      <c r="S120">
        <v>9.3816454472644931E-2</v>
      </c>
      <c r="T120">
        <v>46.129999999999995</v>
      </c>
      <c r="U120">
        <v>420.24399999999997</v>
      </c>
      <c r="V120">
        <v>42.201000000000001</v>
      </c>
      <c r="W120">
        <v>8.3248837108374787E-2</v>
      </c>
    </row>
    <row r="121" spans="1:23" x14ac:dyDescent="0.2">
      <c r="A121" t="s">
        <v>277</v>
      </c>
      <c r="B121">
        <v>1403.5246</v>
      </c>
      <c r="C121">
        <v>405.34100000000001</v>
      </c>
      <c r="D121">
        <v>401.911</v>
      </c>
      <c r="E121">
        <v>396.25</v>
      </c>
      <c r="F121">
        <v>3.4921278591528968</v>
      </c>
      <c r="G121">
        <v>3.5420179179810725</v>
      </c>
      <c r="H121">
        <v>-8.4620109981472548E-3</v>
      </c>
      <c r="I121">
        <v>-1.4085207919166232E-2</v>
      </c>
      <c r="J121">
        <v>333.70999957275393</v>
      </c>
      <c r="K121">
        <v>0.83030820149922224</v>
      </c>
      <c r="L121">
        <v>76.988</v>
      </c>
      <c r="M121">
        <v>0.19155484671979617</v>
      </c>
      <c r="N121">
        <v>96.344999999999999</v>
      </c>
      <c r="O121">
        <v>0.23971725083413989</v>
      </c>
      <c r="P121">
        <v>45.738999999999997</v>
      </c>
      <c r="Q121">
        <v>0.11380380233434764</v>
      </c>
      <c r="R121">
        <v>142.37699999999998</v>
      </c>
      <c r="S121">
        <v>0.35425007028919331</v>
      </c>
      <c r="T121">
        <v>121.06</v>
      </c>
      <c r="U121">
        <v>133.464</v>
      </c>
      <c r="V121">
        <v>65.876939999999991</v>
      </c>
      <c r="W121">
        <v>0.16390927344611117</v>
      </c>
    </row>
    <row r="122" spans="1:23" x14ac:dyDescent="0.2">
      <c r="A122" t="s">
        <v>279</v>
      </c>
      <c r="B122">
        <v>1360.3652</v>
      </c>
      <c r="C122">
        <v>178.64599999999999</v>
      </c>
      <c r="D122">
        <v>225.61</v>
      </c>
      <c r="E122">
        <v>255.92000000000002</v>
      </c>
      <c r="F122">
        <v>6.0297203138158766</v>
      </c>
      <c r="G122">
        <v>5.3155876836511409</v>
      </c>
      <c r="H122">
        <v>0.26288861771324312</v>
      </c>
      <c r="I122">
        <v>0.13434688178715493</v>
      </c>
      <c r="J122">
        <v>161.06200064086914</v>
      </c>
      <c r="K122">
        <v>0.71389566349394595</v>
      </c>
      <c r="L122">
        <v>68.171999999999997</v>
      </c>
      <c r="M122">
        <v>0.30216745711626253</v>
      </c>
      <c r="N122">
        <v>84.161000000000001</v>
      </c>
      <c r="O122">
        <v>0.37303754266211603</v>
      </c>
      <c r="P122">
        <v>39.594000000000001</v>
      </c>
      <c r="Q122">
        <v>0.17549754000265946</v>
      </c>
      <c r="R122">
        <v>-48.74664556962</v>
      </c>
      <c r="S122">
        <v>-0.21606597921023002</v>
      </c>
      <c r="T122">
        <v>-0.20499999999999918</v>
      </c>
      <c r="U122">
        <v>60.332999999999998</v>
      </c>
      <c r="V122">
        <v>-53.88</v>
      </c>
      <c r="W122">
        <v>-0.23881920127653916</v>
      </c>
    </row>
    <row r="123" spans="1:23" x14ac:dyDescent="0.2">
      <c r="A123" t="s">
        <v>283</v>
      </c>
      <c r="B123">
        <v>2037.6169</v>
      </c>
      <c r="C123">
        <v>1265.364</v>
      </c>
      <c r="D123">
        <v>1442.086</v>
      </c>
      <c r="E123">
        <v>1299.5</v>
      </c>
      <c r="F123">
        <v>1.4129648994581461</v>
      </c>
      <c r="G123">
        <v>1.568000692574067</v>
      </c>
      <c r="H123">
        <v>0.13966099873238055</v>
      </c>
      <c r="I123">
        <v>-9.8874824386340321E-2</v>
      </c>
      <c r="J123">
        <v>493.43699993896485</v>
      </c>
      <c r="K123">
        <v>0.34216891360082885</v>
      </c>
      <c r="L123">
        <v>0</v>
      </c>
      <c r="M123">
        <v>0</v>
      </c>
      <c r="N123" t="s">
        <v>480</v>
      </c>
      <c r="O123" t="e">
        <v>#VALUE!</v>
      </c>
      <c r="P123" t="s">
        <v>480</v>
      </c>
      <c r="Q123" t="e">
        <v>#VALUE!</v>
      </c>
      <c r="R123">
        <v>321.95100000000002</v>
      </c>
      <c r="S123">
        <v>0.22325367557829423</v>
      </c>
      <c r="T123">
        <v>132.11700000000002</v>
      </c>
      <c r="U123">
        <v>51.37</v>
      </c>
      <c r="V123">
        <v>65.558989999999994</v>
      </c>
      <c r="W123">
        <v>4.546122075937218E-2</v>
      </c>
    </row>
    <row r="124" spans="1:23" x14ac:dyDescent="0.2">
      <c r="A124" t="s">
        <v>285</v>
      </c>
      <c r="B124">
        <v>1236.1941999999999</v>
      </c>
      <c r="C124">
        <v>1460.037</v>
      </c>
      <c r="D124">
        <v>1637.712</v>
      </c>
      <c r="E124">
        <v>1656.5</v>
      </c>
      <c r="F124">
        <v>0.75483003116543079</v>
      </c>
      <c r="G124">
        <v>0.74626875943253845</v>
      </c>
      <c r="H124">
        <v>0.12169212150103043</v>
      </c>
      <c r="I124">
        <v>1.147210254305997E-2</v>
      </c>
      <c r="J124">
        <v>553.73400109863292</v>
      </c>
      <c r="K124">
        <v>0.33811439441039259</v>
      </c>
      <c r="L124">
        <v>0</v>
      </c>
      <c r="M124">
        <v>0</v>
      </c>
      <c r="N124" t="s">
        <v>480</v>
      </c>
      <c r="O124" t="e">
        <v>#VALUE!</v>
      </c>
      <c r="P124">
        <v>376.863</v>
      </c>
      <c r="Q124">
        <v>0.23011555145227</v>
      </c>
      <c r="R124">
        <v>168.06400000000002</v>
      </c>
      <c r="S124">
        <v>0.10262121789423294</v>
      </c>
      <c r="T124">
        <v>53.613999999999997</v>
      </c>
      <c r="U124">
        <v>343.73399999999998</v>
      </c>
      <c r="V124">
        <v>71.187725335842003</v>
      </c>
      <c r="W124">
        <v>4.3467792466466634E-2</v>
      </c>
    </row>
    <row r="125" spans="1:23" x14ac:dyDescent="0.2">
      <c r="A125" t="s">
        <v>287</v>
      </c>
      <c r="B125">
        <v>1214.4014</v>
      </c>
      <c r="C125">
        <v>222.779</v>
      </c>
      <c r="D125">
        <v>233.78399999999999</v>
      </c>
      <c r="E125">
        <v>258.85399999999998</v>
      </c>
      <c r="F125">
        <v>5.194544536837423</v>
      </c>
      <c r="G125">
        <v>4.6914530971126585</v>
      </c>
      <c r="H125">
        <v>4.9398731478281145E-2</v>
      </c>
      <c r="I125">
        <v>0.10723573897272698</v>
      </c>
      <c r="J125">
        <v>174.50399725341796</v>
      </c>
      <c r="K125">
        <v>0.74643259270702</v>
      </c>
      <c r="L125">
        <v>40.033999999999999</v>
      </c>
      <c r="M125">
        <v>0.17124354104643602</v>
      </c>
      <c r="N125">
        <v>90.905000000000001</v>
      </c>
      <c r="O125">
        <v>0.38884183690928381</v>
      </c>
      <c r="P125">
        <v>43.124000000000002</v>
      </c>
      <c r="Q125">
        <v>0.18446086986277935</v>
      </c>
      <c r="R125">
        <v>9.7840000000000007</v>
      </c>
      <c r="S125">
        <v>4.1850597132395723E-2</v>
      </c>
      <c r="T125">
        <v>-19.381999999999998</v>
      </c>
      <c r="U125">
        <v>56.114999999999995</v>
      </c>
      <c r="V125">
        <v>-8.9980586626340013</v>
      </c>
      <c r="W125">
        <v>-3.8488770243618048E-2</v>
      </c>
    </row>
    <row r="126" spans="1:23" x14ac:dyDescent="0.2">
      <c r="A126" t="s">
        <v>289</v>
      </c>
      <c r="B126">
        <v>1444.5420999999999</v>
      </c>
      <c r="C126">
        <v>116.239</v>
      </c>
      <c r="D126">
        <v>162.01400000000001</v>
      </c>
      <c r="E126">
        <v>226.63</v>
      </c>
      <c r="F126">
        <v>8.9161560112089067</v>
      </c>
      <c r="G126">
        <v>6.3740109429466525</v>
      </c>
      <c r="H126">
        <v>0.39380070372250281</v>
      </c>
      <c r="I126">
        <v>0.39882973076400785</v>
      </c>
      <c r="J126">
        <v>126.376</v>
      </c>
      <c r="K126">
        <v>0.78003135531497281</v>
      </c>
      <c r="L126">
        <v>52.046999999999997</v>
      </c>
      <c r="M126">
        <v>0.3212500154307652</v>
      </c>
      <c r="N126">
        <v>107.19</v>
      </c>
      <c r="O126">
        <v>0.66160949053785467</v>
      </c>
      <c r="P126">
        <v>22.337</v>
      </c>
      <c r="Q126">
        <v>0.13787080128877749</v>
      </c>
      <c r="R126">
        <v>-48.109000000000002</v>
      </c>
      <c r="S126">
        <v>-0.29694347402076365</v>
      </c>
      <c r="T126">
        <v>-12.823</v>
      </c>
      <c r="U126">
        <v>36.073</v>
      </c>
      <c r="V126">
        <v>-55.826999999999998</v>
      </c>
      <c r="W126">
        <v>-0.34458133247744022</v>
      </c>
    </row>
    <row r="127" spans="1:23" x14ac:dyDescent="0.2">
      <c r="A127" t="s">
        <v>291</v>
      </c>
      <c r="B127">
        <v>1016.1319</v>
      </c>
      <c r="C127">
        <v>160.56899999999999</v>
      </c>
      <c r="D127">
        <v>212.47800000000001</v>
      </c>
      <c r="E127">
        <v>249.06300000000002</v>
      </c>
      <c r="F127">
        <v>4.7822922843776761</v>
      </c>
      <c r="G127">
        <v>4.0798187607151597</v>
      </c>
      <c r="H127">
        <v>0.32328157988154638</v>
      </c>
      <c r="I127">
        <v>0.17218253183859034</v>
      </c>
      <c r="J127">
        <v>147.23399932861327</v>
      </c>
      <c r="K127">
        <v>0.69293761861751924</v>
      </c>
      <c r="L127">
        <v>40.549999999999997</v>
      </c>
      <c r="M127">
        <v>0.19084328730503861</v>
      </c>
      <c r="N127">
        <v>87.948999999999998</v>
      </c>
      <c r="O127">
        <v>0.41392050000470637</v>
      </c>
      <c r="P127">
        <v>27.706</v>
      </c>
      <c r="Q127">
        <v>0.13039467615470776</v>
      </c>
      <c r="R127">
        <v>-14.339075949367</v>
      </c>
      <c r="S127">
        <v>-6.748499114904602E-2</v>
      </c>
      <c r="T127">
        <v>3.3149999999999999</v>
      </c>
      <c r="U127">
        <v>55.068999999999996</v>
      </c>
      <c r="V127">
        <v>-23.346969999999999</v>
      </c>
      <c r="W127">
        <v>-0.10987946987452818</v>
      </c>
    </row>
    <row r="128" spans="1:23" x14ac:dyDescent="0.2">
      <c r="A128" t="s">
        <v>293</v>
      </c>
      <c r="B128">
        <v>1118.7239</v>
      </c>
      <c r="C128">
        <v>339.52199999999999</v>
      </c>
      <c r="D128">
        <v>493.41899999999998</v>
      </c>
      <c r="E128">
        <v>540.76700000000005</v>
      </c>
      <c r="F128">
        <v>2.2672898692591894</v>
      </c>
      <c r="G128">
        <v>2.0687725027599684</v>
      </c>
      <c r="H128">
        <v>0.45327548730273737</v>
      </c>
      <c r="I128">
        <v>9.5959012522825571E-2</v>
      </c>
      <c r="J128">
        <v>254.20199630737304</v>
      </c>
      <c r="K128">
        <v>0.51518485568527572</v>
      </c>
      <c r="L128">
        <v>80.164000000000001</v>
      </c>
      <c r="M128">
        <v>0.162466382526818</v>
      </c>
      <c r="N128">
        <v>151.34100000000001</v>
      </c>
      <c r="O128">
        <v>0.3067190359511896</v>
      </c>
      <c r="P128">
        <v>92.725999999999999</v>
      </c>
      <c r="Q128">
        <v>0.18792547510330976</v>
      </c>
      <c r="R128">
        <v>-32.902000000000001</v>
      </c>
      <c r="S128">
        <v>-6.6681664062389165E-2</v>
      </c>
      <c r="T128">
        <v>9.2789999999999999</v>
      </c>
      <c r="U128">
        <v>101.539</v>
      </c>
      <c r="V128">
        <v>-51.781127336844001</v>
      </c>
      <c r="W128">
        <v>-0.10494352130105246</v>
      </c>
    </row>
    <row r="129" spans="1:23" x14ac:dyDescent="0.2">
      <c r="A129" t="s">
        <v>295</v>
      </c>
      <c r="B129">
        <v>1357.76</v>
      </c>
      <c r="C129">
        <v>760.95799999999997</v>
      </c>
      <c r="D129">
        <v>819.13599999999997</v>
      </c>
      <c r="E129">
        <v>876.5</v>
      </c>
      <c r="F129">
        <v>1.6575513712008751</v>
      </c>
      <c r="G129">
        <v>1.5490701654306902</v>
      </c>
      <c r="H129">
        <v>7.6453628189729256E-2</v>
      </c>
      <c r="I129">
        <v>7.0029885147277149E-2</v>
      </c>
      <c r="J129">
        <v>409.10499536132812</v>
      </c>
      <c r="K129">
        <v>0.49943476463167064</v>
      </c>
      <c r="L129">
        <v>113.19999999999999</v>
      </c>
      <c r="M129">
        <v>0.13819439018673332</v>
      </c>
      <c r="N129" t="s">
        <v>480</v>
      </c>
      <c r="O129" t="e">
        <v>#VALUE!</v>
      </c>
      <c r="P129" t="s">
        <v>480</v>
      </c>
      <c r="Q129" t="e">
        <v>#VALUE!</v>
      </c>
      <c r="R129">
        <v>168.92100000000002</v>
      </c>
      <c r="S129">
        <v>0.20621850339870307</v>
      </c>
      <c r="T129">
        <v>48.022999999999996</v>
      </c>
      <c r="U129">
        <v>122.24299999999999</v>
      </c>
      <c r="V129">
        <v>64.680810627462009</v>
      </c>
      <c r="W129">
        <v>7.8962236585209303E-2</v>
      </c>
    </row>
    <row r="130" spans="1:23" x14ac:dyDescent="0.2">
      <c r="A130" t="s">
        <v>297</v>
      </c>
      <c r="B130">
        <v>1386.7829999999999</v>
      </c>
      <c r="C130">
        <v>1275.258</v>
      </c>
      <c r="D130">
        <v>1510.7610000000002</v>
      </c>
      <c r="E130">
        <v>1523.8330000000001</v>
      </c>
      <c r="F130">
        <v>0.91793672195668252</v>
      </c>
      <c r="G130">
        <v>0.91006232310233459</v>
      </c>
      <c r="H130">
        <v>0.18467086660111143</v>
      </c>
      <c r="I130">
        <v>8.6525929647376376E-3</v>
      </c>
      <c r="J130">
        <v>364.96499401855471</v>
      </c>
      <c r="K130">
        <v>0.24157692316557991</v>
      </c>
      <c r="L130">
        <v>0</v>
      </c>
      <c r="M130">
        <v>0</v>
      </c>
      <c r="N130" t="s">
        <v>480</v>
      </c>
      <c r="O130" t="e">
        <v>#VALUE!</v>
      </c>
      <c r="P130" t="s">
        <v>480</v>
      </c>
      <c r="Q130" t="e">
        <v>#VALUE!</v>
      </c>
      <c r="R130">
        <v>185.99944985394302</v>
      </c>
      <c r="S130">
        <v>0.12311639620955465</v>
      </c>
      <c r="T130">
        <v>89.751000000000005</v>
      </c>
      <c r="U130">
        <v>74.436999999999998</v>
      </c>
      <c r="V130">
        <v>69.219760000000008</v>
      </c>
      <c r="W130">
        <v>4.5817809699879732E-2</v>
      </c>
    </row>
    <row r="131" spans="1:23" x14ac:dyDescent="0.2">
      <c r="A131" t="s">
        <v>299</v>
      </c>
      <c r="B131">
        <v>949.03020000000004</v>
      </c>
      <c r="C131">
        <v>166.84100000000001</v>
      </c>
      <c r="D131">
        <v>257.60300000000001</v>
      </c>
      <c r="E131">
        <v>302.613</v>
      </c>
      <c r="F131">
        <v>3.6840805425402654</v>
      </c>
      <c r="G131">
        <v>3.1361184086605665</v>
      </c>
      <c r="H131">
        <v>0.54400297289035671</v>
      </c>
      <c r="I131">
        <v>0.17472622601444865</v>
      </c>
      <c r="J131">
        <v>194.42499871826172</v>
      </c>
      <c r="K131">
        <v>0.75474664005567371</v>
      </c>
      <c r="L131">
        <v>47.434999999999995</v>
      </c>
      <c r="M131">
        <v>0.18413993625850628</v>
      </c>
      <c r="N131">
        <v>151.09299999999999</v>
      </c>
      <c r="O131">
        <v>0.58653431831151026</v>
      </c>
      <c r="P131">
        <v>51.206000000000003</v>
      </c>
      <c r="Q131">
        <v>0.19877874093081216</v>
      </c>
      <c r="R131">
        <v>-82.965000000000003</v>
      </c>
      <c r="S131">
        <v>-0.32206534861783442</v>
      </c>
      <c r="T131">
        <v>-6.802999999999999</v>
      </c>
      <c r="U131">
        <v>63.009</v>
      </c>
      <c r="V131">
        <v>-92.112000000000009</v>
      </c>
      <c r="W131">
        <v>-0.35757347546418328</v>
      </c>
    </row>
    <row r="132" spans="1:23" x14ac:dyDescent="0.2">
      <c r="A132" t="s">
        <v>303</v>
      </c>
      <c r="B132">
        <v>1209.0925</v>
      </c>
      <c r="C132">
        <v>153.27600000000001</v>
      </c>
      <c r="D132">
        <v>183.61700000000002</v>
      </c>
      <c r="E132">
        <v>205.86799999999999</v>
      </c>
      <c r="F132">
        <v>6.5848614235065375</v>
      </c>
      <c r="G132">
        <v>5.8731444420696759</v>
      </c>
      <c r="H132">
        <v>0.19795010308202202</v>
      </c>
      <c r="I132">
        <v>0.12118158993992911</v>
      </c>
      <c r="J132">
        <v>109.50099978637695</v>
      </c>
      <c r="K132">
        <v>0.59635545611995044</v>
      </c>
      <c r="L132">
        <v>56.021000000000001</v>
      </c>
      <c r="M132">
        <v>0.30509702260683919</v>
      </c>
      <c r="N132">
        <v>68.116</v>
      </c>
      <c r="O132">
        <v>0.37096782977611004</v>
      </c>
      <c r="P132">
        <v>40.335999999999999</v>
      </c>
      <c r="Q132">
        <v>0.21967464886148882</v>
      </c>
      <c r="R132">
        <v>-44.247999999999998</v>
      </c>
      <c r="S132">
        <v>-0.24097986569870977</v>
      </c>
      <c r="T132">
        <v>-6.407</v>
      </c>
      <c r="U132">
        <v>160.505</v>
      </c>
      <c r="V132">
        <v>-63.304550127549</v>
      </c>
      <c r="W132">
        <v>-0.3447641020578105</v>
      </c>
    </row>
    <row r="133" spans="1:23" x14ac:dyDescent="0.2">
      <c r="A133" t="s">
        <v>305</v>
      </c>
      <c r="B133">
        <v>1011.2338999999999</v>
      </c>
      <c r="C133">
        <v>110.88</v>
      </c>
      <c r="D133">
        <v>184.83700000000002</v>
      </c>
      <c r="E133">
        <v>231.28900000000002</v>
      </c>
      <c r="F133">
        <v>5.4709495393238363</v>
      </c>
      <c r="G133">
        <v>4.3721659914652227</v>
      </c>
      <c r="H133">
        <v>0.66700036075036095</v>
      </c>
      <c r="I133">
        <v>0.25131331930295331</v>
      </c>
      <c r="J133">
        <v>130.4860018157959</v>
      </c>
      <c r="K133">
        <v>0.70595174026734853</v>
      </c>
      <c r="L133">
        <v>48.292999999999999</v>
      </c>
      <c r="M133">
        <v>0.26127344633379679</v>
      </c>
      <c r="N133">
        <v>83.715999999999994</v>
      </c>
      <c r="O133">
        <v>0.45291797637918807</v>
      </c>
      <c r="P133">
        <v>31.196000000000002</v>
      </c>
      <c r="Q133">
        <v>0.16877573213155375</v>
      </c>
      <c r="R133">
        <v>-40.238</v>
      </c>
      <c r="S133">
        <v>-0.21769450921622832</v>
      </c>
      <c r="T133">
        <v>-18.588999999999992</v>
      </c>
      <c r="U133">
        <v>35.692999999999998</v>
      </c>
      <c r="V133">
        <v>-49.079000000000001</v>
      </c>
      <c r="W133">
        <v>-0.2655258416875409</v>
      </c>
    </row>
    <row r="134" spans="1:23" x14ac:dyDescent="0.2">
      <c r="A134" t="s">
        <v>307</v>
      </c>
      <c r="B134">
        <v>1106.0070000000001</v>
      </c>
      <c r="C134">
        <v>233.33500000000001</v>
      </c>
      <c r="D134">
        <v>252.16</v>
      </c>
      <c r="E134">
        <v>269.78399999999999</v>
      </c>
      <c r="F134">
        <v>4.3861318210659901</v>
      </c>
      <c r="G134">
        <v>4.0996019037452189</v>
      </c>
      <c r="H134">
        <v>8.0677995157177398E-2</v>
      </c>
      <c r="I134">
        <v>6.989213197969546E-2</v>
      </c>
      <c r="J134">
        <v>126.30899749755859</v>
      </c>
      <c r="K134">
        <v>0.50090814362927738</v>
      </c>
      <c r="L134">
        <v>49.548999999999999</v>
      </c>
      <c r="M134">
        <v>0.19649825507614213</v>
      </c>
      <c r="N134">
        <v>69.28</v>
      </c>
      <c r="O134">
        <v>0.27474619289340102</v>
      </c>
      <c r="P134">
        <v>27.268000000000001</v>
      </c>
      <c r="Q134">
        <v>0.10813769035532995</v>
      </c>
      <c r="R134">
        <v>-11.269886075949</v>
      </c>
      <c r="S134">
        <v>-4.4693393384950028E-2</v>
      </c>
      <c r="T134">
        <v>-2.8339999999999996</v>
      </c>
      <c r="U134">
        <v>55.335000000000001</v>
      </c>
      <c r="V134">
        <v>-40.211799999999997</v>
      </c>
      <c r="W134">
        <v>-0.15946938451776649</v>
      </c>
    </row>
    <row r="135" spans="1:23" x14ac:dyDescent="0.2">
      <c r="A135" t="s">
        <v>309</v>
      </c>
      <c r="B135">
        <v>768.43140000000005</v>
      </c>
      <c r="C135">
        <v>317.91467</v>
      </c>
      <c r="D135">
        <v>347.22800000000001</v>
      </c>
      <c r="E135">
        <v>324.12</v>
      </c>
      <c r="F135">
        <v>2.2130456069211011</v>
      </c>
      <c r="G135">
        <v>2.370823768974454</v>
      </c>
      <c r="H135">
        <v>9.2205024700495908E-2</v>
      </c>
      <c r="I135">
        <v>-6.6549932609121343E-2</v>
      </c>
      <c r="J135">
        <v>141.53299899291994</v>
      </c>
      <c r="K135">
        <v>0.40760825449825455</v>
      </c>
      <c r="L135">
        <v>0</v>
      </c>
      <c r="M135">
        <v>0</v>
      </c>
      <c r="N135" t="s">
        <v>480</v>
      </c>
      <c r="O135" t="e">
        <v>#VALUE!</v>
      </c>
      <c r="P135" t="s">
        <v>480</v>
      </c>
      <c r="Q135" t="e">
        <v>#VALUE!</v>
      </c>
      <c r="R135">
        <v>88.400999999999996</v>
      </c>
      <c r="S135">
        <v>0.25459064361169026</v>
      </c>
      <c r="T135">
        <v>53.626999999999995</v>
      </c>
      <c r="U135">
        <v>160.77699999999999</v>
      </c>
      <c r="V135">
        <v>57.685500000000005</v>
      </c>
      <c r="W135">
        <v>0.1661314755722465</v>
      </c>
    </row>
    <row r="136" spans="1:23" x14ac:dyDescent="0.2">
      <c r="A136" t="s">
        <v>313</v>
      </c>
      <c r="B136">
        <v>684.58810000000005</v>
      </c>
      <c r="C136">
        <v>277.85199999999998</v>
      </c>
      <c r="D136">
        <v>328.411</v>
      </c>
      <c r="E136">
        <v>339.733</v>
      </c>
      <c r="F136">
        <v>2.0845468026345038</v>
      </c>
      <c r="G136">
        <v>2.0150768397535712</v>
      </c>
      <c r="H136">
        <v>0.18196377927817697</v>
      </c>
      <c r="I136">
        <v>3.4475093708797866E-2</v>
      </c>
      <c r="J136">
        <v>169.04300082397461</v>
      </c>
      <c r="K136">
        <v>0.51473002068741491</v>
      </c>
      <c r="L136">
        <v>47.661000000000001</v>
      </c>
      <c r="M136">
        <v>0.14512607677574746</v>
      </c>
      <c r="N136">
        <v>75.367999999999995</v>
      </c>
      <c r="O136">
        <v>0.22949292197886184</v>
      </c>
      <c r="P136">
        <v>35.222000000000001</v>
      </c>
      <c r="Q136">
        <v>0.10724975716404141</v>
      </c>
      <c r="R136">
        <v>6.7769999999999992</v>
      </c>
      <c r="S136">
        <v>2.0635727792309023E-2</v>
      </c>
      <c r="T136">
        <v>18.332999999999998</v>
      </c>
      <c r="U136">
        <v>147.023</v>
      </c>
      <c r="V136">
        <v>-1.2028757999999999</v>
      </c>
      <c r="W136">
        <v>-3.6627147080944304E-3</v>
      </c>
    </row>
    <row r="137" spans="1:23" x14ac:dyDescent="0.2">
      <c r="A137" t="s">
        <v>315</v>
      </c>
      <c r="B137">
        <v>386.01310000000001</v>
      </c>
      <c r="C137">
        <v>17880</v>
      </c>
      <c r="D137">
        <v>421.69007902324608</v>
      </c>
      <c r="E137">
        <v>255.601</v>
      </c>
      <c r="F137">
        <v>0.91539526112190239</v>
      </c>
      <c r="G137">
        <v>1.5102174874120211</v>
      </c>
      <c r="H137">
        <v>-0.97641554367878935</v>
      </c>
      <c r="I137">
        <v>-0.39386527519915937</v>
      </c>
      <c r="J137">
        <v>218.75141071311592</v>
      </c>
      <c r="K137">
        <v>0.51874924641292552</v>
      </c>
      <c r="L137">
        <v>0</v>
      </c>
      <c r="M137">
        <v>0</v>
      </c>
      <c r="N137" t="s">
        <v>480</v>
      </c>
      <c r="O137" t="e">
        <v>#VALUE!</v>
      </c>
      <c r="P137" t="s">
        <v>480</v>
      </c>
      <c r="Q137" t="e">
        <v>#VALUE!</v>
      </c>
      <c r="R137">
        <v>81.622901835776418</v>
      </c>
      <c r="S137">
        <v>0.19356135203568989</v>
      </c>
      <c r="T137">
        <v>12107</v>
      </c>
      <c r="U137">
        <v>18406</v>
      </c>
      <c r="V137">
        <v>54.138304797875108</v>
      </c>
      <c r="W137">
        <v>0.12838410835577349</v>
      </c>
    </row>
    <row r="138" spans="1:23" x14ac:dyDescent="0.2">
      <c r="A138" t="s">
        <v>317</v>
      </c>
      <c r="B138">
        <v>759.31349999999998</v>
      </c>
      <c r="C138">
        <v>203.441</v>
      </c>
      <c r="D138">
        <v>242.89300000000003</v>
      </c>
      <c r="E138">
        <v>247.21700000000001</v>
      </c>
      <c r="F138">
        <v>3.1261234370689972</v>
      </c>
      <c r="G138">
        <v>3.0714453294069579</v>
      </c>
      <c r="H138">
        <v>0.19392354540136958</v>
      </c>
      <c r="I138">
        <v>1.7802077457975241E-2</v>
      </c>
      <c r="J138">
        <v>197.1649987182617</v>
      </c>
      <c r="K138">
        <v>0.8117360266383209</v>
      </c>
      <c r="L138">
        <v>37.662999999999997</v>
      </c>
      <c r="M138">
        <v>0.15506004701658752</v>
      </c>
      <c r="N138">
        <v>91.507999999999996</v>
      </c>
      <c r="O138">
        <v>0.37674202220730935</v>
      </c>
      <c r="P138">
        <v>46.557000000000002</v>
      </c>
      <c r="Q138">
        <v>0.19167699357330181</v>
      </c>
      <c r="R138">
        <v>40.060203810127</v>
      </c>
      <c r="S138">
        <v>0.16492942904952795</v>
      </c>
      <c r="T138" t="s">
        <v>480</v>
      </c>
      <c r="U138">
        <v>82.822000000000003</v>
      </c>
      <c r="V138">
        <v>15.346821010000001</v>
      </c>
      <c r="W138">
        <v>6.3183463541559445E-2</v>
      </c>
    </row>
    <row r="139" spans="1:23" x14ac:dyDescent="0.2">
      <c r="A139" t="s">
        <v>325</v>
      </c>
      <c r="B139">
        <v>599.29819999999995</v>
      </c>
      <c r="C139">
        <v>192.304</v>
      </c>
      <c r="D139">
        <v>200.61800000000002</v>
      </c>
      <c r="E139">
        <v>222.86700000000002</v>
      </c>
      <c r="F139">
        <v>2.9872603654706951</v>
      </c>
      <c r="G139">
        <v>2.6890396514513135</v>
      </c>
      <c r="H139">
        <v>4.3233630085697757E-2</v>
      </c>
      <c r="I139">
        <v>0.1109023118563639</v>
      </c>
      <c r="J139">
        <v>143.23199945068359</v>
      </c>
      <c r="K139">
        <v>0.71395387976494418</v>
      </c>
      <c r="L139">
        <v>23.119</v>
      </c>
      <c r="M139">
        <v>0.11523891176265338</v>
      </c>
      <c r="N139">
        <v>58.994</v>
      </c>
      <c r="O139">
        <v>0.29406135042717996</v>
      </c>
      <c r="P139">
        <v>37.4</v>
      </c>
      <c r="Q139">
        <v>0.18642394999451692</v>
      </c>
      <c r="R139">
        <v>18.504999999999999</v>
      </c>
      <c r="S139">
        <v>9.2239978466538378E-2</v>
      </c>
      <c r="T139">
        <v>-11.802</v>
      </c>
      <c r="U139">
        <v>78.661000000000001</v>
      </c>
      <c r="V139">
        <v>7.2605520712620004</v>
      </c>
      <c r="W139">
        <v>3.6190930381431376E-2</v>
      </c>
    </row>
    <row r="140" spans="1:23" x14ac:dyDescent="0.2">
      <c r="A140" t="s">
        <v>327</v>
      </c>
      <c r="B140">
        <v>2001.8032000000001</v>
      </c>
      <c r="C140">
        <v>789.92600000000004</v>
      </c>
      <c r="D140">
        <v>1528.231</v>
      </c>
      <c r="E140">
        <v>1645</v>
      </c>
      <c r="F140">
        <v>1.3098826028264052</v>
      </c>
      <c r="G140">
        <v>1.2169016413373861</v>
      </c>
      <c r="H140">
        <v>0.93465084071166149</v>
      </c>
      <c r="I140">
        <v>7.6407951415721875E-2</v>
      </c>
      <c r="J140">
        <v>375.46800091552734</v>
      </c>
      <c r="K140">
        <v>0.24568798886786575</v>
      </c>
      <c r="L140">
        <v>0</v>
      </c>
      <c r="M140">
        <v>0</v>
      </c>
      <c r="N140" t="s">
        <v>480</v>
      </c>
      <c r="O140" t="e">
        <v>#VALUE!</v>
      </c>
      <c r="P140">
        <v>220.95500000000001</v>
      </c>
      <c r="Q140">
        <v>0.14458219994228622</v>
      </c>
      <c r="R140">
        <v>275.851</v>
      </c>
      <c r="S140">
        <v>0.18050347100667372</v>
      </c>
      <c r="T140">
        <v>6.2910000000000075</v>
      </c>
      <c r="U140">
        <v>39</v>
      </c>
      <c r="V140">
        <v>-52.607639999999996</v>
      </c>
      <c r="W140">
        <v>-3.4423879635997433E-2</v>
      </c>
    </row>
    <row r="141" spans="1:23" x14ac:dyDescent="0.2">
      <c r="A141" t="s">
        <v>329</v>
      </c>
      <c r="B141">
        <v>748.60599999999999</v>
      </c>
      <c r="C141">
        <v>70.322000000000003</v>
      </c>
      <c r="D141">
        <v>42.178586942867071</v>
      </c>
      <c r="E141">
        <v>103.099</v>
      </c>
      <c r="F141">
        <v>17.748484580908862</v>
      </c>
      <c r="G141">
        <v>7.2610403592663362</v>
      </c>
      <c r="H141">
        <v>-0.40020780206952206</v>
      </c>
      <c r="I141">
        <v>1.4443445708518534</v>
      </c>
      <c r="J141">
        <v>10.568609400887199</v>
      </c>
      <c r="K141">
        <v>0.25056812394409728</v>
      </c>
      <c r="L141">
        <v>10.614831048696628</v>
      </c>
      <c r="M141">
        <v>0.25166397971261883</v>
      </c>
      <c r="N141">
        <v>8.8403345824744104</v>
      </c>
      <c r="O141">
        <v>0.20959295280444246</v>
      </c>
      <c r="P141">
        <v>4.8045328849601585</v>
      </c>
      <c r="Q141">
        <v>0.11390928983628897</v>
      </c>
      <c r="R141">
        <v>-12.381475760643527</v>
      </c>
      <c r="S141">
        <v>-0.29354885163447586</v>
      </c>
      <c r="T141" t="s">
        <v>480</v>
      </c>
      <c r="U141">
        <v>208.161</v>
      </c>
      <c r="V141">
        <v>-13.376278212695807</v>
      </c>
      <c r="W141">
        <v>-0.31713433716531614</v>
      </c>
    </row>
    <row r="142" spans="1:23" x14ac:dyDescent="0.2">
      <c r="A142" t="s">
        <v>331</v>
      </c>
      <c r="B142">
        <v>789.97940000000006</v>
      </c>
      <c r="C142">
        <v>74.766999999999996</v>
      </c>
      <c r="D142">
        <v>121.47999999999999</v>
      </c>
      <c r="E142">
        <v>163.429</v>
      </c>
      <c r="F142">
        <v>6.5029585116891679</v>
      </c>
      <c r="G142">
        <v>4.8337773589754578</v>
      </c>
      <c r="H142">
        <v>0.62478098626399348</v>
      </c>
      <c r="I142">
        <v>0.34531610141587099</v>
      </c>
      <c r="J142">
        <v>81.369998809814447</v>
      </c>
      <c r="K142">
        <v>0.66982218315619402</v>
      </c>
      <c r="L142">
        <v>15.253</v>
      </c>
      <c r="M142">
        <v>0.12555976292393811</v>
      </c>
      <c r="N142">
        <v>15.307</v>
      </c>
      <c r="O142">
        <v>0.12600428054000659</v>
      </c>
      <c r="P142">
        <v>23.291</v>
      </c>
      <c r="Q142">
        <v>0.19172703325650314</v>
      </c>
      <c r="R142">
        <v>25.582999999999998</v>
      </c>
      <c r="S142">
        <v>0.210594336516299</v>
      </c>
      <c r="T142">
        <v>5.1309999999999993</v>
      </c>
      <c r="U142">
        <v>22.326000000000001</v>
      </c>
      <c r="V142">
        <v>-2.0403708767979998</v>
      </c>
      <c r="W142">
        <v>-1.6795940704626276E-2</v>
      </c>
    </row>
    <row r="143" spans="1:23" x14ac:dyDescent="0.2">
      <c r="A143" t="s">
        <v>339</v>
      </c>
      <c r="B143">
        <v>471.51530000000002</v>
      </c>
      <c r="C143">
        <v>106.971</v>
      </c>
      <c r="D143">
        <v>155.49099999999999</v>
      </c>
      <c r="E143">
        <v>150.45000000000002</v>
      </c>
      <c r="F143">
        <v>3.0324282434353118</v>
      </c>
      <c r="G143">
        <v>3.1340332336324357</v>
      </c>
      <c r="H143">
        <v>0.45358087706013761</v>
      </c>
      <c r="I143">
        <v>-3.2419882822799839E-2</v>
      </c>
      <c r="J143">
        <v>91.647999832153317</v>
      </c>
      <c r="K143">
        <v>0.58941031848887282</v>
      </c>
      <c r="L143">
        <v>31.064</v>
      </c>
      <c r="M143">
        <v>0.19978005157854797</v>
      </c>
      <c r="N143">
        <v>41.338999999999999</v>
      </c>
      <c r="O143">
        <v>0.2658610466200616</v>
      </c>
      <c r="P143">
        <v>36.280999999999999</v>
      </c>
      <c r="Q143">
        <v>0.23333183271057489</v>
      </c>
      <c r="R143">
        <v>-12.936999999999999</v>
      </c>
      <c r="S143">
        <v>-8.3200956968570536E-2</v>
      </c>
      <c r="T143">
        <v>2.270999999999999</v>
      </c>
      <c r="U143">
        <v>56.704000000000001</v>
      </c>
      <c r="V143">
        <v>-30.891449999999999</v>
      </c>
      <c r="W143">
        <v>-0.19867034104867806</v>
      </c>
    </row>
    <row r="144" spans="1:23" x14ac:dyDescent="0.2">
      <c r="A144" t="s">
        <v>343</v>
      </c>
      <c r="B144">
        <v>343.18979999999999</v>
      </c>
      <c r="C144">
        <v>163.92599999999999</v>
      </c>
      <c r="D144">
        <v>181.369</v>
      </c>
      <c r="E144">
        <v>204.3</v>
      </c>
      <c r="F144">
        <v>1.8922186261158191</v>
      </c>
      <c r="G144">
        <v>1.6798325991189427</v>
      </c>
      <c r="H144">
        <v>0.10640776935934515</v>
      </c>
      <c r="I144">
        <v>0.12643285236175972</v>
      </c>
      <c r="J144">
        <v>150.5580012512207</v>
      </c>
      <c r="K144">
        <v>0.83011981789181555</v>
      </c>
      <c r="L144">
        <v>75.349999999999994</v>
      </c>
      <c r="M144">
        <v>0.41545137261604792</v>
      </c>
      <c r="N144">
        <v>96.477000000000004</v>
      </c>
      <c r="O144">
        <v>0.53193765196918985</v>
      </c>
      <c r="P144">
        <v>28.091000000000001</v>
      </c>
      <c r="Q144">
        <v>0.15488313879439156</v>
      </c>
      <c r="R144">
        <v>-47.040999999999997</v>
      </c>
      <c r="S144">
        <v>-0.25936626435609172</v>
      </c>
      <c r="T144">
        <v>14.708</v>
      </c>
      <c r="U144">
        <v>85.832999999999998</v>
      </c>
      <c r="V144">
        <v>-51.76737</v>
      </c>
      <c r="W144">
        <v>-0.28542567914031614</v>
      </c>
    </row>
    <row r="145" spans="1:23" x14ac:dyDescent="0.2">
      <c r="A145" t="s">
        <v>345</v>
      </c>
      <c r="B145">
        <v>1157.5277000000001</v>
      </c>
      <c r="C145" t="s">
        <v>480</v>
      </c>
      <c r="D145">
        <v>108.524</v>
      </c>
      <c r="E145">
        <v>148.155</v>
      </c>
      <c r="F145">
        <v>10.66609874313516</v>
      </c>
      <c r="G145">
        <v>7.8129506260335466</v>
      </c>
      <c r="H145" t="e">
        <v>#VALUE!</v>
      </c>
      <c r="I145">
        <v>0.36518189524897715</v>
      </c>
      <c r="J145">
        <v>63.605000000000004</v>
      </c>
      <c r="K145">
        <v>0.58609155578489558</v>
      </c>
      <c r="L145">
        <v>78.260999999999996</v>
      </c>
      <c r="M145">
        <v>0.72114002432641622</v>
      </c>
      <c r="N145">
        <v>131.80199999999999</v>
      </c>
      <c r="O145">
        <v>1.2144963326084552</v>
      </c>
      <c r="P145">
        <v>29.323</v>
      </c>
      <c r="Q145">
        <v>0.27019829715086063</v>
      </c>
      <c r="R145">
        <v>-158.636</v>
      </c>
      <c r="S145">
        <v>-1.4617596107773396</v>
      </c>
      <c r="T145" t="s">
        <v>480</v>
      </c>
      <c r="U145">
        <v>61.971999999999994</v>
      </c>
      <c r="V145">
        <v>-176.56200000000001</v>
      </c>
      <c r="W145">
        <v>-1.6269396631159929</v>
      </c>
    </row>
    <row r="146" spans="1:23" x14ac:dyDescent="0.2">
      <c r="A146" t="s">
        <v>351</v>
      </c>
      <c r="B146">
        <v>290.68</v>
      </c>
      <c r="C146">
        <v>227.297</v>
      </c>
      <c r="D146">
        <v>231.34999999999997</v>
      </c>
      <c r="E146">
        <v>233.3</v>
      </c>
      <c r="F146">
        <v>1.2564512643181329</v>
      </c>
      <c r="G146">
        <v>1.2459494213459066</v>
      </c>
      <c r="H146">
        <v>1.7831295617627901E-2</v>
      </c>
      <c r="I146">
        <v>8.4287875513293642E-3</v>
      </c>
      <c r="J146">
        <v>179.79799935913087</v>
      </c>
      <c r="K146">
        <v>0.77716878910365639</v>
      </c>
      <c r="L146">
        <v>62.991</v>
      </c>
      <c r="M146">
        <v>0.27227577263885894</v>
      </c>
      <c r="N146">
        <v>101.36</v>
      </c>
      <c r="O146">
        <v>0.43812405446293501</v>
      </c>
      <c r="P146">
        <v>28.132000000000001</v>
      </c>
      <c r="Q146">
        <v>0.1215993084071753</v>
      </c>
      <c r="R146">
        <v>-9.2555696202529987</v>
      </c>
      <c r="S146">
        <v>-4.0006784613153233E-2</v>
      </c>
      <c r="T146" t="s">
        <v>480</v>
      </c>
      <c r="U146">
        <v>46.567</v>
      </c>
      <c r="V146">
        <v>-19.502000000000002</v>
      </c>
      <c r="W146">
        <v>-8.4296520423600627E-2</v>
      </c>
    </row>
    <row r="147" spans="1:23" x14ac:dyDescent="0.2">
      <c r="A147" t="s">
        <v>353</v>
      </c>
      <c r="B147">
        <v>388.22890000000001</v>
      </c>
      <c r="C147">
        <v>15.507</v>
      </c>
      <c r="D147">
        <v>29.199000000000002</v>
      </c>
      <c r="E147">
        <v>39.658999999999999</v>
      </c>
      <c r="F147">
        <v>13.295965615260796</v>
      </c>
      <c r="G147">
        <v>9.7891752187397572</v>
      </c>
      <c r="H147">
        <v>0.88295608434900386</v>
      </c>
      <c r="I147">
        <v>0.35823144628240677</v>
      </c>
      <c r="J147">
        <v>15.933999778747559</v>
      </c>
      <c r="K147">
        <v>0.54570361240958798</v>
      </c>
      <c r="L147">
        <v>4.1589999999999998</v>
      </c>
      <c r="M147">
        <v>0.14243638480769888</v>
      </c>
      <c r="N147">
        <v>6.1790000000000003</v>
      </c>
      <c r="O147">
        <v>0.2116168361930203</v>
      </c>
      <c r="P147">
        <v>5.5949999999999998</v>
      </c>
      <c r="Q147">
        <v>0.19161615123805609</v>
      </c>
      <c r="R147">
        <v>0.91400000000000003</v>
      </c>
      <c r="S147">
        <v>3.130244186444741E-2</v>
      </c>
      <c r="T147">
        <v>-10.175999999999998</v>
      </c>
      <c r="U147">
        <v>19.567</v>
      </c>
      <c r="V147">
        <v>-4.5880099999999997</v>
      </c>
      <c r="W147">
        <v>-0.15712901126750914</v>
      </c>
    </row>
    <row r="148" spans="1:23" x14ac:dyDescent="0.2">
      <c r="A148" t="s">
        <v>355</v>
      </c>
      <c r="B148">
        <v>374.9058</v>
      </c>
      <c r="C148">
        <v>201.64599999999999</v>
      </c>
      <c r="D148">
        <v>271.697</v>
      </c>
      <c r="E148">
        <v>301</v>
      </c>
      <c r="F148">
        <v>1.3798672786228776</v>
      </c>
      <c r="G148">
        <v>1.245534219269103</v>
      </c>
      <c r="H148">
        <v>0.3473959314838877</v>
      </c>
      <c r="I148">
        <v>0.10785176133707775</v>
      </c>
      <c r="J148">
        <v>87.58700073242187</v>
      </c>
      <c r="K148">
        <v>0.32237014296227734</v>
      </c>
      <c r="L148">
        <v>6.9419999999999993</v>
      </c>
      <c r="M148">
        <v>2.5550521352830539E-2</v>
      </c>
      <c r="N148">
        <v>27.244</v>
      </c>
      <c r="O148">
        <v>0.10027346639823038</v>
      </c>
      <c r="P148">
        <v>22.837</v>
      </c>
      <c r="Q148">
        <v>8.4053191606826727E-2</v>
      </c>
      <c r="R148">
        <v>41.933999999999997</v>
      </c>
      <c r="S148">
        <v>0.15434104903624257</v>
      </c>
      <c r="T148">
        <v>23.638000000000002</v>
      </c>
      <c r="U148">
        <v>76.075999999999993</v>
      </c>
      <c r="V148">
        <v>18.194142797403998</v>
      </c>
      <c r="W148">
        <v>6.6964827721336634E-2</v>
      </c>
    </row>
    <row r="149" spans="1:23" x14ac:dyDescent="0.2">
      <c r="A149" t="s">
        <v>361</v>
      </c>
      <c r="B149">
        <v>328.06920000000002</v>
      </c>
      <c r="C149">
        <v>120.366</v>
      </c>
      <c r="D149">
        <v>127.502</v>
      </c>
      <c r="E149">
        <v>144.80000000000001</v>
      </c>
      <c r="F149">
        <v>2.5730514031152456</v>
      </c>
      <c r="G149">
        <v>2.265671270718232</v>
      </c>
      <c r="H149">
        <v>5.9285844839904921E-2</v>
      </c>
      <c r="I149">
        <v>0.13566846010258682</v>
      </c>
      <c r="J149">
        <v>65.636000694274898</v>
      </c>
      <c r="K149">
        <v>0.51478408726353231</v>
      </c>
      <c r="L149">
        <v>27.936</v>
      </c>
      <c r="M149">
        <v>0.21910244545183605</v>
      </c>
      <c r="N149">
        <v>18.074999999999999</v>
      </c>
      <c r="O149">
        <v>0.14176248215714263</v>
      </c>
      <c r="P149">
        <v>24.027999999999999</v>
      </c>
      <c r="Q149">
        <v>0.18845194585182978</v>
      </c>
      <c r="R149">
        <v>6.6750000000000007</v>
      </c>
      <c r="S149">
        <v>5.2352119966745631E-2</v>
      </c>
      <c r="T149">
        <v>-4.2229999999999999</v>
      </c>
      <c r="U149">
        <v>39.942999999999998</v>
      </c>
      <c r="V149">
        <v>-5.3883799999999997</v>
      </c>
      <c r="W149">
        <v>-4.2261141001709773E-2</v>
      </c>
    </row>
    <row r="150" spans="1:23" x14ac:dyDescent="0.2">
      <c r="A150" t="s">
        <v>363</v>
      </c>
      <c r="B150">
        <v>265.0127</v>
      </c>
      <c r="C150">
        <v>113.889</v>
      </c>
      <c r="D150">
        <v>113.21600000000001</v>
      </c>
      <c r="E150">
        <v>120.10000000000001</v>
      </c>
      <c r="F150">
        <v>2.3407707391181458</v>
      </c>
      <c r="G150">
        <v>2.2066003330557868</v>
      </c>
      <c r="H150">
        <v>-5.9092625275486447E-3</v>
      </c>
      <c r="I150">
        <v>6.0804126625211952E-2</v>
      </c>
      <c r="J150">
        <v>61.229999687194827</v>
      </c>
      <c r="K150">
        <v>0.5408246156655846</v>
      </c>
      <c r="L150">
        <v>11.876999999999999</v>
      </c>
      <c r="M150">
        <v>0.1049056670435274</v>
      </c>
      <c r="N150">
        <v>20.658000000000001</v>
      </c>
      <c r="O150">
        <v>0.18246537591859807</v>
      </c>
      <c r="P150">
        <v>16.056999999999999</v>
      </c>
      <c r="Q150">
        <v>0.14182624364047483</v>
      </c>
      <c r="R150">
        <v>16.959000000000003</v>
      </c>
      <c r="S150">
        <v>0.14979331543244773</v>
      </c>
      <c r="T150">
        <v>8.9260000000000019</v>
      </c>
      <c r="U150">
        <v>52.793999999999997</v>
      </c>
      <c r="V150">
        <v>9.6010000000000009</v>
      </c>
      <c r="W150">
        <v>8.4802501413227815E-2</v>
      </c>
    </row>
    <row r="151" spans="1:23" x14ac:dyDescent="0.2">
      <c r="A151" t="s">
        <v>365</v>
      </c>
      <c r="B151">
        <v>304.52499999999998</v>
      </c>
      <c r="C151">
        <v>54.494</v>
      </c>
      <c r="D151">
        <v>72.800999999999988</v>
      </c>
      <c r="E151">
        <v>86.84</v>
      </c>
      <c r="F151">
        <v>4.1829782557931896</v>
      </c>
      <c r="G151">
        <v>3.5067365269461073</v>
      </c>
      <c r="H151">
        <v>0.33594524167798268</v>
      </c>
      <c r="I151">
        <v>0.19284075768190023</v>
      </c>
      <c r="J151">
        <v>62.064999832153319</v>
      </c>
      <c r="K151">
        <v>0.85252949591562377</v>
      </c>
      <c r="L151">
        <v>14.01</v>
      </c>
      <c r="M151">
        <v>0.1924424115053365</v>
      </c>
      <c r="N151">
        <v>35.893000000000001</v>
      </c>
      <c r="O151">
        <v>0.49302894191013868</v>
      </c>
      <c r="P151">
        <v>5.1959999999999997</v>
      </c>
      <c r="Q151">
        <v>7.137264598013765E-2</v>
      </c>
      <c r="R151">
        <v>3.6139999999999999</v>
      </c>
      <c r="S151">
        <v>4.9642175244845543E-2</v>
      </c>
      <c r="T151">
        <v>6.4489999999999998</v>
      </c>
      <c r="U151">
        <v>29.087</v>
      </c>
      <c r="V151">
        <v>-1.5870000000000002</v>
      </c>
      <c r="W151">
        <v>-2.1799151110561674E-2</v>
      </c>
    </row>
    <row r="152" spans="1:23" x14ac:dyDescent="0.2">
      <c r="A152" t="s">
        <v>367</v>
      </c>
      <c r="B152">
        <v>268.75810000000001</v>
      </c>
      <c r="C152">
        <v>113.2</v>
      </c>
      <c r="D152">
        <v>128.30699999999999</v>
      </c>
      <c r="E152">
        <v>134.50399999999999</v>
      </c>
      <c r="F152">
        <v>2.094648772085701</v>
      </c>
      <c r="G152">
        <v>1.9981420626895856</v>
      </c>
      <c r="H152">
        <v>0.13345406360424014</v>
      </c>
      <c r="I152">
        <v>4.8298222232614041E-2</v>
      </c>
      <c r="J152">
        <v>101.39099937438965</v>
      </c>
      <c r="K152">
        <v>0.79022188481056888</v>
      </c>
      <c r="L152">
        <v>21.867999999999999</v>
      </c>
      <c r="M152">
        <v>0.17043497237095404</v>
      </c>
      <c r="N152">
        <v>63.494999999999997</v>
      </c>
      <c r="O152">
        <v>0.49486777806355076</v>
      </c>
      <c r="P152">
        <v>27.8</v>
      </c>
      <c r="Q152">
        <v>0.21666783573772283</v>
      </c>
      <c r="R152">
        <v>-4.3410000000000002</v>
      </c>
      <c r="S152">
        <v>-3.383291636465665E-2</v>
      </c>
      <c r="T152">
        <v>-1.6390000000000005</v>
      </c>
      <c r="U152">
        <v>53.421999999999997</v>
      </c>
      <c r="V152">
        <v>-10.436999999999999</v>
      </c>
      <c r="W152">
        <v>-8.1343964086137158E-2</v>
      </c>
    </row>
    <row r="153" spans="1:23" x14ac:dyDescent="0.2">
      <c r="A153" t="s">
        <v>369</v>
      </c>
      <c r="B153">
        <v>305.15159999999997</v>
      </c>
      <c r="C153">
        <v>34.701000000000001</v>
      </c>
      <c r="D153">
        <v>55.426000000000002</v>
      </c>
      <c r="E153">
        <v>77.417000000000002</v>
      </c>
      <c r="F153">
        <v>5.505567784072456</v>
      </c>
      <c r="G153">
        <v>3.9416613922006789</v>
      </c>
      <c r="H153">
        <v>0.5972450361661048</v>
      </c>
      <c r="I153">
        <v>0.39676325190343875</v>
      </c>
      <c r="J153">
        <v>48.276000267028806</v>
      </c>
      <c r="K153">
        <v>0.87099917488234413</v>
      </c>
      <c r="L153">
        <v>10.43</v>
      </c>
      <c r="M153">
        <v>0.1881788330386461</v>
      </c>
      <c r="N153">
        <v>14.484</v>
      </c>
      <c r="O153">
        <v>0.2613214015083174</v>
      </c>
      <c r="P153">
        <v>11.31</v>
      </c>
      <c r="Q153">
        <v>0.20405585826146574</v>
      </c>
      <c r="R153">
        <v>6.4513846153849999</v>
      </c>
      <c r="S153">
        <v>0.11639635938702053</v>
      </c>
      <c r="T153">
        <v>4.0730000000000004</v>
      </c>
      <c r="U153">
        <v>9.0860000000000003</v>
      </c>
      <c r="V153">
        <v>2.9750000000000001</v>
      </c>
      <c r="W153">
        <v>5.3675170497600407E-2</v>
      </c>
    </row>
    <row r="154" spans="1:23" x14ac:dyDescent="0.2">
      <c r="A154" t="s">
        <v>371</v>
      </c>
      <c r="B154">
        <v>255.0078</v>
      </c>
      <c r="C154">
        <v>21.792999999999999</v>
      </c>
      <c r="D154">
        <v>24.585999999999999</v>
      </c>
      <c r="E154">
        <v>25.216999999999999</v>
      </c>
      <c r="F154">
        <v>10.372073537785733</v>
      </c>
      <c r="G154">
        <v>10.11253519451164</v>
      </c>
      <c r="H154">
        <v>0.12816041848299911</v>
      </c>
      <c r="I154">
        <v>2.5665012608801829E-2</v>
      </c>
      <c r="J154">
        <v>16.067000110626221</v>
      </c>
      <c r="K154">
        <v>0.6535019975037103</v>
      </c>
      <c r="L154">
        <v>15.434999999999999</v>
      </c>
      <c r="M154">
        <v>0.62779630684129173</v>
      </c>
      <c r="N154">
        <v>16.635999999999999</v>
      </c>
      <c r="O154">
        <v>0.67664524526153091</v>
      </c>
      <c r="P154">
        <v>9.68</v>
      </c>
      <c r="Q154">
        <v>0.39372000325388434</v>
      </c>
      <c r="R154">
        <v>-27.398</v>
      </c>
      <c r="S154">
        <v>-1.1143740340030912</v>
      </c>
      <c r="T154">
        <v>-21.484000000000002</v>
      </c>
      <c r="U154">
        <v>40.823</v>
      </c>
      <c r="V154">
        <v>-28.759999999999998</v>
      </c>
      <c r="W154">
        <v>-1.1697714146262099</v>
      </c>
    </row>
    <row r="155" spans="1:23" x14ac:dyDescent="0.2">
      <c r="A155" t="s">
        <v>383</v>
      </c>
      <c r="B155">
        <v>259.96980000000002</v>
      </c>
      <c r="C155">
        <v>73.161190000000005</v>
      </c>
      <c r="D155">
        <v>81.967006999999995</v>
      </c>
      <c r="E155">
        <v>89.275000000000006</v>
      </c>
      <c r="F155">
        <v>3.1716395354047759</v>
      </c>
      <c r="G155">
        <v>2.9120112013441615</v>
      </c>
      <c r="H155">
        <v>0.12036186125458033</v>
      </c>
      <c r="I155">
        <v>8.9157738796050046E-2</v>
      </c>
      <c r="J155">
        <v>44.329346749023436</v>
      </c>
      <c r="K155">
        <v>0.54081939028252479</v>
      </c>
      <c r="L155">
        <v>14.941393999999999</v>
      </c>
      <c r="M155">
        <v>0.18228546517503072</v>
      </c>
      <c r="N155">
        <v>22.526534999999999</v>
      </c>
      <c r="O155">
        <v>0.27482441807348168</v>
      </c>
      <c r="P155">
        <v>15.263297</v>
      </c>
      <c r="Q155">
        <v>0.18621269165043444</v>
      </c>
      <c r="R155">
        <v>-4.3256870000000003</v>
      </c>
      <c r="S155">
        <v>-5.2773514104278572E-2</v>
      </c>
      <c r="T155">
        <v>3.9441799999999998</v>
      </c>
      <c r="U155">
        <v>9.3606009999999991</v>
      </c>
      <c r="V155">
        <v>-10.418129</v>
      </c>
      <c r="W155">
        <v>-0.12710149340941534</v>
      </c>
    </row>
    <row r="156" spans="1:23" x14ac:dyDescent="0.2">
      <c r="A156" t="s">
        <v>385</v>
      </c>
      <c r="B156">
        <v>205.81890000000001</v>
      </c>
      <c r="C156">
        <v>88.798507999999998</v>
      </c>
      <c r="D156">
        <v>93.621832000000012</v>
      </c>
      <c r="E156">
        <v>97.92</v>
      </c>
      <c r="F156">
        <v>2.1984070980367059</v>
      </c>
      <c r="G156">
        <v>2.1019087009803923</v>
      </c>
      <c r="H156">
        <v>5.4317624345670466E-2</v>
      </c>
      <c r="I156">
        <v>4.5909889906875501E-2</v>
      </c>
      <c r="J156">
        <v>79.795185569702141</v>
      </c>
      <c r="K156">
        <v>0.85231386595492098</v>
      </c>
      <c r="L156">
        <v>20.054991999999999</v>
      </c>
      <c r="M156">
        <v>0.21421277037176539</v>
      </c>
      <c r="N156">
        <v>40.912472999999999</v>
      </c>
      <c r="O156">
        <v>0.43699714186323541</v>
      </c>
      <c r="P156">
        <v>12.358472000000001</v>
      </c>
      <c r="Q156">
        <v>0.13200416757493058</v>
      </c>
      <c r="R156">
        <v>18.034611999999999</v>
      </c>
      <c r="S156">
        <v>0.19263254750238168</v>
      </c>
      <c r="T156">
        <v>11.063756</v>
      </c>
      <c r="U156">
        <v>33.956987999999996</v>
      </c>
      <c r="V156">
        <v>5.1388267800000005</v>
      </c>
      <c r="W156">
        <v>5.4889192725901793E-2</v>
      </c>
    </row>
    <row r="157" spans="1:23" x14ac:dyDescent="0.2">
      <c r="A157" t="s">
        <v>391</v>
      </c>
      <c r="B157">
        <v>117.0865</v>
      </c>
      <c r="C157">
        <v>90.369</v>
      </c>
      <c r="D157">
        <v>88.789999999999992</v>
      </c>
      <c r="E157">
        <v>99.167000000000002</v>
      </c>
      <c r="F157">
        <v>1.3186901678116907</v>
      </c>
      <c r="G157">
        <v>1.1807002329403935</v>
      </c>
      <c r="H157">
        <v>-1.7472805940090159E-2</v>
      </c>
      <c r="I157">
        <v>0.11687126928708191</v>
      </c>
      <c r="J157">
        <v>60.490999809265134</v>
      </c>
      <c r="K157">
        <v>0.68128167371624215</v>
      </c>
      <c r="L157">
        <v>21.852</v>
      </c>
      <c r="M157">
        <v>0.24610879603558961</v>
      </c>
      <c r="N157">
        <v>38.316000000000003</v>
      </c>
      <c r="O157">
        <v>0.43153508277959235</v>
      </c>
      <c r="P157">
        <v>10.696</v>
      </c>
      <c r="Q157">
        <v>0.12046401621804258</v>
      </c>
      <c r="R157">
        <v>-8.6230000000000011</v>
      </c>
      <c r="S157">
        <v>-9.7116792431580154E-2</v>
      </c>
      <c r="T157">
        <v>-1.4709999999999999</v>
      </c>
      <c r="U157">
        <v>15.341999999999999</v>
      </c>
      <c r="V157">
        <v>-12.355</v>
      </c>
      <c r="W157">
        <v>-0.13914855276495103</v>
      </c>
    </row>
    <row r="158" spans="1:23" x14ac:dyDescent="0.2">
      <c r="A158" t="s">
        <v>393</v>
      </c>
      <c r="B158">
        <v>241.44040000000001</v>
      </c>
      <c r="C158">
        <v>307.2</v>
      </c>
      <c r="D158">
        <v>267.303</v>
      </c>
      <c r="E158">
        <v>263</v>
      </c>
      <c r="F158">
        <v>0.90324612892485312</v>
      </c>
      <c r="G158">
        <v>0.91802433460076049</v>
      </c>
      <c r="H158">
        <v>-0.12987304687499998</v>
      </c>
      <c r="I158">
        <v>-1.6097836537562249E-2</v>
      </c>
      <c r="J158">
        <v>24.043999839782714</v>
      </c>
      <c r="K158">
        <v>8.9950355363698553E-2</v>
      </c>
      <c r="L158">
        <v>0</v>
      </c>
      <c r="M158">
        <v>0</v>
      </c>
      <c r="N158" t="s">
        <v>480</v>
      </c>
      <c r="O158" t="e">
        <v>#VALUE!</v>
      </c>
      <c r="P158" t="s">
        <v>480</v>
      </c>
      <c r="Q158" t="e">
        <v>#VALUE!</v>
      </c>
      <c r="R158">
        <v>2.218</v>
      </c>
      <c r="S158">
        <v>8.2976996142953875E-3</v>
      </c>
      <c r="T158">
        <v>-8.641</v>
      </c>
      <c r="U158">
        <v>1.456</v>
      </c>
      <c r="V158">
        <v>-11.090780000000002</v>
      </c>
      <c r="W158">
        <v>-4.149141610831155E-2</v>
      </c>
    </row>
    <row r="159" spans="1:23" x14ac:dyDescent="0.2">
      <c r="A159" t="s">
        <v>395</v>
      </c>
      <c r="B159">
        <v>198.11580000000001</v>
      </c>
      <c r="C159">
        <v>69.375</v>
      </c>
      <c r="D159">
        <v>61.307000000000002</v>
      </c>
      <c r="E159">
        <v>66.075000000000003</v>
      </c>
      <c r="F159">
        <v>3.2315363661572087</v>
      </c>
      <c r="G159">
        <v>2.9983473325766177</v>
      </c>
      <c r="H159">
        <v>-0.11629549549549546</v>
      </c>
      <c r="I159">
        <v>7.7772521897988778E-2</v>
      </c>
      <c r="J159">
        <v>38.971000602722171</v>
      </c>
      <c r="K159">
        <v>0.63566967234935934</v>
      </c>
      <c r="L159">
        <v>14.710999999999999</v>
      </c>
      <c r="M159">
        <v>0.23995628557913448</v>
      </c>
      <c r="N159">
        <v>17.681000000000001</v>
      </c>
      <c r="O159">
        <v>0.28840099825468546</v>
      </c>
      <c r="P159">
        <v>7.5670000000000002</v>
      </c>
      <c r="Q159">
        <v>0.12342799354070498</v>
      </c>
      <c r="R159">
        <v>1.6520000000000001</v>
      </c>
      <c r="S159">
        <v>2.6946351966333371E-2</v>
      </c>
      <c r="T159">
        <v>3.7540000000000004</v>
      </c>
      <c r="U159">
        <v>11.497999999999999</v>
      </c>
      <c r="V159">
        <v>-1.9897</v>
      </c>
      <c r="W159">
        <v>-3.2454695222405273E-2</v>
      </c>
    </row>
    <row r="160" spans="1:23" x14ac:dyDescent="0.2">
      <c r="A160" t="s">
        <v>397</v>
      </c>
      <c r="B160">
        <v>128.17080000000001</v>
      </c>
      <c r="C160">
        <v>183.346</v>
      </c>
      <c r="D160">
        <v>106.17999999999999</v>
      </c>
      <c r="E160">
        <v>222.333</v>
      </c>
      <c r="F160">
        <v>1.2071086833678661</v>
      </c>
      <c r="G160">
        <v>0.57648122410978131</v>
      </c>
      <c r="H160">
        <v>-0.4208763758140347</v>
      </c>
      <c r="I160">
        <v>1.0939254096816726</v>
      </c>
      <c r="J160">
        <v>43.949999134063717</v>
      </c>
      <c r="K160">
        <v>0.41391975074461967</v>
      </c>
      <c r="L160">
        <v>87.488</v>
      </c>
      <c r="M160">
        <v>0.82395931437182146</v>
      </c>
      <c r="N160">
        <v>20.748000000000001</v>
      </c>
      <c r="O160">
        <v>0.19540403089093994</v>
      </c>
      <c r="P160">
        <v>21.562000000000001</v>
      </c>
      <c r="Q160">
        <v>0.20307025805236392</v>
      </c>
      <c r="R160">
        <v>-82.265000000000001</v>
      </c>
      <c r="S160">
        <v>-0.77476925974759847</v>
      </c>
      <c r="T160">
        <v>-7.963000000000001</v>
      </c>
      <c r="U160">
        <v>17.117000000000001</v>
      </c>
      <c r="V160">
        <v>-86.175290000000004</v>
      </c>
      <c r="W160">
        <v>-0.81159625164814475</v>
      </c>
    </row>
    <row r="161" spans="1:23" x14ac:dyDescent="0.2">
      <c r="A161" t="s">
        <v>399</v>
      </c>
      <c r="B161">
        <v>194.5496</v>
      </c>
      <c r="C161">
        <v>400.25900000000001</v>
      </c>
      <c r="D161">
        <v>77.324254925706967</v>
      </c>
      <c r="E161">
        <v>93.373000000000005</v>
      </c>
      <c r="F161">
        <v>2.5160229501974896</v>
      </c>
      <c r="G161">
        <v>2.0835744808456407</v>
      </c>
      <c r="H161">
        <v>-0.80681445032914445</v>
      </c>
      <c r="I161">
        <v>0.20755124106546718</v>
      </c>
      <c r="J161">
        <v>65.752319670119391</v>
      </c>
      <c r="K161">
        <v>0.8503453377377399</v>
      </c>
      <c r="L161">
        <v>23.226824863907463</v>
      </c>
      <c r="M161">
        <v>0.30038213606097808</v>
      </c>
      <c r="N161">
        <v>21.908126817776814</v>
      </c>
      <c r="O161">
        <v>0.28332800411495862</v>
      </c>
      <c r="P161">
        <v>12.618812398265399</v>
      </c>
      <c r="Q161">
        <v>0.16319345605579436</v>
      </c>
      <c r="R161">
        <v>-10.102160110826825</v>
      </c>
      <c r="S161">
        <v>-0.13064671777998982</v>
      </c>
      <c r="T161" t="s">
        <v>480</v>
      </c>
      <c r="U161">
        <v>524.45399999999995</v>
      </c>
      <c r="V161">
        <v>-21.599914824453627</v>
      </c>
      <c r="W161">
        <v>-0.27934203627576876</v>
      </c>
    </row>
    <row r="162" spans="1:23" x14ac:dyDescent="0.2">
      <c r="A162" t="s">
        <v>401</v>
      </c>
      <c r="B162">
        <v>796.41120000000001</v>
      </c>
      <c r="C162">
        <v>124.65427</v>
      </c>
      <c r="D162">
        <v>226.47071799999998</v>
      </c>
      <c r="E162">
        <v>566</v>
      </c>
      <c r="F162">
        <v>3.5166188681399424</v>
      </c>
      <c r="G162">
        <v>1.4070869257950531</v>
      </c>
      <c r="H162">
        <v>0.81679069637967461</v>
      </c>
      <c r="I162">
        <v>1.4992193472005511</v>
      </c>
      <c r="J162">
        <v>104.50188414001465</v>
      </c>
      <c r="K162">
        <v>0.46143662661066259</v>
      </c>
      <c r="L162">
        <v>0</v>
      </c>
      <c r="M162">
        <v>0</v>
      </c>
      <c r="N162" t="s">
        <v>480</v>
      </c>
      <c r="O162" t="e">
        <v>#VALUE!</v>
      </c>
      <c r="P162" t="s">
        <v>480</v>
      </c>
      <c r="Q162" t="e">
        <v>#VALUE!</v>
      </c>
      <c r="R162">
        <v>45.785221999999997</v>
      </c>
      <c r="S162">
        <v>0.20216839688740687</v>
      </c>
      <c r="T162" t="s">
        <v>480</v>
      </c>
      <c r="U162">
        <v>2.5303879999999999</v>
      </c>
      <c r="V162">
        <v>-20.271996980000001</v>
      </c>
      <c r="W162">
        <v>-8.9512662648069161E-2</v>
      </c>
    </row>
    <row r="163" spans="1:23" x14ac:dyDescent="0.2">
      <c r="A163" t="s">
        <v>403</v>
      </c>
      <c r="B163">
        <v>200.29679999999999</v>
      </c>
      <c r="C163">
        <v>140.84399999999999</v>
      </c>
      <c r="D163">
        <v>168.36399999999998</v>
      </c>
      <c r="E163">
        <v>181.1</v>
      </c>
      <c r="F163">
        <v>1.1896652491031339</v>
      </c>
      <c r="G163">
        <v>1.1060011043622309</v>
      </c>
      <c r="H163">
        <v>0.19539348499048581</v>
      </c>
      <c r="I163">
        <v>7.5645624955453794E-2</v>
      </c>
      <c r="J163">
        <v>62.756998718261713</v>
      </c>
      <c r="K163">
        <v>0.37274594757942148</v>
      </c>
      <c r="L163">
        <v>0</v>
      </c>
      <c r="M163">
        <v>0</v>
      </c>
      <c r="N163" t="s">
        <v>480</v>
      </c>
      <c r="O163" t="e">
        <v>#VALUE!</v>
      </c>
      <c r="P163" t="s">
        <v>480</v>
      </c>
      <c r="Q163" t="e">
        <v>#VALUE!</v>
      </c>
      <c r="R163">
        <v>16.504999999999999</v>
      </c>
      <c r="S163">
        <v>9.8031645719987653E-2</v>
      </c>
      <c r="T163">
        <v>-5.2089999999999996</v>
      </c>
      <c r="U163">
        <v>18.823</v>
      </c>
      <c r="V163">
        <v>2.1417899999999994</v>
      </c>
      <c r="W163">
        <v>1.2721187427240977E-2</v>
      </c>
    </row>
    <row r="164" spans="1:23" x14ac:dyDescent="0.2">
      <c r="A164" t="s">
        <v>405</v>
      </c>
      <c r="B164">
        <v>162.81110000000001</v>
      </c>
      <c r="C164">
        <v>0</v>
      </c>
      <c r="D164">
        <v>8.5688190662573405</v>
      </c>
      <c r="E164">
        <v>67.894999999999996</v>
      </c>
      <c r="F164">
        <v>19.000412862155589</v>
      </c>
      <c r="G164">
        <v>2.3979836512261583</v>
      </c>
      <c r="H164" t="e">
        <v>#DIV/0!</v>
      </c>
      <c r="I164">
        <v>6.923495580313956</v>
      </c>
      <c r="J164">
        <v>2.4821392877652002</v>
      </c>
      <c r="K164">
        <v>0.2896711050347035</v>
      </c>
      <c r="L164">
        <v>0</v>
      </c>
      <c r="M164">
        <v>0</v>
      </c>
      <c r="N164" t="s">
        <v>480</v>
      </c>
      <c r="O164" t="e">
        <v>#VALUE!</v>
      </c>
      <c r="P164">
        <v>1.0619080464735536E-2</v>
      </c>
      <c r="Q164">
        <v>1.2392700070598761E-3</v>
      </c>
      <c r="R164">
        <v>4.4655614782134192</v>
      </c>
      <c r="S164">
        <v>0.52114082975542064</v>
      </c>
      <c r="T164" t="s">
        <v>480</v>
      </c>
      <c r="U164">
        <v>0.28625200000000001</v>
      </c>
      <c r="V164">
        <v>-3.0786477360037656</v>
      </c>
      <c r="W164">
        <v>-0.35928495072640704</v>
      </c>
    </row>
    <row r="165" spans="1:23" x14ac:dyDescent="0.2">
      <c r="A165" t="s">
        <v>407</v>
      </c>
      <c r="B165">
        <v>275.41230000000002</v>
      </c>
      <c r="C165">
        <v>216.499</v>
      </c>
      <c r="D165">
        <v>274.86399999999998</v>
      </c>
      <c r="E165">
        <v>293.875</v>
      </c>
      <c r="F165">
        <v>1.0019948047034171</v>
      </c>
      <c r="G165">
        <v>0.93717498936622723</v>
      </c>
      <c r="H165">
        <v>0.26958554081081199</v>
      </c>
      <c r="I165">
        <v>6.9165114383840764E-2</v>
      </c>
      <c r="J165">
        <v>116.03600010681151</v>
      </c>
      <c r="K165">
        <v>0.42215786755199491</v>
      </c>
      <c r="L165">
        <v>0</v>
      </c>
      <c r="M165">
        <v>0</v>
      </c>
      <c r="N165" t="s">
        <v>480</v>
      </c>
      <c r="O165" t="e">
        <v>#VALUE!</v>
      </c>
      <c r="P165" t="s">
        <v>480</v>
      </c>
      <c r="Q165" t="e">
        <v>#VALUE!</v>
      </c>
      <c r="R165">
        <v>25.126000000000001</v>
      </c>
      <c r="S165">
        <v>9.1412480353920494E-2</v>
      </c>
      <c r="T165">
        <v>14.823</v>
      </c>
      <c r="U165">
        <v>28.419999999999998</v>
      </c>
      <c r="V165">
        <v>2.5753330869909998</v>
      </c>
      <c r="W165">
        <v>9.3694812234086673E-3</v>
      </c>
    </row>
    <row r="166" spans="1:23" x14ac:dyDescent="0.2">
      <c r="A166" t="s">
        <v>409</v>
      </c>
      <c r="B166">
        <v>124.41030000000001</v>
      </c>
      <c r="C166">
        <v>171.0899</v>
      </c>
      <c r="D166">
        <v>128.101112</v>
      </c>
      <c r="E166">
        <v>123</v>
      </c>
      <c r="F166">
        <v>0.97118829069961554</v>
      </c>
      <c r="G166">
        <v>1.0114658536585366</v>
      </c>
      <c r="H166">
        <v>-0.25126432360998513</v>
      </c>
      <c r="I166">
        <v>-3.982098141349466E-2</v>
      </c>
      <c r="J166">
        <v>72.534188598388667</v>
      </c>
      <c r="K166">
        <v>0.56622606522251473</v>
      </c>
      <c r="L166">
        <v>41.944024999999996</v>
      </c>
      <c r="M166">
        <v>0.32742904682981983</v>
      </c>
      <c r="N166">
        <v>19.221935999999999</v>
      </c>
      <c r="O166">
        <v>0.15005284263262289</v>
      </c>
      <c r="P166">
        <v>36.027413000000003</v>
      </c>
      <c r="Q166">
        <v>0.28124200045976183</v>
      </c>
      <c r="R166">
        <v>-23.433501</v>
      </c>
      <c r="S166">
        <v>-0.18292972351403164</v>
      </c>
      <c r="T166">
        <v>-57.896322999999995</v>
      </c>
      <c r="U166">
        <v>110.89174399999999</v>
      </c>
      <c r="V166">
        <v>-50.694046620000002</v>
      </c>
      <c r="W166">
        <v>-0.39573463359162725</v>
      </c>
    </row>
    <row r="167" spans="1:23" x14ac:dyDescent="0.2">
      <c r="A167" t="s">
        <v>411</v>
      </c>
      <c r="B167">
        <v>69.755799999999994</v>
      </c>
      <c r="C167">
        <v>278.221</v>
      </c>
      <c r="D167">
        <v>120.13199999999999</v>
      </c>
      <c r="E167">
        <v>124.5</v>
      </c>
      <c r="F167">
        <v>0.58065960776479209</v>
      </c>
      <c r="G167">
        <v>0.56028755020080312</v>
      </c>
      <c r="H167">
        <v>-0.56821375812753172</v>
      </c>
      <c r="I167">
        <v>3.6360003995604906E-2</v>
      </c>
      <c r="J167">
        <v>61.855000404357909</v>
      </c>
      <c r="K167">
        <v>0.5148919555518755</v>
      </c>
      <c r="L167">
        <v>47.5</v>
      </c>
      <c r="M167">
        <v>0.39539839509872476</v>
      </c>
      <c r="N167">
        <v>51.793999999999997</v>
      </c>
      <c r="O167">
        <v>0.43114241001564946</v>
      </c>
      <c r="P167">
        <v>55.595999999999997</v>
      </c>
      <c r="Q167">
        <v>0.46279092997702526</v>
      </c>
      <c r="R167">
        <v>-43.578000000000003</v>
      </c>
      <c r="S167">
        <v>-0.3627509739286785</v>
      </c>
      <c r="T167">
        <v>-42.018000000000001</v>
      </c>
      <c r="U167">
        <v>76.641999999999996</v>
      </c>
      <c r="V167">
        <v>-75.318597068339997</v>
      </c>
      <c r="W167">
        <v>-0.62696531372440323</v>
      </c>
    </row>
    <row r="168" spans="1:23" x14ac:dyDescent="0.2">
      <c r="A168" t="s">
        <v>413</v>
      </c>
      <c r="B168">
        <v>151.4391</v>
      </c>
      <c r="C168">
        <v>30.983000000000001</v>
      </c>
      <c r="D168">
        <v>31.908999999999999</v>
      </c>
      <c r="E168">
        <v>38.61</v>
      </c>
      <c r="F168">
        <v>4.7459682221316868</v>
      </c>
      <c r="G168">
        <v>3.9222766122766122</v>
      </c>
      <c r="H168">
        <v>2.9887357583190728E-2</v>
      </c>
      <c r="I168">
        <v>0.21000344730326859</v>
      </c>
      <c r="J168">
        <v>19.025000007629394</v>
      </c>
      <c r="K168">
        <v>0.59622677011593583</v>
      </c>
      <c r="L168">
        <v>9.8249999999999993</v>
      </c>
      <c r="M168">
        <v>0.30790686013350466</v>
      </c>
      <c r="N168">
        <v>15.551</v>
      </c>
      <c r="O168">
        <v>0.48735466482810497</v>
      </c>
      <c r="P168">
        <v>7.2859999999999996</v>
      </c>
      <c r="Q168">
        <v>0.2283368328684697</v>
      </c>
      <c r="R168">
        <v>-12.440999999999999</v>
      </c>
      <c r="S168">
        <v>-0.38988999968660876</v>
      </c>
      <c r="T168">
        <v>-13.39</v>
      </c>
      <c r="U168">
        <v>23.980999999999998</v>
      </c>
      <c r="V168">
        <v>-20.875574530000002</v>
      </c>
      <c r="W168">
        <v>-0.65422214829671888</v>
      </c>
    </row>
    <row r="169" spans="1:23" x14ac:dyDescent="0.2">
      <c r="A169" t="s">
        <v>557</v>
      </c>
      <c r="B169">
        <v>11763.517900000001</v>
      </c>
      <c r="C169">
        <v>389.33</v>
      </c>
      <c r="D169">
        <v>853.57299999999998</v>
      </c>
      <c r="E169">
        <v>1210.8910000000001</v>
      </c>
      <c r="F169">
        <v>13.781501875059311</v>
      </c>
      <c r="G169">
        <v>9.7147620223455284</v>
      </c>
      <c r="H169">
        <v>1.1924151747874554</v>
      </c>
      <c r="I169">
        <v>0.41861445945455178</v>
      </c>
      <c r="J169">
        <v>481.96899993896483</v>
      </c>
      <c r="K169">
        <v>0.56464883488461426</v>
      </c>
      <c r="L169">
        <v>135.99699999999999</v>
      </c>
      <c r="M169">
        <v>0.15932673596751537</v>
      </c>
      <c r="N169">
        <v>225.69399999999999</v>
      </c>
      <c r="O169">
        <v>0.26441089397157597</v>
      </c>
      <c r="P169">
        <v>67.718999999999994</v>
      </c>
      <c r="Q169">
        <v>7.9335920887844386E-2</v>
      </c>
      <c r="R169">
        <v>-41.38</v>
      </c>
      <c r="S169">
        <v>-4.8478571838612518E-2</v>
      </c>
      <c r="T169">
        <v>-12.155000000000001</v>
      </c>
      <c r="U169">
        <v>141.67699999999999</v>
      </c>
      <c r="V169">
        <v>-52.222000000000001</v>
      </c>
      <c r="W169">
        <v>-6.1180473140551542E-2</v>
      </c>
    </row>
    <row r="170" spans="1:23" x14ac:dyDescent="0.2">
      <c r="A170" t="s">
        <v>558</v>
      </c>
      <c r="B170">
        <v>3220.2809999999999</v>
      </c>
      <c r="C170">
        <v>65.271000000000001</v>
      </c>
      <c r="D170">
        <v>192.24099999999999</v>
      </c>
      <c r="E170">
        <v>271.53800000000001</v>
      </c>
      <c r="F170">
        <v>16.751270540623491</v>
      </c>
      <c r="G170">
        <v>11.859411942343245</v>
      </c>
      <c r="H170">
        <v>1.9452743178440652</v>
      </c>
      <c r="I170">
        <v>0.41248745064788483</v>
      </c>
      <c r="J170">
        <v>138.52599877929688</v>
      </c>
      <c r="K170">
        <v>0.72058509256244452</v>
      </c>
      <c r="L170">
        <v>62.201999999999998</v>
      </c>
      <c r="M170">
        <v>0.32356261151367294</v>
      </c>
      <c r="N170">
        <v>109.95</v>
      </c>
      <c r="O170">
        <v>0.57193834821916245</v>
      </c>
      <c r="P170">
        <v>36.774999999999999</v>
      </c>
      <c r="Q170">
        <v>0.19129634157125691</v>
      </c>
      <c r="R170">
        <v>-107.69300000000001</v>
      </c>
      <c r="S170">
        <v>-0.5601978766236132</v>
      </c>
      <c r="T170">
        <v>-44.982999999999997</v>
      </c>
      <c r="U170">
        <v>61.901999999999994</v>
      </c>
      <c r="V170">
        <v>-111</v>
      </c>
      <c r="W170">
        <v>-0.57740024240406573</v>
      </c>
    </row>
    <row r="171" spans="1:23" x14ac:dyDescent="0.2">
      <c r="A171" t="s">
        <v>145</v>
      </c>
      <c r="B171">
        <v>3799.4987000000001</v>
      </c>
      <c r="C171">
        <v>80.325000000000003</v>
      </c>
      <c r="D171">
        <v>190.17399999999998</v>
      </c>
      <c r="E171">
        <v>258.79000000000002</v>
      </c>
      <c r="F171">
        <v>19.979064961561519</v>
      </c>
      <c r="G171">
        <v>14.681783299200124</v>
      </c>
      <c r="H171">
        <v>1.3675568004979766</v>
      </c>
      <c r="I171">
        <v>0.36080641938435365</v>
      </c>
      <c r="J171">
        <v>152.2989994506836</v>
      </c>
      <c r="K171">
        <v>0.80084028022065901</v>
      </c>
      <c r="L171">
        <v>39.378999999999998</v>
      </c>
      <c r="M171">
        <v>0.20706826380051954</v>
      </c>
      <c r="N171">
        <v>116.40900000000001</v>
      </c>
      <c r="O171">
        <v>0.61211837580321193</v>
      </c>
      <c r="P171">
        <v>31.135000000000002</v>
      </c>
      <c r="Q171">
        <v>0.1637184893834068</v>
      </c>
      <c r="R171" t="s">
        <v>480</v>
      </c>
      <c r="S171" t="e">
        <v>#VALUE!</v>
      </c>
      <c r="T171" t="s">
        <v>480</v>
      </c>
      <c r="U171">
        <v>135.57900000000001</v>
      </c>
      <c r="V171">
        <v>-29.382999999999999</v>
      </c>
      <c r="W171">
        <v>-0.1545058735684163</v>
      </c>
    </row>
    <row r="172" spans="1:23" x14ac:dyDescent="0.2">
      <c r="A172" t="s">
        <v>559</v>
      </c>
      <c r="B172">
        <v>6079.7704000000003</v>
      </c>
      <c r="C172">
        <v>277.33499999999998</v>
      </c>
      <c r="D172">
        <v>492.64800000000002</v>
      </c>
      <c r="E172">
        <v>667.76099999999997</v>
      </c>
      <c r="F172">
        <v>12.341002906740716</v>
      </c>
      <c r="G172">
        <v>9.104710218176864</v>
      </c>
      <c r="H172">
        <v>0.7763643247336256</v>
      </c>
      <c r="I172">
        <v>0.35545257465776769</v>
      </c>
      <c r="J172">
        <v>261.8499954833984</v>
      </c>
      <c r="K172">
        <v>0.5315153933100274</v>
      </c>
      <c r="L172">
        <v>120.73899999999999</v>
      </c>
      <c r="M172">
        <v>0.24508168103798247</v>
      </c>
      <c r="N172">
        <v>100.669</v>
      </c>
      <c r="O172">
        <v>0.20434265439015278</v>
      </c>
      <c r="P172">
        <v>59.619</v>
      </c>
      <c r="Q172">
        <v>0.12101744044429287</v>
      </c>
      <c r="R172">
        <v>-68.85692307692301</v>
      </c>
      <c r="S172">
        <v>-0.13976900967206404</v>
      </c>
      <c r="T172">
        <v>12.943999999999999</v>
      </c>
      <c r="U172">
        <v>115.286</v>
      </c>
      <c r="V172">
        <v>-90.092929999999996</v>
      </c>
      <c r="W172">
        <v>-0.1828748518211786</v>
      </c>
    </row>
    <row r="173" spans="1:23" x14ac:dyDescent="0.2">
      <c r="A173" t="s">
        <v>561</v>
      </c>
      <c r="B173">
        <v>2404.9515999999999</v>
      </c>
      <c r="C173">
        <v>427.58800000000002</v>
      </c>
      <c r="D173">
        <v>476.02700000000004</v>
      </c>
      <c r="E173">
        <v>635.75</v>
      </c>
      <c r="F173">
        <v>5.0521327571755377</v>
      </c>
      <c r="G173">
        <v>3.7828574125049155</v>
      </c>
      <c r="H173">
        <v>0.11328428300139391</v>
      </c>
      <c r="I173">
        <v>0.33553348864665233</v>
      </c>
      <c r="J173">
        <v>327.95800305175783</v>
      </c>
      <c r="K173">
        <v>0.68894832236776027</v>
      </c>
      <c r="L173">
        <v>27.382999999999999</v>
      </c>
      <c r="M173">
        <v>5.7524048005680346E-2</v>
      </c>
      <c r="N173">
        <v>34.103000000000002</v>
      </c>
      <c r="O173">
        <v>7.164089431901971E-2</v>
      </c>
      <c r="P173">
        <v>149.94800000000001</v>
      </c>
      <c r="Q173">
        <v>0.31499893913580529</v>
      </c>
      <c r="R173">
        <v>100.64099999999999</v>
      </c>
      <c r="S173">
        <v>0.21141868003285524</v>
      </c>
      <c r="T173">
        <v>3.2039999999999935</v>
      </c>
      <c r="U173">
        <v>208.94399999999999</v>
      </c>
      <c r="V173">
        <v>7.2179362649929981</v>
      </c>
      <c r="W173">
        <v>1.5162871570295377E-2</v>
      </c>
    </row>
    <row r="174" spans="1:23" x14ac:dyDescent="0.2">
      <c r="A174" t="s">
        <v>563</v>
      </c>
      <c r="B174">
        <v>4154.2816999999995</v>
      </c>
      <c r="C174">
        <v>290.10300000000001</v>
      </c>
      <c r="D174">
        <v>513.48300000000006</v>
      </c>
      <c r="E174">
        <v>674.78300000000002</v>
      </c>
      <c r="F174">
        <v>8.0903977346864426</v>
      </c>
      <c r="G174">
        <v>6.1564705986961723</v>
      </c>
      <c r="H174">
        <v>0.77000237846557962</v>
      </c>
      <c r="I174">
        <v>0.31412919220305247</v>
      </c>
      <c r="J174">
        <v>418.44500848388674</v>
      </c>
      <c r="K174">
        <v>0.81491501857683057</v>
      </c>
      <c r="L174">
        <v>153.63499999999999</v>
      </c>
      <c r="M174">
        <v>0.29920172624994396</v>
      </c>
      <c r="N174">
        <v>204.435</v>
      </c>
      <c r="O174">
        <v>0.39813392069455072</v>
      </c>
      <c r="P174">
        <v>48.186</v>
      </c>
      <c r="Q174">
        <v>9.3841470895823217E-2</v>
      </c>
      <c r="R174">
        <v>-27.757000000000005</v>
      </c>
      <c r="S174">
        <v>-5.4056317346436011E-2</v>
      </c>
      <c r="T174">
        <v>88.836999999999989</v>
      </c>
      <c r="U174">
        <v>85.22999999999999</v>
      </c>
      <c r="V174">
        <v>-41.129518560316001</v>
      </c>
      <c r="W174">
        <v>-8.0099085189414249E-2</v>
      </c>
    </row>
    <row r="175" spans="1:23" x14ac:dyDescent="0.2">
      <c r="A175" t="s">
        <v>564</v>
      </c>
      <c r="B175">
        <v>5590.6315999999997</v>
      </c>
      <c r="C175">
        <v>85.906999999999996</v>
      </c>
      <c r="D175">
        <v>324.19499999999999</v>
      </c>
      <c r="E175">
        <v>424.09399999999999</v>
      </c>
      <c r="F175">
        <v>17.244657073674794</v>
      </c>
      <c r="G175">
        <v>13.182529344909383</v>
      </c>
      <c r="H175">
        <v>2.7737902615619219</v>
      </c>
      <c r="I175">
        <v>0.30814478940144041</v>
      </c>
      <c r="J175">
        <v>228.25000210571289</v>
      </c>
      <c r="K175">
        <v>0.70405158039363003</v>
      </c>
      <c r="L175">
        <v>70.820999999999998</v>
      </c>
      <c r="M175">
        <v>0.21845185767824921</v>
      </c>
      <c r="N175">
        <v>172.97300000000001</v>
      </c>
      <c r="O175">
        <v>0.53354616820123701</v>
      </c>
      <c r="P175">
        <v>51.802999999999997</v>
      </c>
      <c r="Q175">
        <v>0.15978963278273878</v>
      </c>
      <c r="R175">
        <v>-116.569</v>
      </c>
      <c r="S175">
        <v>-0.35956445966162343</v>
      </c>
      <c r="T175">
        <v>-21.870999999999999</v>
      </c>
      <c r="U175">
        <v>127.949</v>
      </c>
      <c r="V175">
        <v>-123.625</v>
      </c>
      <c r="W175">
        <v>-0.3813291383272413</v>
      </c>
    </row>
    <row r="176" spans="1:23" x14ac:dyDescent="0.2">
      <c r="A176" t="s">
        <v>570</v>
      </c>
      <c r="B176">
        <v>6010.1651000000002</v>
      </c>
      <c r="C176">
        <v>250.48099999999999</v>
      </c>
      <c r="D176">
        <v>602.31500000000005</v>
      </c>
      <c r="E176">
        <v>762.5</v>
      </c>
      <c r="F176">
        <v>9.9784416791877995</v>
      </c>
      <c r="G176">
        <v>7.882183737704918</v>
      </c>
      <c r="H176">
        <v>1.4046334851745246</v>
      </c>
      <c r="I176">
        <v>0.26594888056913724</v>
      </c>
      <c r="J176">
        <v>444.96900311279296</v>
      </c>
      <c r="K176">
        <v>0.73876460508669539</v>
      </c>
      <c r="L176">
        <v>92.427999999999997</v>
      </c>
      <c r="M176">
        <v>0.15345458771573012</v>
      </c>
      <c r="N176">
        <v>277.93</v>
      </c>
      <c r="O176">
        <v>0.46143629164141686</v>
      </c>
      <c r="P176">
        <v>81.525999999999996</v>
      </c>
      <c r="Q176">
        <v>0.13535442418003868</v>
      </c>
      <c r="R176" t="s">
        <v>480</v>
      </c>
      <c r="S176" t="e">
        <v>#VALUE!</v>
      </c>
      <c r="T176" t="s">
        <v>480</v>
      </c>
      <c r="U176">
        <v>256.86700000000002</v>
      </c>
      <c r="V176">
        <v>-328.25799999999998</v>
      </c>
      <c r="W176">
        <v>-0.54499389854146074</v>
      </c>
    </row>
    <row r="177" spans="1:23" x14ac:dyDescent="0.2">
      <c r="A177" t="s">
        <v>577</v>
      </c>
      <c r="B177">
        <v>1234.2756999999999</v>
      </c>
      <c r="C177">
        <v>206.98599999999999</v>
      </c>
      <c r="D177">
        <v>265.089</v>
      </c>
      <c r="E177">
        <v>329.13800000000003</v>
      </c>
      <c r="F177">
        <v>4.6560804107299809</v>
      </c>
      <c r="G177">
        <v>3.750024913562092</v>
      </c>
      <c r="H177">
        <v>0.28070980646034038</v>
      </c>
      <c r="I177">
        <v>0.24161319405935378</v>
      </c>
      <c r="J177">
        <v>189.59500091552735</v>
      </c>
      <c r="K177">
        <v>0.71521263015639036</v>
      </c>
      <c r="L177">
        <v>46.16</v>
      </c>
      <c r="M177">
        <v>0.17413019778263147</v>
      </c>
      <c r="N177">
        <v>90.921999999999997</v>
      </c>
      <c r="O177">
        <v>0.34298669503449786</v>
      </c>
      <c r="P177">
        <v>43.331000000000003</v>
      </c>
      <c r="Q177">
        <v>0.16345831022788573</v>
      </c>
      <c r="R177">
        <v>35.430999999999997</v>
      </c>
      <c r="S177">
        <v>0.1336569982156936</v>
      </c>
      <c r="T177">
        <v>32.344000000000001</v>
      </c>
      <c r="U177">
        <v>128.23099999999999</v>
      </c>
      <c r="V177">
        <v>-1.8899511748109996</v>
      </c>
      <c r="W177">
        <v>-7.1294967909305918E-3</v>
      </c>
    </row>
    <row r="178" spans="1:23" x14ac:dyDescent="0.2">
      <c r="A178" t="s">
        <v>587</v>
      </c>
      <c r="B178">
        <v>28442.0455</v>
      </c>
      <c r="C178">
        <v>1708.721</v>
      </c>
      <c r="D178">
        <v>2684.7350000000001</v>
      </c>
      <c r="E178">
        <v>1858.0640000000001</v>
      </c>
      <c r="F178">
        <v>10.593986184856233</v>
      </c>
      <c r="G178">
        <v>15.307355128779202</v>
      </c>
      <c r="H178">
        <v>0.57119564867523731</v>
      </c>
      <c r="I178">
        <v>-0.30791530635239606</v>
      </c>
      <c r="J178">
        <v>1029.4319973144532</v>
      </c>
      <c r="K178">
        <v>0.38343896038694808</v>
      </c>
      <c r="L178">
        <v>321.88799999999998</v>
      </c>
      <c r="M178">
        <v>0.11989563215736375</v>
      </c>
      <c r="N178">
        <v>253.17</v>
      </c>
      <c r="O178">
        <v>9.4299809850879129E-2</v>
      </c>
      <c r="P178">
        <v>250.553</v>
      </c>
      <c r="Q178">
        <v>9.3325039529041032E-2</v>
      </c>
      <c r="R178">
        <v>-3.8120000000000012</v>
      </c>
      <c r="S178">
        <v>-1.4198794294408949E-3</v>
      </c>
      <c r="T178">
        <v>72.408999999999992</v>
      </c>
      <c r="U178">
        <v>696.47399999999993</v>
      </c>
      <c r="V178">
        <v>-55.131</v>
      </c>
      <c r="W178">
        <v>-2.0534987624476902E-2</v>
      </c>
    </row>
    <row r="179" spans="1:23" x14ac:dyDescent="0.2">
      <c r="A179" t="s">
        <v>588</v>
      </c>
      <c r="B179">
        <v>11492.5267</v>
      </c>
      <c r="C179">
        <v>409.221</v>
      </c>
      <c r="D179">
        <v>766.22400000000005</v>
      </c>
      <c r="E179">
        <v>912.07100000000003</v>
      </c>
      <c r="F179">
        <v>14.998912459019817</v>
      </c>
      <c r="G179">
        <v>12.600473756977253</v>
      </c>
      <c r="H179">
        <v>0.87239657788823166</v>
      </c>
      <c r="I179">
        <v>0.19034512100899992</v>
      </c>
      <c r="J179">
        <v>534.71100567626956</v>
      </c>
      <c r="K179">
        <v>0.69785207155645024</v>
      </c>
      <c r="L179">
        <v>132.05099999999999</v>
      </c>
      <c r="M179">
        <v>0.17233994236672301</v>
      </c>
      <c r="N179">
        <v>130.898</v>
      </c>
      <c r="O179">
        <v>0.1708351604752657</v>
      </c>
      <c r="P179">
        <v>60.390999999999998</v>
      </c>
      <c r="Q179">
        <v>7.8816377456200792E-2</v>
      </c>
      <c r="R179">
        <v>188.203</v>
      </c>
      <c r="S179">
        <v>0.24562399507193719</v>
      </c>
      <c r="T179">
        <v>274.41300000000001</v>
      </c>
      <c r="U179">
        <v>320.18299999999999</v>
      </c>
      <c r="V179">
        <v>162.85600955123999</v>
      </c>
      <c r="W179">
        <v>0.21254360285143767</v>
      </c>
    </row>
    <row r="180" spans="1:23" x14ac:dyDescent="0.2">
      <c r="A180" t="s">
        <v>590</v>
      </c>
      <c r="B180">
        <v>4083.6496999999999</v>
      </c>
      <c r="C180">
        <v>463.38099999999997</v>
      </c>
      <c r="D180">
        <v>609.726</v>
      </c>
      <c r="E180">
        <v>719.86699999999996</v>
      </c>
      <c r="F180">
        <v>6.6975160973945673</v>
      </c>
      <c r="G180">
        <v>5.6727835836341995</v>
      </c>
      <c r="H180">
        <v>0.31582002714828628</v>
      </c>
      <c r="I180">
        <v>0.1806401563981197</v>
      </c>
      <c r="J180">
        <v>460.99100408935544</v>
      </c>
      <c r="K180">
        <v>0.75606256595479848</v>
      </c>
      <c r="L180">
        <v>138.56399999999999</v>
      </c>
      <c r="M180">
        <v>0.22725617736491471</v>
      </c>
      <c r="N180">
        <v>126.273</v>
      </c>
      <c r="O180">
        <v>0.2070979423544346</v>
      </c>
      <c r="P180">
        <v>94.323999999999998</v>
      </c>
      <c r="Q180">
        <v>0.15469899594243972</v>
      </c>
      <c r="R180">
        <v>82.144000000000005</v>
      </c>
      <c r="S180">
        <v>0.13472280991789756</v>
      </c>
      <c r="T180">
        <v>44.370999999999995</v>
      </c>
      <c r="U180">
        <v>237.32499999999999</v>
      </c>
      <c r="V180">
        <v>48.942264632863001</v>
      </c>
      <c r="W180">
        <v>8.0269276089363087E-2</v>
      </c>
    </row>
    <row r="181" spans="1:23" x14ac:dyDescent="0.2">
      <c r="A181" t="s">
        <v>596</v>
      </c>
      <c r="B181">
        <v>3802.556</v>
      </c>
      <c r="C181">
        <v>2322</v>
      </c>
      <c r="D181">
        <v>2202</v>
      </c>
      <c r="E181">
        <v>2153.799</v>
      </c>
      <c r="F181">
        <v>1.7268646684831972</v>
      </c>
      <c r="G181">
        <v>1.7655110806533014</v>
      </c>
      <c r="H181">
        <v>-5.1679586563307491E-2</v>
      </c>
      <c r="I181">
        <v>-2.1889645776566713E-2</v>
      </c>
      <c r="J181">
        <v>1035</v>
      </c>
      <c r="K181">
        <v>0.47002724795640327</v>
      </c>
      <c r="L181">
        <v>306</v>
      </c>
      <c r="M181">
        <v>0.13896457765667575</v>
      </c>
      <c r="N181" t="s">
        <v>480</v>
      </c>
      <c r="O181" t="e">
        <v>#VALUE!</v>
      </c>
      <c r="P181" t="s">
        <v>480</v>
      </c>
      <c r="Q181" t="e">
        <v>#VALUE!</v>
      </c>
      <c r="R181">
        <v>220</v>
      </c>
      <c r="S181">
        <v>9.9909173478655772E-2</v>
      </c>
      <c r="T181">
        <v>169</v>
      </c>
      <c r="U181">
        <v>1089</v>
      </c>
      <c r="V181">
        <v>70.963692307692</v>
      </c>
      <c r="W181">
        <v>3.2226926570250683E-2</v>
      </c>
    </row>
    <row r="182" spans="1:23" x14ac:dyDescent="0.2">
      <c r="A182" t="s">
        <v>597</v>
      </c>
      <c r="B182">
        <v>498.00700000000001</v>
      </c>
      <c r="C182">
        <v>21.366</v>
      </c>
      <c r="D182">
        <v>45.913776851069429</v>
      </c>
      <c r="E182">
        <v>104.675</v>
      </c>
      <c r="F182">
        <v>10.846570118058157</v>
      </c>
      <c r="G182">
        <v>4.7576498686410318</v>
      </c>
      <c r="H182">
        <v>1.148917759574531</v>
      </c>
      <c r="I182">
        <v>1.2798168039962041</v>
      </c>
      <c r="J182">
        <v>32.362014866124603</v>
      </c>
      <c r="K182">
        <v>0.70484323193662135</v>
      </c>
      <c r="L182">
        <v>11.413988746902495</v>
      </c>
      <c r="M182">
        <v>0.24859616284510996</v>
      </c>
      <c r="N182">
        <v>8.1589877207270067</v>
      </c>
      <c r="O182">
        <v>0.17770238652316328</v>
      </c>
      <c r="P182">
        <v>9.0291365099026333</v>
      </c>
      <c r="Q182">
        <v>0.19665418811417876</v>
      </c>
      <c r="R182">
        <v>12.963605572070199</v>
      </c>
      <c r="S182">
        <v>0.28234674777725782</v>
      </c>
      <c r="T182">
        <v>5.6319999999999997</v>
      </c>
      <c r="U182">
        <v>24.123999999999999</v>
      </c>
      <c r="V182">
        <v>5.1382688847482347</v>
      </c>
      <c r="W182">
        <v>0.111911265793168</v>
      </c>
    </row>
    <row r="183" spans="1:23" x14ac:dyDescent="0.2">
      <c r="A183" t="s">
        <v>598</v>
      </c>
      <c r="B183">
        <v>11310.248799999999</v>
      </c>
      <c r="C183">
        <v>1413.6980000000001</v>
      </c>
      <c r="D183">
        <v>1762.6579999999999</v>
      </c>
      <c r="E183">
        <v>3002.8670000000002</v>
      </c>
      <c r="F183">
        <v>6.4165872222518496</v>
      </c>
      <c r="G183">
        <v>3.766483430668091</v>
      </c>
      <c r="H183">
        <v>0.24684197049157583</v>
      </c>
      <c r="I183">
        <v>0.70360160621062073</v>
      </c>
      <c r="J183">
        <v>927.55099047851559</v>
      </c>
      <c r="K183">
        <v>0.52622289206330197</v>
      </c>
      <c r="L183">
        <v>196.37299999999999</v>
      </c>
      <c r="M183">
        <v>0.11140731781207699</v>
      </c>
      <c r="N183">
        <v>256.09199999999998</v>
      </c>
      <c r="O183">
        <v>0.14528740118616318</v>
      </c>
      <c r="P183">
        <v>247.828</v>
      </c>
      <c r="Q183">
        <v>0.14059902715104122</v>
      </c>
      <c r="R183">
        <v>287.15600000000006</v>
      </c>
      <c r="S183">
        <v>0.16291078586997595</v>
      </c>
      <c r="T183">
        <v>128.85899999999998</v>
      </c>
      <c r="U183">
        <v>808.97299999999996</v>
      </c>
      <c r="V183">
        <v>192.85892999999999</v>
      </c>
      <c r="W183">
        <v>0.10941369794934695</v>
      </c>
    </row>
    <row r="184" spans="1:23" x14ac:dyDescent="0.2">
      <c r="A184" t="s">
        <v>599</v>
      </c>
      <c r="B184">
        <v>5116.1342000000004</v>
      </c>
      <c r="C184">
        <v>201.49100000000001</v>
      </c>
      <c r="D184">
        <v>662.16275290332658</v>
      </c>
      <c r="E184">
        <v>964.04100000000005</v>
      </c>
      <c r="F184">
        <v>7.7263998579922211</v>
      </c>
      <c r="G184">
        <v>5.3069674422560871</v>
      </c>
      <c r="H184">
        <v>2.2863142914736962</v>
      </c>
      <c r="I184">
        <v>0.4558973541973701</v>
      </c>
      <c r="J184">
        <v>462.07363936766961</v>
      </c>
      <c r="K184">
        <v>0.69782487363062351</v>
      </c>
      <c r="L184">
        <v>154.31598291557478</v>
      </c>
      <c r="M184">
        <v>0.23304841934850473</v>
      </c>
      <c r="N184">
        <v>169.76960474098371</v>
      </c>
      <c r="O184">
        <v>0.2563865212843971</v>
      </c>
      <c r="P184">
        <v>72.929738302088708</v>
      </c>
      <c r="Q184">
        <v>0.11013869019711563</v>
      </c>
      <c r="R184">
        <v>163.30981038419148</v>
      </c>
      <c r="S184">
        <v>0.24663092218361932</v>
      </c>
      <c r="T184">
        <v>65.210999999999999</v>
      </c>
      <c r="U184">
        <v>105.649</v>
      </c>
      <c r="V184">
        <v>77.683937329779184</v>
      </c>
      <c r="W184">
        <v>0.11731849456823912</v>
      </c>
    </row>
    <row r="185" spans="1:23" x14ac:dyDescent="0.2">
      <c r="A185" t="s">
        <v>600</v>
      </c>
      <c r="B185">
        <v>1670.4738</v>
      </c>
      <c r="C185">
        <v>254.18799999999999</v>
      </c>
      <c r="D185">
        <v>505.65300000000002</v>
      </c>
      <c r="E185">
        <v>700.99199999999996</v>
      </c>
      <c r="F185">
        <v>3.3035971308387371</v>
      </c>
      <c r="G185">
        <v>2.3830140714872639</v>
      </c>
      <c r="H185">
        <v>0.98928745652823913</v>
      </c>
      <c r="I185">
        <v>0.38631037490136499</v>
      </c>
      <c r="J185">
        <v>233.04500000000002</v>
      </c>
      <c r="K185">
        <v>0.46087929864946914</v>
      </c>
      <c r="L185">
        <v>17.2</v>
      </c>
      <c r="M185">
        <v>3.4015421642905309E-2</v>
      </c>
      <c r="N185" t="s">
        <v>480</v>
      </c>
      <c r="O185" t="e">
        <v>#VALUE!</v>
      </c>
      <c r="P185" t="s">
        <v>480</v>
      </c>
      <c r="Q185" t="e">
        <v>#VALUE!</v>
      </c>
      <c r="R185">
        <v>12.508000000000003</v>
      </c>
      <c r="S185">
        <v>2.4736331041247658E-2</v>
      </c>
      <c r="T185">
        <v>-25.263999999999992</v>
      </c>
      <c r="U185">
        <v>238.43299999999999</v>
      </c>
      <c r="V185">
        <v>-25.145819318402001</v>
      </c>
      <c r="W185">
        <v>-4.9729398062311504E-2</v>
      </c>
    </row>
    <row r="186" spans="1:23" x14ac:dyDescent="0.2">
      <c r="A186" t="s">
        <v>601</v>
      </c>
      <c r="B186">
        <v>1375.1850999999999</v>
      </c>
      <c r="C186">
        <v>9.6440000000000001</v>
      </c>
      <c r="D186">
        <v>50.944830456625908</v>
      </c>
      <c r="E186">
        <v>68.814000000000007</v>
      </c>
      <c r="F186">
        <v>26.993614222954839</v>
      </c>
      <c r="G186">
        <v>19.984088993518757</v>
      </c>
      <c r="H186">
        <v>4.2825415239139266</v>
      </c>
      <c r="I186">
        <v>0.35075530496833807</v>
      </c>
      <c r="J186">
        <v>50.927435366140706</v>
      </c>
      <c r="K186">
        <v>0.99965855042937057</v>
      </c>
      <c r="L186">
        <v>0</v>
      </c>
      <c r="M186">
        <v>0</v>
      </c>
      <c r="N186" t="s">
        <v>480</v>
      </c>
      <c r="O186" t="e">
        <v>#VALUE!</v>
      </c>
      <c r="P186" t="s">
        <v>480</v>
      </c>
      <c r="Q186" t="e">
        <v>#VALUE!</v>
      </c>
      <c r="R186">
        <v>-15.660510996069489</v>
      </c>
      <c r="S186">
        <v>-0.30740137626726904</v>
      </c>
      <c r="T186">
        <v>4.6070000000000002</v>
      </c>
      <c r="U186">
        <v>16.331</v>
      </c>
      <c r="V186">
        <v>-16.377704596026192</v>
      </c>
      <c r="W186">
        <v>-0.32147922466775231</v>
      </c>
    </row>
    <row r="187" spans="1:23" x14ac:dyDescent="0.2">
      <c r="A187" t="s">
        <v>602</v>
      </c>
      <c r="B187">
        <v>11136.6034</v>
      </c>
      <c r="C187">
        <v>1393.9970000000001</v>
      </c>
      <c r="D187">
        <v>2027.4701488016447</v>
      </c>
      <c r="E187">
        <v>2646.6010000000001</v>
      </c>
      <c r="F187">
        <v>5.4928569017809679</v>
      </c>
      <c r="G187">
        <v>4.2078890622349192</v>
      </c>
      <c r="H187">
        <v>0.45442934870135626</v>
      </c>
      <c r="I187">
        <v>0.30537113040322628</v>
      </c>
      <c r="J187">
        <v>1679.9929314420062</v>
      </c>
      <c r="K187">
        <v>0.82861537193777279</v>
      </c>
      <c r="L187">
        <v>808.46222965286324</v>
      </c>
      <c r="M187">
        <v>0.39875419627298209</v>
      </c>
      <c r="N187">
        <v>397.17667897950406</v>
      </c>
      <c r="O187">
        <v>0.19589767041169956</v>
      </c>
      <c r="P187">
        <v>169.33572698676082</v>
      </c>
      <c r="Q187">
        <v>8.3520700458573113E-2</v>
      </c>
      <c r="R187">
        <v>942.26823079258611</v>
      </c>
      <c r="S187">
        <v>0.46475072954811325</v>
      </c>
      <c r="T187">
        <v>809.69499999999994</v>
      </c>
      <c r="U187">
        <v>746.93899999999996</v>
      </c>
      <c r="V187">
        <v>205.69174478129477</v>
      </c>
      <c r="W187">
        <v>0.10145241590998064</v>
      </c>
    </row>
    <row r="188" spans="1:23" x14ac:dyDescent="0.2">
      <c r="A188" t="s">
        <v>603</v>
      </c>
      <c r="B188">
        <v>1498.6233999999999</v>
      </c>
      <c r="C188">
        <v>94.061999999999998</v>
      </c>
      <c r="D188">
        <v>169.74299999999999</v>
      </c>
      <c r="E188">
        <v>217.958</v>
      </c>
      <c r="F188">
        <v>8.8287788008931152</v>
      </c>
      <c r="G188">
        <v>6.8757439506693947</v>
      </c>
      <c r="H188">
        <v>0.8045863366715571</v>
      </c>
      <c r="I188">
        <v>0.2840470593780009</v>
      </c>
      <c r="J188">
        <v>52.637000358581545</v>
      </c>
      <c r="K188">
        <v>0.3100982094023409</v>
      </c>
      <c r="L188">
        <v>5.6280000000000001</v>
      </c>
      <c r="M188">
        <v>3.3156006433254982E-2</v>
      </c>
      <c r="N188">
        <v>5.5419999999999998</v>
      </c>
      <c r="O188">
        <v>3.2649358147316829E-2</v>
      </c>
      <c r="P188">
        <v>21.181000000000001</v>
      </c>
      <c r="Q188">
        <v>0.12478275981925618</v>
      </c>
      <c r="R188">
        <v>17.134</v>
      </c>
      <c r="S188">
        <v>0.10094083408446888</v>
      </c>
      <c r="T188">
        <v>7.0270000000000001</v>
      </c>
      <c r="U188">
        <v>10.43</v>
      </c>
      <c r="V188">
        <v>8.8915167711629994</v>
      </c>
      <c r="W188">
        <v>5.2382229436047437E-2</v>
      </c>
    </row>
    <row r="189" spans="1:23" x14ac:dyDescent="0.2">
      <c r="A189" t="s">
        <v>604</v>
      </c>
      <c r="B189">
        <v>751.91750000000002</v>
      </c>
      <c r="C189">
        <v>200.58099999999999</v>
      </c>
      <c r="D189">
        <v>332.99599999999998</v>
      </c>
      <c r="E189">
        <v>392.42</v>
      </c>
      <c r="F189">
        <v>2.2580376340856949</v>
      </c>
      <c r="G189">
        <v>1.9161039192701697</v>
      </c>
      <c r="H189">
        <v>0.66015724320847935</v>
      </c>
      <c r="I189">
        <v>0.17845259402515357</v>
      </c>
      <c r="J189">
        <v>180.10199858093262</v>
      </c>
      <c r="K189">
        <v>0.54085333932219193</v>
      </c>
      <c r="L189">
        <v>92.42</v>
      </c>
      <c r="M189">
        <v>0.27754087136181815</v>
      </c>
      <c r="N189">
        <v>104.35599999999999</v>
      </c>
      <c r="O189">
        <v>0.31338514576751675</v>
      </c>
      <c r="P189">
        <v>34.424999999999997</v>
      </c>
      <c r="Q189">
        <v>0.10337962017561772</v>
      </c>
      <c r="R189">
        <v>-42.642000000000003</v>
      </c>
      <c r="S189">
        <v>-0.1280555922593665</v>
      </c>
      <c r="T189" t="s">
        <v>480</v>
      </c>
      <c r="U189">
        <v>63.763999999999996</v>
      </c>
      <c r="V189">
        <v>-26.043469999999999</v>
      </c>
      <c r="W189">
        <v>-7.820955807276965E-2</v>
      </c>
    </row>
    <row r="190" spans="1:23" x14ac:dyDescent="0.2">
      <c r="A190" t="s">
        <v>605</v>
      </c>
      <c r="B190">
        <v>877.18060000000003</v>
      </c>
      <c r="C190">
        <v>49.845999999999997</v>
      </c>
      <c r="D190">
        <v>67.067000000000007</v>
      </c>
      <c r="E190">
        <v>79</v>
      </c>
      <c r="F190">
        <v>13.079168592601427</v>
      </c>
      <c r="G190">
        <v>11.103551898734178</v>
      </c>
      <c r="H190">
        <v>0.3454840910002811</v>
      </c>
      <c r="I190">
        <v>0.1779265510608794</v>
      </c>
      <c r="J190">
        <v>63.660000076293947</v>
      </c>
      <c r="K190">
        <v>0.94920005481524361</v>
      </c>
      <c r="L190">
        <v>13.173999999999999</v>
      </c>
      <c r="M190">
        <v>0.19643043523640535</v>
      </c>
      <c r="N190">
        <v>8.2569999999999997</v>
      </c>
      <c r="O190">
        <v>0.12311569027986936</v>
      </c>
      <c r="P190">
        <v>8.7360000000000007</v>
      </c>
      <c r="Q190">
        <v>0.13025780189959293</v>
      </c>
      <c r="R190">
        <v>20.859000000000002</v>
      </c>
      <c r="S190">
        <v>0.31101734086808713</v>
      </c>
      <c r="T190">
        <v>29.554000000000002</v>
      </c>
      <c r="U190">
        <v>52.832999999999998</v>
      </c>
      <c r="V190">
        <v>15.805099999999999</v>
      </c>
      <c r="W190">
        <v>0.23566135357180129</v>
      </c>
    </row>
    <row r="191" spans="1:23" x14ac:dyDescent="0.2">
      <c r="A191" t="s">
        <v>606</v>
      </c>
      <c r="B191">
        <v>4269.3923999999997</v>
      </c>
      <c r="C191">
        <v>1549.8989999999999</v>
      </c>
      <c r="D191">
        <v>2006.2450000000001</v>
      </c>
      <c r="E191">
        <v>2239.0819999999999</v>
      </c>
      <c r="F191">
        <v>2.1280513596295565</v>
      </c>
      <c r="G191">
        <v>1.9067601811813948</v>
      </c>
      <c r="H191">
        <v>0.29443596002062089</v>
      </c>
      <c r="I191">
        <v>0.11605611478159439</v>
      </c>
      <c r="J191">
        <v>861.35701245117184</v>
      </c>
      <c r="K191">
        <v>0.4293378986370916</v>
      </c>
      <c r="L191">
        <v>220.21899999999999</v>
      </c>
      <c r="M191">
        <v>0.10976675331278084</v>
      </c>
      <c r="N191" t="s">
        <v>480</v>
      </c>
      <c r="O191" t="e">
        <v>#VALUE!</v>
      </c>
      <c r="P191" t="s">
        <v>480</v>
      </c>
      <c r="Q191" t="e">
        <v>#VALUE!</v>
      </c>
      <c r="R191">
        <v>376.78800000000001</v>
      </c>
      <c r="S191">
        <v>0.18780757085998967</v>
      </c>
      <c r="T191">
        <v>154.95600000000002</v>
      </c>
      <c r="U191">
        <v>155.839</v>
      </c>
      <c r="V191">
        <v>-22.321651615104003</v>
      </c>
      <c r="W191">
        <v>-1.112608460836239E-2</v>
      </c>
    </row>
    <row r="192" spans="1:23" x14ac:dyDescent="0.2">
      <c r="A192" t="s">
        <v>607</v>
      </c>
      <c r="B192">
        <v>25857.610499999999</v>
      </c>
      <c r="C192">
        <v>4396</v>
      </c>
      <c r="D192">
        <v>4838</v>
      </c>
      <c r="E192">
        <v>5394.9750000000004</v>
      </c>
      <c r="F192">
        <v>5.3446900578751544</v>
      </c>
      <c r="G192">
        <v>4.7929064546174907</v>
      </c>
      <c r="H192">
        <v>0.1005459508644222</v>
      </c>
      <c r="I192">
        <v>0.11512505167424569</v>
      </c>
      <c r="J192">
        <v>3503</v>
      </c>
      <c r="K192">
        <v>0.72405952873088053</v>
      </c>
      <c r="L192">
        <v>1320</v>
      </c>
      <c r="M192">
        <v>0.27284001653575857</v>
      </c>
      <c r="N192">
        <v>641</v>
      </c>
      <c r="O192">
        <v>0.13249276560562215</v>
      </c>
      <c r="P192">
        <v>469</v>
      </c>
      <c r="Q192">
        <v>9.6940884663083912E-2</v>
      </c>
      <c r="R192">
        <v>1151</v>
      </c>
      <c r="S192">
        <v>0.23790822653989252</v>
      </c>
      <c r="T192">
        <v>1351</v>
      </c>
      <c r="U192">
        <v>4258</v>
      </c>
      <c r="V192">
        <v>881.07999999999993</v>
      </c>
      <c r="W192">
        <v>0.18211657709797435</v>
      </c>
    </row>
    <row r="193" spans="1:23" x14ac:dyDescent="0.2">
      <c r="A193" t="s">
        <v>608</v>
      </c>
      <c r="B193">
        <v>2858.7084</v>
      </c>
      <c r="C193">
        <v>741.42</v>
      </c>
      <c r="D193">
        <v>883.15200000000004</v>
      </c>
      <c r="E193">
        <v>981.11099999999999</v>
      </c>
      <c r="F193">
        <v>3.2369381488124351</v>
      </c>
      <c r="G193">
        <v>2.9137461510471292</v>
      </c>
      <c r="H193">
        <v>0.19116290361738297</v>
      </c>
      <c r="I193">
        <v>0.11091975107342789</v>
      </c>
      <c r="J193">
        <v>610.00600537109381</v>
      </c>
      <c r="K193">
        <v>0.69071462825322683</v>
      </c>
      <c r="L193">
        <v>256.012</v>
      </c>
      <c r="M193">
        <v>0.28988441400800768</v>
      </c>
      <c r="N193">
        <v>212.03</v>
      </c>
      <c r="O193">
        <v>0.24008324727793176</v>
      </c>
      <c r="P193">
        <v>108.65300000000001</v>
      </c>
      <c r="Q193">
        <v>0.12302865191948838</v>
      </c>
      <c r="R193">
        <v>82.168000000000006</v>
      </c>
      <c r="S193">
        <v>9.3039476783158506E-2</v>
      </c>
      <c r="T193">
        <v>94.092000000000013</v>
      </c>
      <c r="U193">
        <v>372.87</v>
      </c>
      <c r="V193">
        <v>49.854209999999995</v>
      </c>
      <c r="W193">
        <v>5.6450316593293103E-2</v>
      </c>
    </row>
    <row r="194" spans="1:23" x14ac:dyDescent="0.2">
      <c r="A194" t="s">
        <v>609</v>
      </c>
      <c r="B194">
        <v>2570.2040999999999</v>
      </c>
      <c r="C194">
        <v>692.62300000000005</v>
      </c>
      <c r="D194">
        <v>756.01800000000003</v>
      </c>
      <c r="E194">
        <v>833.2</v>
      </c>
      <c r="F194">
        <v>3.3996599287318552</v>
      </c>
      <c r="G194">
        <v>3.0847384781565048</v>
      </c>
      <c r="H194">
        <v>9.1528869240553631E-2</v>
      </c>
      <c r="I194">
        <v>0.10209016187445275</v>
      </c>
      <c r="J194">
        <v>351.15899945068361</v>
      </c>
      <c r="K194">
        <v>0.46448497185342624</v>
      </c>
      <c r="L194">
        <v>66.022000000000006</v>
      </c>
      <c r="M194">
        <v>8.7328608578102637E-2</v>
      </c>
      <c r="N194" t="s">
        <v>480</v>
      </c>
      <c r="O194" t="e">
        <v>#VALUE!</v>
      </c>
      <c r="P194" t="s">
        <v>480</v>
      </c>
      <c r="Q194" t="e">
        <v>#VALUE!</v>
      </c>
      <c r="R194">
        <v>88.09</v>
      </c>
      <c r="S194">
        <v>0.11651838977378845</v>
      </c>
      <c r="T194">
        <v>35.474000000000004</v>
      </c>
      <c r="U194">
        <v>32.423999999999999</v>
      </c>
      <c r="V194">
        <v>25.583342077704</v>
      </c>
      <c r="W194">
        <v>3.3839593869066605E-2</v>
      </c>
    </row>
    <row r="195" spans="1:23" x14ac:dyDescent="0.2">
      <c r="A195" t="s">
        <v>610</v>
      </c>
      <c r="B195">
        <v>4868.8302000000003</v>
      </c>
      <c r="C195">
        <v>1082.9000000000001</v>
      </c>
      <c r="D195">
        <v>1286.5</v>
      </c>
      <c r="E195">
        <v>1414.836</v>
      </c>
      <c r="F195">
        <v>3.7845551496307817</v>
      </c>
      <c r="G195">
        <v>3.4412682459309774</v>
      </c>
      <c r="H195">
        <v>0.18801366700526354</v>
      </c>
      <c r="I195">
        <v>9.9755926933540628E-2</v>
      </c>
      <c r="J195">
        <v>696.89999084472652</v>
      </c>
      <c r="K195">
        <v>0.54170228592672098</v>
      </c>
      <c r="L195">
        <v>173.6</v>
      </c>
      <c r="M195">
        <v>0.13493975903614458</v>
      </c>
      <c r="N195">
        <v>252.2</v>
      </c>
      <c r="O195">
        <v>0.19603575592693354</v>
      </c>
      <c r="P195">
        <v>145.4</v>
      </c>
      <c r="Q195">
        <v>0.11301982122036534</v>
      </c>
      <c r="R195">
        <v>325.79999999999995</v>
      </c>
      <c r="S195">
        <v>0.25324523902059848</v>
      </c>
      <c r="T195">
        <v>297.59999999999997</v>
      </c>
      <c r="U195">
        <v>165.1</v>
      </c>
      <c r="V195">
        <v>132.49198895886499</v>
      </c>
      <c r="W195">
        <v>0.10298638861940536</v>
      </c>
    </row>
    <row r="196" spans="1:23" x14ac:dyDescent="0.2">
      <c r="A196" t="s">
        <v>611</v>
      </c>
      <c r="B196">
        <v>3484.2853</v>
      </c>
      <c r="C196">
        <v>583.90300000000002</v>
      </c>
      <c r="D196">
        <v>106.27463551615409</v>
      </c>
      <c r="E196">
        <v>116.741</v>
      </c>
      <c r="F196">
        <v>32.785671605247494</v>
      </c>
      <c r="G196">
        <v>29.846286223349125</v>
      </c>
      <c r="H196">
        <v>-0.81799265371790508</v>
      </c>
      <c r="I196">
        <v>9.8484124956184749E-2</v>
      </c>
      <c r="J196">
        <v>81.477672212029802</v>
      </c>
      <c r="K196">
        <v>0.76667091650147257</v>
      </c>
      <c r="L196" t="s">
        <v>480</v>
      </c>
      <c r="M196" t="e">
        <v>#VALUE!</v>
      </c>
      <c r="N196">
        <v>29.383652730074935</v>
      </c>
      <c r="O196">
        <v>0.27648791818823526</v>
      </c>
      <c r="P196">
        <v>8.5565256221919981</v>
      </c>
      <c r="Q196">
        <v>8.0513337737031135E-2</v>
      </c>
      <c r="R196">
        <v>46.149536384401458</v>
      </c>
      <c r="S196">
        <v>0.4342478914207763</v>
      </c>
      <c r="T196">
        <v>70.03</v>
      </c>
      <c r="U196">
        <v>647.51599999999996</v>
      </c>
      <c r="V196">
        <v>37.745532686694702</v>
      </c>
      <c r="W196">
        <v>0.3551697213862216</v>
      </c>
    </row>
    <row r="197" spans="1:23" x14ac:dyDescent="0.2">
      <c r="A197" t="s">
        <v>612</v>
      </c>
      <c r="B197">
        <v>988.6848</v>
      </c>
      <c r="C197">
        <v>73.400999999999996</v>
      </c>
      <c r="D197">
        <v>158.81090657152305</v>
      </c>
      <c r="E197">
        <v>172.51400000000001</v>
      </c>
      <c r="F197">
        <v>6.2255472331475534</v>
      </c>
      <c r="G197">
        <v>5.7310409589946323</v>
      </c>
      <c r="H197">
        <v>1.1636068523797094</v>
      </c>
      <c r="I197">
        <v>8.6285594133961752E-2</v>
      </c>
      <c r="J197">
        <v>122.86743957034734</v>
      </c>
      <c r="K197">
        <v>0.77367129388567535</v>
      </c>
      <c r="L197">
        <v>15.0808138126222</v>
      </c>
      <c r="M197">
        <v>9.4960819368097443E-2</v>
      </c>
      <c r="N197" t="s">
        <v>480</v>
      </c>
      <c r="O197" t="e">
        <v>#VALUE!</v>
      </c>
      <c r="P197" t="s">
        <v>480</v>
      </c>
      <c r="Q197" t="e">
        <v>#VALUE!</v>
      </c>
      <c r="R197">
        <v>34.725540664341814</v>
      </c>
      <c r="S197">
        <v>0.21865967151760202</v>
      </c>
      <c r="T197">
        <v>25.52</v>
      </c>
      <c r="U197">
        <v>22.753</v>
      </c>
      <c r="V197">
        <v>16.478658119925523</v>
      </c>
      <c r="W197">
        <v>0.10376276085612605</v>
      </c>
    </row>
    <row r="198" spans="1:23" x14ac:dyDescent="0.2">
      <c r="A198" t="s">
        <v>613</v>
      </c>
      <c r="B198">
        <v>503.5813</v>
      </c>
      <c r="C198">
        <v>264.7</v>
      </c>
      <c r="D198">
        <v>390.21064688256155</v>
      </c>
      <c r="E198">
        <v>423.65500000000003</v>
      </c>
      <c r="F198">
        <v>1.2905370574154493</v>
      </c>
      <c r="G198">
        <v>1.1886589323860215</v>
      </c>
      <c r="H198">
        <v>0.47416186959789031</v>
      </c>
      <c r="I198">
        <v>8.5708458712311808E-2</v>
      </c>
      <c r="J198">
        <v>208.1033694655994</v>
      </c>
      <c r="K198">
        <v>0.53331033155594687</v>
      </c>
      <c r="L198">
        <v>34.018854199922998</v>
      </c>
      <c r="M198">
        <v>8.718074320038062E-2</v>
      </c>
      <c r="N198" t="s">
        <v>480</v>
      </c>
      <c r="O198" t="e">
        <v>#VALUE!</v>
      </c>
      <c r="P198">
        <v>172.67145692385159</v>
      </c>
      <c r="Q198">
        <v>0.44250831775950766</v>
      </c>
      <c r="R198">
        <v>41.081894131577933</v>
      </c>
      <c r="S198">
        <v>0.10528132550914739</v>
      </c>
      <c r="T198">
        <v>12.2</v>
      </c>
      <c r="U198">
        <v>22.7</v>
      </c>
      <c r="V198">
        <v>28.187567163656766</v>
      </c>
      <c r="W198">
        <v>7.2236796686227123E-2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Y169"/>
  <sheetViews>
    <sheetView tabSelected="1" zoomScale="70" zoomScaleNormal="70" workbookViewId="0">
      <selection activeCell="I28" sqref="I28"/>
    </sheetView>
  </sheetViews>
  <sheetFormatPr defaultRowHeight="12.75" x14ac:dyDescent="0.2"/>
  <cols>
    <col min="1" max="1" width="18.140625" customWidth="1"/>
    <col min="2" max="2" width="36.140625" bestFit="1" customWidth="1"/>
    <col min="3" max="3" width="29.85546875" bestFit="1" customWidth="1"/>
    <col min="4" max="4" width="9.7109375" customWidth="1"/>
    <col min="5" max="5" width="10.5703125" bestFit="1" customWidth="1"/>
    <col min="6" max="6" width="10.5703125" customWidth="1"/>
    <col min="7" max="7" width="14" customWidth="1"/>
    <col min="8" max="9" width="9.7109375" customWidth="1"/>
    <col min="10" max="10" width="14.85546875" bestFit="1" customWidth="1"/>
    <col min="11" max="12" width="9.42578125" customWidth="1"/>
    <col min="13" max="13" width="13.5703125" bestFit="1" customWidth="1"/>
    <col min="14" max="14" width="9.42578125" customWidth="1"/>
    <col min="15" max="19" width="12.28515625" customWidth="1"/>
    <col min="20" max="20" width="14" customWidth="1"/>
    <col min="21" max="21" width="13.42578125" customWidth="1"/>
    <col min="22" max="25" width="12.28515625" customWidth="1"/>
    <col min="27" max="27" width="26.28515625" customWidth="1"/>
    <col min="28" max="34" width="16.28515625" customWidth="1"/>
  </cols>
  <sheetData>
    <row r="1" spans="1:25" ht="55.5" customHeight="1" x14ac:dyDescent="0.2">
      <c r="A1" s="41" t="s">
        <v>0</v>
      </c>
      <c r="B1" s="95" t="s">
        <v>424</v>
      </c>
      <c r="C1" s="16" t="s">
        <v>463</v>
      </c>
      <c r="D1" s="16" t="s">
        <v>434</v>
      </c>
      <c r="E1" s="16" t="s">
        <v>435</v>
      </c>
      <c r="F1" s="16" t="s">
        <v>951</v>
      </c>
      <c r="G1" s="40" t="s">
        <v>436</v>
      </c>
      <c r="H1" s="40" t="s">
        <v>513</v>
      </c>
      <c r="I1" s="40" t="s">
        <v>514</v>
      </c>
      <c r="J1" s="40" t="s">
        <v>464</v>
      </c>
      <c r="K1" s="40" t="s">
        <v>437</v>
      </c>
      <c r="L1" s="40"/>
      <c r="M1" s="40" t="s">
        <v>507</v>
      </c>
      <c r="N1" s="40" t="s">
        <v>498</v>
      </c>
      <c r="O1" s="40" t="s">
        <v>508</v>
      </c>
      <c r="P1" s="40" t="s">
        <v>499</v>
      </c>
      <c r="Q1" s="40" t="s">
        <v>509</v>
      </c>
      <c r="R1" s="40" t="s">
        <v>500</v>
      </c>
      <c r="S1" s="40" t="s">
        <v>510</v>
      </c>
      <c r="T1" s="40" t="s">
        <v>438</v>
      </c>
      <c r="U1" s="40"/>
      <c r="V1" s="40" t="s">
        <v>511</v>
      </c>
      <c r="W1" s="40" t="s">
        <v>439</v>
      </c>
      <c r="X1" s="40"/>
      <c r="Y1" s="96" t="s">
        <v>512</v>
      </c>
    </row>
    <row r="2" spans="1:25" x14ac:dyDescent="0.2">
      <c r="A2" s="1" t="s">
        <v>1</v>
      </c>
      <c r="B2" s="1" t="s">
        <v>2</v>
      </c>
      <c r="C2" s="36" t="s">
        <v>505</v>
      </c>
      <c r="D2" s="36">
        <v>809670.37990000006</v>
      </c>
      <c r="E2" s="36">
        <v>759109.37990000006</v>
      </c>
      <c r="F2" s="36"/>
      <c r="G2" s="36">
        <v>110360</v>
      </c>
      <c r="H2" s="36">
        <v>122897.462</v>
      </c>
      <c r="I2" s="36">
        <f>E2/H2</f>
        <v>6.1767701915601814</v>
      </c>
      <c r="J2" s="44">
        <v>0.11360512866980788</v>
      </c>
      <c r="K2" s="36">
        <v>72007</v>
      </c>
      <c r="L2" s="36">
        <v>65.683999999999997</v>
      </c>
      <c r="M2" s="94">
        <f t="shared" ref="M2:M33" si="0">K2/G2</f>
        <v>0.65247372236317502</v>
      </c>
      <c r="N2" s="36">
        <v>14726</v>
      </c>
      <c r="O2" s="36">
        <f t="shared" ref="O2:O33" si="1">N2/G2</f>
        <v>0.13343602754621239</v>
      </c>
      <c r="P2" s="36">
        <v>17469</v>
      </c>
      <c r="Q2" s="36">
        <f t="shared" ref="Q2:Q33" si="2">P2/G2</f>
        <v>0.15829104748097136</v>
      </c>
      <c r="R2" s="36">
        <v>4754</v>
      </c>
      <c r="S2" s="36">
        <f t="shared" ref="S2:S33" si="3">R2/G2</f>
        <v>4.3077201884740846E-2</v>
      </c>
      <c r="T2" s="36">
        <v>45319</v>
      </c>
      <c r="U2" s="36">
        <v>53201.4</v>
      </c>
      <c r="V2" s="36">
        <f t="shared" ref="V2:V33" si="4">T2/G2</f>
        <v>0.41064697354113811</v>
      </c>
      <c r="W2" s="36">
        <v>27500.14</v>
      </c>
      <c r="X2" s="36">
        <v>33168.381000000001</v>
      </c>
      <c r="Y2" s="92">
        <f t="shared" ref="Y2:Y33" si="5">W2/G2</f>
        <v>0.24918575570859006</v>
      </c>
    </row>
    <row r="3" spans="1:25" x14ac:dyDescent="0.2">
      <c r="A3" s="1" t="s">
        <v>7</v>
      </c>
      <c r="B3" s="1" t="s">
        <v>8</v>
      </c>
      <c r="C3" s="36" t="s">
        <v>505</v>
      </c>
      <c r="D3" s="36">
        <v>180301.2904</v>
      </c>
      <c r="E3" s="36">
        <v>178833.2904</v>
      </c>
      <c r="F3" s="36"/>
      <c r="G3" s="36">
        <v>39836</v>
      </c>
      <c r="H3" s="36">
        <v>40369.717000000004</v>
      </c>
      <c r="I3" s="36">
        <f t="shared" ref="I3:I66" si="6">E3/H3</f>
        <v>4.429887145357001</v>
      </c>
      <c r="J3" s="44">
        <v>1.3397856210463077E-2</v>
      </c>
      <c r="K3" s="36">
        <v>31737</v>
      </c>
      <c r="L3" s="36">
        <v>80.283000000000001</v>
      </c>
      <c r="M3" s="94">
        <f t="shared" si="0"/>
        <v>0.79669143488302041</v>
      </c>
      <c r="N3" s="36">
        <v>6091</v>
      </c>
      <c r="O3" s="36">
        <f t="shared" si="1"/>
        <v>0.15290189778090169</v>
      </c>
      <c r="P3" s="36">
        <v>8431</v>
      </c>
      <c r="Q3" s="36">
        <f t="shared" si="2"/>
        <v>0.21164273521437896</v>
      </c>
      <c r="R3" s="36">
        <v>1289</v>
      </c>
      <c r="S3" s="36">
        <f t="shared" si="3"/>
        <v>3.2357666432372728E-2</v>
      </c>
      <c r="T3" s="36">
        <v>17054</v>
      </c>
      <c r="U3" s="36">
        <v>18945.600000000002</v>
      </c>
      <c r="V3" s="36">
        <f t="shared" si="4"/>
        <v>0.42810523144894064</v>
      </c>
      <c r="W3" s="36">
        <v>11273.48040882633</v>
      </c>
      <c r="X3" s="36">
        <v>13494.148999999999</v>
      </c>
      <c r="Y3" s="92">
        <f t="shared" si="5"/>
        <v>0.2829972991471616</v>
      </c>
    </row>
    <row r="4" spans="1:25" x14ac:dyDescent="0.2">
      <c r="A4" s="1" t="s">
        <v>9</v>
      </c>
      <c r="B4" s="1" t="s">
        <v>10</v>
      </c>
      <c r="C4" s="36" t="s">
        <v>495</v>
      </c>
      <c r="D4" s="36">
        <v>120471.356</v>
      </c>
      <c r="E4" s="36">
        <v>117401.54</v>
      </c>
      <c r="F4" s="36"/>
      <c r="G4" s="36">
        <v>8571.9779999999992</v>
      </c>
      <c r="H4" s="36">
        <v>10315.565000000001</v>
      </c>
      <c r="I4" s="36">
        <f t="shared" si="6"/>
        <v>11.381009183694736</v>
      </c>
      <c r="J4" s="44">
        <v>0.20340544504430613</v>
      </c>
      <c r="K4" s="36">
        <v>7465.3680576171873</v>
      </c>
      <c r="L4" s="36">
        <v>88.408000000000001</v>
      </c>
      <c r="M4" s="94">
        <f t="shared" si="0"/>
        <v>0.8709037817895926</v>
      </c>
      <c r="N4" s="36">
        <v>1224.059</v>
      </c>
      <c r="O4" s="36">
        <f t="shared" si="1"/>
        <v>0.14279772999884041</v>
      </c>
      <c r="P4" s="36">
        <v>2197.5920000000001</v>
      </c>
      <c r="Q4" s="36">
        <f t="shared" si="2"/>
        <v>0.25636930006119946</v>
      </c>
      <c r="R4" s="36">
        <v>624.70600000000002</v>
      </c>
      <c r="S4" s="36">
        <f t="shared" si="3"/>
        <v>7.2877695206403942E-2</v>
      </c>
      <c r="T4" s="36">
        <v>3089.8100000000004</v>
      </c>
      <c r="U4" s="36">
        <v>4722.8</v>
      </c>
      <c r="V4" s="36">
        <f t="shared" si="4"/>
        <v>0.36045472818525676</v>
      </c>
      <c r="W4" s="36">
        <v>2415.5068601730072</v>
      </c>
      <c r="X4" s="36">
        <v>3792.5219999999999</v>
      </c>
      <c r="Y4" s="92">
        <f t="shared" si="5"/>
        <v>0.28179107087920752</v>
      </c>
    </row>
    <row r="5" spans="1:25" x14ac:dyDescent="0.2">
      <c r="A5" s="1" t="s">
        <v>11</v>
      </c>
      <c r="B5" s="1" t="s">
        <v>12</v>
      </c>
      <c r="C5" s="36" t="s">
        <v>495</v>
      </c>
      <c r="D5" s="36">
        <v>103645.19990000001</v>
      </c>
      <c r="E5" s="36">
        <v>103894.19990000001</v>
      </c>
      <c r="F5" s="36"/>
      <c r="G5" s="36">
        <v>11817.844000000001</v>
      </c>
      <c r="H5" s="36">
        <v>14404.651</v>
      </c>
      <c r="I5" s="36">
        <f t="shared" si="6"/>
        <v>7.2125454410523382</v>
      </c>
      <c r="J5" s="44">
        <v>0.2188899261151187</v>
      </c>
      <c r="K5" s="36">
        <v>8749.5439453125</v>
      </c>
      <c r="L5" s="36">
        <v>76.641000000000005</v>
      </c>
      <c r="M5" s="94">
        <f t="shared" si="0"/>
        <v>0.74036718925317502</v>
      </c>
      <c r="N5" s="36">
        <v>1553.0729999999999</v>
      </c>
      <c r="O5" s="36">
        <f t="shared" si="1"/>
        <v>0.13141762575305613</v>
      </c>
      <c r="P5" s="36">
        <v>4829.2910000000002</v>
      </c>
      <c r="Q5" s="36">
        <f t="shared" si="2"/>
        <v>0.40864399631607928</v>
      </c>
      <c r="R5" s="36">
        <v>1088.3579999999999</v>
      </c>
      <c r="S5" s="36">
        <f t="shared" si="3"/>
        <v>9.2094463254041928E-2</v>
      </c>
      <c r="T5" s="36">
        <v>1308.0920000000001</v>
      </c>
      <c r="U5" s="36">
        <v>3506.19</v>
      </c>
      <c r="V5" s="36">
        <f t="shared" si="4"/>
        <v>0.11068787166254691</v>
      </c>
      <c r="W5" s="36">
        <v>482.47887560000004</v>
      </c>
      <c r="X5" s="36">
        <v>1884.8969999999999</v>
      </c>
      <c r="Y5" s="92">
        <f t="shared" si="5"/>
        <v>4.0826302631850615E-2</v>
      </c>
    </row>
    <row r="6" spans="1:25" x14ac:dyDescent="0.2">
      <c r="A6" s="1" t="s">
        <v>15</v>
      </c>
      <c r="B6" s="1" t="s">
        <v>16</v>
      </c>
      <c r="C6" s="36" t="s">
        <v>506</v>
      </c>
      <c r="D6" s="36">
        <v>61784.005499999999</v>
      </c>
      <c r="E6" s="36">
        <v>61613.105499999998</v>
      </c>
      <c r="F6" s="36"/>
      <c r="G6" s="36">
        <v>13325.8</v>
      </c>
      <c r="H6" s="36">
        <v>14165.857</v>
      </c>
      <c r="I6" s="36">
        <f t="shared" si="6"/>
        <v>4.3494089697502947</v>
      </c>
      <c r="J6" s="44">
        <v>6.303989253928477E-2</v>
      </c>
      <c r="K6" s="36">
        <v>5483.0999511718746</v>
      </c>
      <c r="L6" s="36">
        <v>47.800000000000004</v>
      </c>
      <c r="M6" s="94">
        <f t="shared" si="0"/>
        <v>0.41146497404822785</v>
      </c>
      <c r="N6" s="36">
        <v>0</v>
      </c>
      <c r="O6" s="36">
        <f t="shared" si="1"/>
        <v>0</v>
      </c>
      <c r="P6" s="36" t="s">
        <v>480</v>
      </c>
      <c r="Q6" s="36" t="e">
        <f t="shared" si="2"/>
        <v>#VALUE!</v>
      </c>
      <c r="R6" s="36" t="s">
        <v>480</v>
      </c>
      <c r="S6" s="36" t="e">
        <f t="shared" si="3"/>
        <v>#VALUE!</v>
      </c>
      <c r="T6" s="36">
        <v>3327.1</v>
      </c>
      <c r="U6" s="36">
        <v>3330.7559999999999</v>
      </c>
      <c r="V6" s="36">
        <f t="shared" si="4"/>
        <v>0.24967356556454398</v>
      </c>
      <c r="W6" s="36">
        <v>1929.6169999999997</v>
      </c>
      <c r="X6" s="36">
        <v>2265.875</v>
      </c>
      <c r="Y6" s="92">
        <f t="shared" si="5"/>
        <v>0.144803088745141</v>
      </c>
    </row>
    <row r="7" spans="1:25" x14ac:dyDescent="0.2">
      <c r="A7" s="1" t="s">
        <v>17</v>
      </c>
      <c r="B7" s="1" t="s">
        <v>18</v>
      </c>
      <c r="C7" s="36" t="s">
        <v>505</v>
      </c>
      <c r="D7" s="36">
        <v>58334.508399999999</v>
      </c>
      <c r="E7" s="36">
        <v>49272.508399999999</v>
      </c>
      <c r="F7" s="36"/>
      <c r="G7" s="36">
        <v>8467</v>
      </c>
      <c r="H7" s="36">
        <v>9081.755000000001</v>
      </c>
      <c r="I7" s="36">
        <f t="shared" si="6"/>
        <v>5.4254390698714063</v>
      </c>
      <c r="J7" s="44">
        <v>7.2605999763788898E-2</v>
      </c>
      <c r="K7" s="36">
        <v>7285</v>
      </c>
      <c r="L7" s="36">
        <v>87.66</v>
      </c>
      <c r="M7" s="94">
        <f t="shared" si="0"/>
        <v>0.8603991968820125</v>
      </c>
      <c r="N7" s="36">
        <v>1755</v>
      </c>
      <c r="O7" s="36">
        <f t="shared" si="1"/>
        <v>0.20727530412188497</v>
      </c>
      <c r="P7" s="36">
        <v>2593</v>
      </c>
      <c r="Q7" s="36">
        <f t="shared" si="2"/>
        <v>0.30624778552025511</v>
      </c>
      <c r="R7" s="36">
        <v>654</v>
      </c>
      <c r="S7" s="36">
        <f t="shared" si="3"/>
        <v>7.7241053501830637E-2</v>
      </c>
      <c r="T7" s="36">
        <v>2515</v>
      </c>
      <c r="U7" s="36">
        <v>3697</v>
      </c>
      <c r="V7" s="36">
        <f t="shared" si="4"/>
        <v>0.29703554978150465</v>
      </c>
      <c r="W7" s="36">
        <v>3395.5353242424239</v>
      </c>
      <c r="X7" s="36">
        <v>2533.7220000000002</v>
      </c>
      <c r="Y7" s="92">
        <f t="shared" si="5"/>
        <v>0.40103169059199528</v>
      </c>
    </row>
    <row r="8" spans="1:25" x14ac:dyDescent="0.2">
      <c r="A8" s="1" t="s">
        <v>19</v>
      </c>
      <c r="B8" s="1" t="s">
        <v>20</v>
      </c>
      <c r="C8" s="36" t="s">
        <v>495</v>
      </c>
      <c r="D8" s="36">
        <v>53751.963400000001</v>
      </c>
      <c r="E8" s="36">
        <v>52287.719499999999</v>
      </c>
      <c r="F8" s="36"/>
      <c r="G8" s="36">
        <v>5964</v>
      </c>
      <c r="H8" s="36">
        <v>6610.5380000000005</v>
      </c>
      <c r="I8" s="36">
        <f t="shared" si="6"/>
        <v>7.9097525042591084</v>
      </c>
      <c r="J8" s="44">
        <v>0.10840677397719656</v>
      </c>
      <c r="K8" s="36">
        <v>4992</v>
      </c>
      <c r="L8" s="36">
        <v>77.832999999999998</v>
      </c>
      <c r="M8" s="94">
        <f t="shared" si="0"/>
        <v>0.83702213279678073</v>
      </c>
      <c r="N8" s="36">
        <v>1186</v>
      </c>
      <c r="O8" s="36">
        <f t="shared" si="1"/>
        <v>0.19885982562038901</v>
      </c>
      <c r="P8" s="36">
        <v>1634</v>
      </c>
      <c r="Q8" s="36">
        <f t="shared" si="2"/>
        <v>0.27397719651240776</v>
      </c>
      <c r="R8" s="36">
        <v>664</v>
      </c>
      <c r="S8" s="36">
        <f t="shared" si="3"/>
        <v>0.11133467471495641</v>
      </c>
      <c r="T8" s="36">
        <v>1823</v>
      </c>
      <c r="U8" s="36">
        <v>2438</v>
      </c>
      <c r="V8" s="36">
        <f t="shared" si="4"/>
        <v>0.3056673373574782</v>
      </c>
      <c r="W8" s="36">
        <v>1268.9562790151069</v>
      </c>
      <c r="X8" s="36">
        <v>1695.9180000000001</v>
      </c>
      <c r="Y8" s="92">
        <f t="shared" si="5"/>
        <v>0.21276932914404878</v>
      </c>
    </row>
    <row r="9" spans="1:25" x14ac:dyDescent="0.2">
      <c r="A9" s="1" t="s">
        <v>23</v>
      </c>
      <c r="B9" s="1" t="s">
        <v>24</v>
      </c>
      <c r="C9" s="36" t="s">
        <v>505</v>
      </c>
      <c r="D9" s="36">
        <v>30961.627899999999</v>
      </c>
      <c r="E9" s="36">
        <v>30069.100900000001</v>
      </c>
      <c r="F9" s="36"/>
      <c r="G9" s="36">
        <v>2264.8180000000002</v>
      </c>
      <c r="H9" s="36">
        <v>2957.73</v>
      </c>
      <c r="I9" s="36">
        <f t="shared" si="6"/>
        <v>10.166276468778422</v>
      </c>
      <c r="J9" s="44">
        <v>0.30594599654365151</v>
      </c>
      <c r="K9" s="36">
        <v>1706.5400173339845</v>
      </c>
      <c r="L9" s="36">
        <v>79.881</v>
      </c>
      <c r="M9" s="94">
        <f t="shared" si="0"/>
        <v>0.75349984737580866</v>
      </c>
      <c r="N9" s="36">
        <v>377.51799999999997</v>
      </c>
      <c r="O9" s="36">
        <f t="shared" si="1"/>
        <v>0.16668800760149377</v>
      </c>
      <c r="P9" s="36">
        <v>946.61699999999996</v>
      </c>
      <c r="Q9" s="36">
        <f t="shared" si="2"/>
        <v>0.41796603523991765</v>
      </c>
      <c r="R9" s="36">
        <v>210.53299999999999</v>
      </c>
      <c r="S9" s="36">
        <f t="shared" si="3"/>
        <v>9.2958021350942971E-2</v>
      </c>
      <c r="T9" s="36">
        <v>59.362000000000002</v>
      </c>
      <c r="U9" s="36">
        <v>778.80000000000007</v>
      </c>
      <c r="V9" s="36">
        <f t="shared" si="4"/>
        <v>2.6210494618110591E-2</v>
      </c>
      <c r="W9" s="36">
        <v>-89.498374022804001</v>
      </c>
      <c r="X9" s="36">
        <v>496.71600000000001</v>
      </c>
      <c r="Y9" s="92">
        <f t="shared" si="5"/>
        <v>-3.9516806217013457E-2</v>
      </c>
    </row>
    <row r="10" spans="1:25" x14ac:dyDescent="0.2">
      <c r="A10" s="1" t="s">
        <v>29</v>
      </c>
      <c r="B10" s="1" t="s">
        <v>30</v>
      </c>
      <c r="C10" s="36" t="s">
        <v>506</v>
      </c>
      <c r="D10" s="36">
        <v>29089.448</v>
      </c>
      <c r="E10" s="36">
        <v>37238.548000000003</v>
      </c>
      <c r="F10" s="36"/>
      <c r="G10" s="36">
        <v>3957.0110000000004</v>
      </c>
      <c r="H10" s="36">
        <v>4123.2660000000005</v>
      </c>
      <c r="I10" s="36">
        <f t="shared" si="6"/>
        <v>9.0313232277519813</v>
      </c>
      <c r="J10" s="44">
        <v>4.2015298921332267E-2</v>
      </c>
      <c r="K10" s="36">
        <v>2980.6710327148439</v>
      </c>
      <c r="L10" s="36" t="s">
        <v>480</v>
      </c>
      <c r="M10" s="94">
        <f t="shared" si="0"/>
        <v>0.75326326682307521</v>
      </c>
      <c r="N10" s="36">
        <v>0</v>
      </c>
      <c r="O10" s="36">
        <f t="shared" si="1"/>
        <v>0</v>
      </c>
      <c r="P10" s="36">
        <v>669.50599999999997</v>
      </c>
      <c r="Q10" s="36">
        <f t="shared" si="2"/>
        <v>0.16919487967053917</v>
      </c>
      <c r="R10" s="36">
        <v>295.101</v>
      </c>
      <c r="S10" s="36">
        <f t="shared" si="3"/>
        <v>7.4576744921861463E-2</v>
      </c>
      <c r="T10" s="36">
        <v>1336.268</v>
      </c>
      <c r="U10" s="36">
        <v>2025.325</v>
      </c>
      <c r="V10" s="36">
        <f t="shared" si="4"/>
        <v>0.33769630663144479</v>
      </c>
      <c r="W10" s="36">
        <v>93.840450000000004</v>
      </c>
      <c r="X10" s="36">
        <v>1334.0820000000001</v>
      </c>
      <c r="Y10" s="92">
        <f t="shared" si="5"/>
        <v>2.3714983354860525E-2</v>
      </c>
    </row>
    <row r="11" spans="1:25" x14ac:dyDescent="0.2">
      <c r="A11" s="1" t="s">
        <v>31</v>
      </c>
      <c r="B11" s="1" t="s">
        <v>32</v>
      </c>
      <c r="C11" s="36" t="s">
        <v>495</v>
      </c>
      <c r="D11" s="36">
        <v>28194.987400000002</v>
      </c>
      <c r="E11" s="36">
        <v>28484.287400000001</v>
      </c>
      <c r="F11" s="36"/>
      <c r="G11" s="36">
        <v>2240.6999999999998</v>
      </c>
      <c r="H11" s="36">
        <v>2807.2000000000003</v>
      </c>
      <c r="I11" s="36">
        <f t="shared" si="6"/>
        <v>10.146867839840409</v>
      </c>
      <c r="J11" s="44">
        <v>0.25282277859597468</v>
      </c>
      <c r="K11" s="36">
        <v>1953.5000061035157</v>
      </c>
      <c r="L11" s="36">
        <v>89.308000000000007</v>
      </c>
      <c r="M11" s="94">
        <f t="shared" si="0"/>
        <v>0.87182577145691786</v>
      </c>
      <c r="N11" s="36">
        <v>755.5</v>
      </c>
      <c r="O11" s="36">
        <f t="shared" si="1"/>
        <v>0.33717141964564645</v>
      </c>
      <c r="P11" s="36">
        <v>1087.3</v>
      </c>
      <c r="Q11" s="36">
        <f t="shared" si="2"/>
        <v>0.48525014504395947</v>
      </c>
      <c r="R11" s="36">
        <v>305.2</v>
      </c>
      <c r="S11" s="36">
        <f t="shared" si="3"/>
        <v>0.13620743517650735</v>
      </c>
      <c r="T11" s="36">
        <v>-131.1</v>
      </c>
      <c r="U11" s="36">
        <v>635.5</v>
      </c>
      <c r="V11" s="36">
        <f t="shared" si="4"/>
        <v>-5.8508501807470879E-2</v>
      </c>
      <c r="W11" s="36">
        <v>-301.367196788814</v>
      </c>
      <c r="X11" s="36">
        <v>429.976</v>
      </c>
      <c r="Y11" s="92">
        <f t="shared" si="5"/>
        <v>-0.13449689685759542</v>
      </c>
    </row>
    <row r="12" spans="1:25" x14ac:dyDescent="0.2">
      <c r="A12" s="1" t="s">
        <v>33</v>
      </c>
      <c r="B12" s="1" t="s">
        <v>34</v>
      </c>
      <c r="C12" s="36" t="s">
        <v>495</v>
      </c>
      <c r="D12" s="36">
        <v>27264.9643</v>
      </c>
      <c r="E12" s="36">
        <v>25456.8783</v>
      </c>
      <c r="F12" s="36"/>
      <c r="G12" s="36">
        <v>2428.232</v>
      </c>
      <c r="H12" s="36">
        <v>3119.846</v>
      </c>
      <c r="I12" s="36">
        <f t="shared" si="6"/>
        <v>8.1596586177651069</v>
      </c>
      <c r="J12" s="44">
        <v>0.28482204336323713</v>
      </c>
      <c r="K12" s="36">
        <v>1715.5240270996094</v>
      </c>
      <c r="L12" s="36">
        <v>73.817999999999998</v>
      </c>
      <c r="M12" s="94">
        <f t="shared" si="0"/>
        <v>0.70649098895806062</v>
      </c>
      <c r="N12" s="36">
        <v>910.58399999999995</v>
      </c>
      <c r="O12" s="36">
        <f t="shared" si="1"/>
        <v>0.37499876453320768</v>
      </c>
      <c r="P12" s="36">
        <v>683.36699999999996</v>
      </c>
      <c r="Q12" s="36">
        <f t="shared" si="2"/>
        <v>0.28142574515120466</v>
      </c>
      <c r="R12" s="36">
        <v>222.90899999999999</v>
      </c>
      <c r="S12" s="36">
        <f t="shared" si="3"/>
        <v>9.1798889068260364E-2</v>
      </c>
      <c r="T12" s="36">
        <v>-107.83699999999999</v>
      </c>
      <c r="U12" s="36">
        <v>502.2</v>
      </c>
      <c r="V12" s="36">
        <f t="shared" si="4"/>
        <v>-4.4409677493748537E-2</v>
      </c>
      <c r="W12" s="36">
        <v>-334.86065359999998</v>
      </c>
      <c r="X12" s="36">
        <v>272.8</v>
      </c>
      <c r="Y12" s="92">
        <f t="shared" si="5"/>
        <v>-0.137903072523548</v>
      </c>
    </row>
    <row r="13" spans="1:25" x14ac:dyDescent="0.2">
      <c r="A13" s="1" t="s">
        <v>35</v>
      </c>
      <c r="B13" s="1" t="s">
        <v>36</v>
      </c>
      <c r="C13" s="36" t="s">
        <v>506</v>
      </c>
      <c r="D13" s="36">
        <v>23584.501899999999</v>
      </c>
      <c r="E13" s="36">
        <v>23118.2019</v>
      </c>
      <c r="F13" s="36"/>
      <c r="G13" s="36">
        <v>3426.9</v>
      </c>
      <c r="H13" s="36">
        <v>3662.9560000000001</v>
      </c>
      <c r="I13" s="36">
        <f t="shared" si="6"/>
        <v>6.3113512420023605</v>
      </c>
      <c r="J13" s="44">
        <v>6.8883247249700963E-2</v>
      </c>
      <c r="K13" s="36">
        <v>2375.6999633789064</v>
      </c>
      <c r="L13" s="36">
        <v>67.775000000000006</v>
      </c>
      <c r="M13" s="94">
        <f t="shared" si="0"/>
        <v>0.69325044891269261</v>
      </c>
      <c r="N13" s="36">
        <v>0</v>
      </c>
      <c r="O13" s="36">
        <f t="shared" si="1"/>
        <v>0</v>
      </c>
      <c r="P13" s="36" t="s">
        <v>480</v>
      </c>
      <c r="Q13" s="36" t="e">
        <f t="shared" si="2"/>
        <v>#VALUE!</v>
      </c>
      <c r="R13" s="36" t="s">
        <v>480</v>
      </c>
      <c r="S13" s="36" t="e">
        <f t="shared" si="3"/>
        <v>#VALUE!</v>
      </c>
      <c r="T13" s="36">
        <v>1437.8257196663981</v>
      </c>
      <c r="U13" s="36">
        <v>1504.6000000000001</v>
      </c>
      <c r="V13" s="36">
        <f t="shared" si="4"/>
        <v>0.41957037546073656</v>
      </c>
      <c r="W13" s="36">
        <v>914.04665999999997</v>
      </c>
      <c r="X13" s="36">
        <v>1049.039</v>
      </c>
      <c r="Y13" s="92">
        <f t="shared" si="5"/>
        <v>0.26672697189880062</v>
      </c>
    </row>
    <row r="14" spans="1:25" x14ac:dyDescent="0.2">
      <c r="A14" s="1" t="s">
        <v>37</v>
      </c>
      <c r="B14" s="1" t="s">
        <v>38</v>
      </c>
      <c r="C14" s="36" t="s">
        <v>505</v>
      </c>
      <c r="D14" s="36">
        <v>20800.9689</v>
      </c>
      <c r="E14" s="36">
        <v>19172.8344</v>
      </c>
      <c r="F14" s="36"/>
      <c r="G14" s="36">
        <v>3156.587</v>
      </c>
      <c r="H14" s="36">
        <v>3599.1820000000002</v>
      </c>
      <c r="I14" s="36">
        <f t="shared" si="6"/>
        <v>5.3269977455988604</v>
      </c>
      <c r="J14" s="44">
        <v>0.14021314793477901</v>
      </c>
      <c r="K14" s="36">
        <v>2690.5739580078125</v>
      </c>
      <c r="L14" s="36">
        <v>86.289000000000001</v>
      </c>
      <c r="M14" s="94">
        <f t="shared" si="0"/>
        <v>0.85236806652495634</v>
      </c>
      <c r="N14" s="36">
        <v>578.32999999999993</v>
      </c>
      <c r="O14" s="36">
        <f t="shared" si="1"/>
        <v>0.18321370518221103</v>
      </c>
      <c r="P14" s="36">
        <v>1198.576</v>
      </c>
      <c r="Q14" s="36">
        <f t="shared" si="2"/>
        <v>0.37970630937781852</v>
      </c>
      <c r="R14" s="36">
        <v>239.316</v>
      </c>
      <c r="S14" s="36">
        <f t="shared" si="3"/>
        <v>7.5814796170674215E-2</v>
      </c>
      <c r="T14" s="36">
        <v>602.68600000000004</v>
      </c>
      <c r="U14" s="36">
        <v>1001.4</v>
      </c>
      <c r="V14" s="36">
        <f t="shared" si="4"/>
        <v>0.19092963381018804</v>
      </c>
      <c r="W14" s="36">
        <v>417.021865536652</v>
      </c>
      <c r="X14" s="36">
        <v>679.60699999999997</v>
      </c>
      <c r="Y14" s="92">
        <f t="shared" si="5"/>
        <v>0.13211163371598883</v>
      </c>
    </row>
    <row r="15" spans="1:25" x14ac:dyDescent="0.2">
      <c r="A15" s="1" t="s">
        <v>39</v>
      </c>
      <c r="B15" s="1" t="s">
        <v>40</v>
      </c>
      <c r="C15" s="36" t="s">
        <v>506</v>
      </c>
      <c r="D15" s="36">
        <v>20486.037899999999</v>
      </c>
      <c r="E15" s="36">
        <v>38637.037900000003</v>
      </c>
      <c r="F15" s="36"/>
      <c r="G15" s="36">
        <v>10956</v>
      </c>
      <c r="H15" s="36">
        <v>8994.0679999999993</v>
      </c>
      <c r="I15" s="36">
        <f t="shared" si="6"/>
        <v>4.2958356441156553</v>
      </c>
      <c r="J15" s="44">
        <v>-0.17907374954362909</v>
      </c>
      <c r="K15" s="36">
        <v>5450</v>
      </c>
      <c r="L15" s="36">
        <v>65</v>
      </c>
      <c r="M15" s="94">
        <f t="shared" si="0"/>
        <v>0.49744432274552758</v>
      </c>
      <c r="N15" s="36">
        <v>0</v>
      </c>
      <c r="O15" s="36">
        <f t="shared" si="1"/>
        <v>0</v>
      </c>
      <c r="P15" s="36" t="s">
        <v>480</v>
      </c>
      <c r="Q15" s="36" t="e">
        <f t="shared" si="2"/>
        <v>#VALUE!</v>
      </c>
      <c r="R15" s="36" t="s">
        <v>480</v>
      </c>
      <c r="S15" s="36" t="e">
        <f t="shared" si="3"/>
        <v>#VALUE!</v>
      </c>
      <c r="T15" s="36">
        <v>3054</v>
      </c>
      <c r="U15" s="36">
        <v>3430.4389999999999</v>
      </c>
      <c r="V15" s="36">
        <f t="shared" si="4"/>
        <v>0.2787513691128149</v>
      </c>
      <c r="W15" s="36">
        <v>958.78000000000009</v>
      </c>
      <c r="X15" s="36">
        <v>1452.2719999999999</v>
      </c>
      <c r="Y15" s="92">
        <f t="shared" si="5"/>
        <v>8.7511865644395767E-2</v>
      </c>
    </row>
    <row r="16" spans="1:25" x14ac:dyDescent="0.2">
      <c r="A16" s="1" t="s">
        <v>43</v>
      </c>
      <c r="B16" s="1" t="s">
        <v>44</v>
      </c>
      <c r="C16" s="36" t="s">
        <v>505</v>
      </c>
      <c r="D16" s="36">
        <v>18309.393199999999</v>
      </c>
      <c r="E16" s="36">
        <v>17761.393199999999</v>
      </c>
      <c r="F16" s="36"/>
      <c r="G16" s="36">
        <v>4148</v>
      </c>
      <c r="H16" s="36">
        <v>4285.5</v>
      </c>
      <c r="I16" s="36">
        <f t="shared" si="6"/>
        <v>4.1445323066153303</v>
      </c>
      <c r="J16" s="44">
        <v>3.3148505303760789E-2</v>
      </c>
      <c r="K16" s="36">
        <v>3546</v>
      </c>
      <c r="L16" s="36">
        <v>86.100000000000009</v>
      </c>
      <c r="M16" s="94">
        <f t="shared" si="0"/>
        <v>0.85486981677917073</v>
      </c>
      <c r="N16" s="36">
        <v>642</v>
      </c>
      <c r="O16" s="36">
        <f t="shared" si="1"/>
        <v>0.15477338476374156</v>
      </c>
      <c r="P16" s="36">
        <v>1061</v>
      </c>
      <c r="Q16" s="36">
        <f t="shared" si="2"/>
        <v>0.25578592092574737</v>
      </c>
      <c r="R16" s="36">
        <v>406</v>
      </c>
      <c r="S16" s="36">
        <f t="shared" si="3"/>
        <v>9.7878495660559311E-2</v>
      </c>
      <c r="T16" s="36">
        <v>1440</v>
      </c>
      <c r="U16" s="36" t="s">
        <v>480</v>
      </c>
      <c r="V16" s="36">
        <f t="shared" si="4"/>
        <v>0.34715525554484089</v>
      </c>
      <c r="W16" s="36">
        <v>788.04512350394702</v>
      </c>
      <c r="X16" s="36">
        <v>1167.5</v>
      </c>
      <c r="Y16" s="92">
        <f t="shared" si="5"/>
        <v>0.18998194877144337</v>
      </c>
    </row>
    <row r="17" spans="1:25" x14ac:dyDescent="0.2">
      <c r="A17" s="1" t="s">
        <v>45</v>
      </c>
      <c r="B17" s="1" t="s">
        <v>46</v>
      </c>
      <c r="C17" s="36" t="s">
        <v>506</v>
      </c>
      <c r="D17" s="36">
        <v>17794.284</v>
      </c>
      <c r="E17" s="36">
        <v>21757.589</v>
      </c>
      <c r="F17" s="36"/>
      <c r="G17" s="36">
        <v>3721.3010000000004</v>
      </c>
      <c r="H17" s="36">
        <v>4117.8980000000001</v>
      </c>
      <c r="I17" s="36">
        <f t="shared" si="6"/>
        <v>5.2836638984258473</v>
      </c>
      <c r="J17" s="44">
        <v>0.10657482423485765</v>
      </c>
      <c r="K17" s="36">
        <v>2202.0189868164061</v>
      </c>
      <c r="L17" s="36">
        <v>59.4</v>
      </c>
      <c r="M17" s="94">
        <f t="shared" si="0"/>
        <v>0.59173364014800356</v>
      </c>
      <c r="N17" s="36">
        <v>0</v>
      </c>
      <c r="O17" s="36">
        <f t="shared" si="1"/>
        <v>0</v>
      </c>
      <c r="P17" s="36" t="s">
        <v>480</v>
      </c>
      <c r="Q17" s="36" t="e">
        <f t="shared" si="2"/>
        <v>#VALUE!</v>
      </c>
      <c r="R17" s="36" t="s">
        <v>480</v>
      </c>
      <c r="S17" s="36" t="e">
        <f t="shared" si="3"/>
        <v>#VALUE!</v>
      </c>
      <c r="T17" s="36">
        <v>1229.5550000000001</v>
      </c>
      <c r="U17" s="36">
        <v>1462.3140000000001</v>
      </c>
      <c r="V17" s="36">
        <f t="shared" si="4"/>
        <v>0.33040998296026036</v>
      </c>
      <c r="W17" s="36">
        <v>446.25907235741499</v>
      </c>
      <c r="X17" s="36">
        <v>872.38800000000003</v>
      </c>
      <c r="Y17" s="92">
        <f t="shared" si="5"/>
        <v>0.11992017639997811</v>
      </c>
    </row>
    <row r="18" spans="1:25" x14ac:dyDescent="0.2">
      <c r="A18" s="1" t="s">
        <v>49</v>
      </c>
      <c r="B18" s="1" t="s">
        <v>50</v>
      </c>
      <c r="C18" s="36" t="s">
        <v>505</v>
      </c>
      <c r="D18" s="36">
        <v>17063.220099999999</v>
      </c>
      <c r="E18" s="36">
        <v>12991.4501</v>
      </c>
      <c r="F18" s="36"/>
      <c r="G18" s="36">
        <v>1896.9269999999999</v>
      </c>
      <c r="H18" s="36">
        <v>1960.394</v>
      </c>
      <c r="I18" s="36">
        <f t="shared" si="6"/>
        <v>6.62695871340149</v>
      </c>
      <c r="J18" s="44">
        <v>3.3457797796119682E-2</v>
      </c>
      <c r="K18" s="36">
        <v>1698.6110100097656</v>
      </c>
      <c r="L18" s="36">
        <v>89.072000000000003</v>
      </c>
      <c r="M18" s="94">
        <f t="shared" si="0"/>
        <v>0.89545407388358411</v>
      </c>
      <c r="N18" s="36">
        <v>192.386</v>
      </c>
      <c r="O18" s="36">
        <f t="shared" si="1"/>
        <v>0.1014198226921753</v>
      </c>
      <c r="P18" s="36">
        <v>433.42700000000002</v>
      </c>
      <c r="Q18" s="36">
        <f t="shared" si="2"/>
        <v>0.22848902461718351</v>
      </c>
      <c r="R18" s="36">
        <v>91.965000000000003</v>
      </c>
      <c r="S18" s="36">
        <f t="shared" si="3"/>
        <v>4.8481043287380066E-2</v>
      </c>
      <c r="T18" s="36">
        <v>949.65100000000007</v>
      </c>
      <c r="U18" s="36">
        <v>1030.3389999999999</v>
      </c>
      <c r="V18" s="36">
        <f t="shared" si="4"/>
        <v>0.50062601249283711</v>
      </c>
      <c r="W18" s="36">
        <v>822.62414000000001</v>
      </c>
      <c r="X18" s="36">
        <v>920.476</v>
      </c>
      <c r="Y18" s="92">
        <f t="shared" si="5"/>
        <v>0.43366146404157885</v>
      </c>
    </row>
    <row r="19" spans="1:25" x14ac:dyDescent="0.2">
      <c r="A19" s="1" t="s">
        <v>51</v>
      </c>
      <c r="B19" s="1" t="s">
        <v>52</v>
      </c>
      <c r="C19" s="36" t="s">
        <v>495</v>
      </c>
      <c r="D19" s="36">
        <v>16357.567800000001</v>
      </c>
      <c r="E19" s="36">
        <v>15390.5118</v>
      </c>
      <c r="F19" s="36"/>
      <c r="G19" s="36">
        <v>947.42399999999998</v>
      </c>
      <c r="H19" s="36">
        <v>1254.6490000000001</v>
      </c>
      <c r="I19" s="36">
        <f t="shared" si="6"/>
        <v>12.266786806509231</v>
      </c>
      <c r="J19" s="44">
        <v>0.32427403147904221</v>
      </c>
      <c r="K19" s="36">
        <v>769.6390129394531</v>
      </c>
      <c r="L19" s="36">
        <v>85.930999999999997</v>
      </c>
      <c r="M19" s="94">
        <f t="shared" si="0"/>
        <v>0.81234907806795387</v>
      </c>
      <c r="N19" s="36">
        <v>415.77599999999995</v>
      </c>
      <c r="O19" s="36">
        <f t="shared" si="1"/>
        <v>0.43884892086330929</v>
      </c>
      <c r="P19" s="36">
        <v>187.99</v>
      </c>
      <c r="Q19" s="36">
        <f t="shared" si="2"/>
        <v>0.19842224811699938</v>
      </c>
      <c r="R19" s="36">
        <v>151.24199999999999</v>
      </c>
      <c r="S19" s="36">
        <f t="shared" si="3"/>
        <v>0.15963496808187252</v>
      </c>
      <c r="T19" s="36">
        <v>43.517999999999994</v>
      </c>
      <c r="U19" s="36">
        <v>323.28500000000003</v>
      </c>
      <c r="V19" s="36">
        <f t="shared" si="4"/>
        <v>4.5932971932313299E-2</v>
      </c>
      <c r="W19" s="36">
        <v>-301.38798999999995</v>
      </c>
      <c r="X19" s="36">
        <v>205.11199999999999</v>
      </c>
      <c r="Y19" s="92">
        <f t="shared" si="5"/>
        <v>-0.31811310458675307</v>
      </c>
    </row>
    <row r="20" spans="1:25" x14ac:dyDescent="0.2">
      <c r="A20" s="1" t="s">
        <v>53</v>
      </c>
      <c r="B20" s="1" t="s">
        <v>54</v>
      </c>
      <c r="C20" s="36" t="s">
        <v>506</v>
      </c>
      <c r="D20" s="36">
        <v>16949.372200000002</v>
      </c>
      <c r="E20" s="36">
        <v>20360.7772</v>
      </c>
      <c r="F20" s="36"/>
      <c r="G20" s="36">
        <v>4283.41</v>
      </c>
      <c r="H20" s="36">
        <v>4236.25</v>
      </c>
      <c r="I20" s="36">
        <f t="shared" si="6"/>
        <v>4.8063209678371202</v>
      </c>
      <c r="J20" s="44">
        <v>-1.1009919666807533E-2</v>
      </c>
      <c r="K20" s="36">
        <v>1488.7579999999998</v>
      </c>
      <c r="L20" s="36">
        <v>32.700000000000003</v>
      </c>
      <c r="M20" s="94">
        <f t="shared" si="0"/>
        <v>0.34756374010426272</v>
      </c>
      <c r="N20" s="36">
        <v>0</v>
      </c>
      <c r="O20" s="36">
        <f t="shared" si="1"/>
        <v>0</v>
      </c>
      <c r="P20" s="36" t="s">
        <v>480</v>
      </c>
      <c r="Q20" s="36" t="e">
        <f t="shared" si="2"/>
        <v>#VALUE!</v>
      </c>
      <c r="R20" s="36" t="s">
        <v>480</v>
      </c>
      <c r="S20" s="36" t="e">
        <f t="shared" si="3"/>
        <v>#VALUE!</v>
      </c>
      <c r="T20" s="36">
        <v>1222.1279999999999</v>
      </c>
      <c r="U20" s="36">
        <v>1425.299</v>
      </c>
      <c r="V20" s="36">
        <f t="shared" si="4"/>
        <v>0.28531660522807761</v>
      </c>
      <c r="W20" s="36">
        <v>562.78363790922901</v>
      </c>
      <c r="X20" s="36">
        <v>866.24</v>
      </c>
      <c r="Y20" s="92">
        <f t="shared" si="5"/>
        <v>0.13138682449479014</v>
      </c>
    </row>
    <row r="21" spans="1:25" x14ac:dyDescent="0.2">
      <c r="A21" s="1" t="s">
        <v>55</v>
      </c>
      <c r="B21" s="1" t="s">
        <v>56</v>
      </c>
      <c r="C21" s="36" t="s">
        <v>495</v>
      </c>
      <c r="D21" s="36">
        <v>14142.858</v>
      </c>
      <c r="E21" s="36">
        <v>14085.412700000001</v>
      </c>
      <c r="F21" s="36"/>
      <c r="G21" s="36">
        <v>2794.5149999999999</v>
      </c>
      <c r="H21" s="36">
        <v>3253.5360000000001</v>
      </c>
      <c r="I21" s="36">
        <f t="shared" si="6"/>
        <v>4.3292629004258751</v>
      </c>
      <c r="J21" s="44">
        <v>0.16425784080600758</v>
      </c>
      <c r="K21" s="36">
        <v>2459.358009765625</v>
      </c>
      <c r="L21" s="36">
        <v>66.7</v>
      </c>
      <c r="M21" s="94">
        <f t="shared" si="0"/>
        <v>0.88006613303762016</v>
      </c>
      <c r="N21" s="36">
        <v>341.4</v>
      </c>
      <c r="O21" s="36">
        <f t="shared" si="1"/>
        <v>0.12216788959801611</v>
      </c>
      <c r="P21" s="36">
        <v>180.9</v>
      </c>
      <c r="Q21" s="36">
        <f t="shared" si="2"/>
        <v>6.4733952045345974E-2</v>
      </c>
      <c r="R21" s="36">
        <v>193.1</v>
      </c>
      <c r="S21" s="36">
        <f t="shared" si="3"/>
        <v>6.9099646987044266E-2</v>
      </c>
      <c r="T21" s="36">
        <v>707.22400000000005</v>
      </c>
      <c r="U21" s="36">
        <v>838.06700000000001</v>
      </c>
      <c r="V21" s="36">
        <f t="shared" si="4"/>
        <v>0.25307575733177318</v>
      </c>
      <c r="W21" s="36">
        <v>288.48589500000003</v>
      </c>
      <c r="X21" s="36">
        <v>622.91700000000003</v>
      </c>
      <c r="Y21" s="92">
        <f t="shared" si="5"/>
        <v>0.10323290266826267</v>
      </c>
    </row>
    <row r="22" spans="1:25" x14ac:dyDescent="0.2">
      <c r="A22" s="1" t="s">
        <v>57</v>
      </c>
      <c r="B22" s="1" t="s">
        <v>58</v>
      </c>
      <c r="C22" s="36" t="s">
        <v>495</v>
      </c>
      <c r="D22" s="36">
        <v>13669.9229</v>
      </c>
      <c r="E22" s="36">
        <v>12778.339900000001</v>
      </c>
      <c r="F22" s="36"/>
      <c r="G22" s="36">
        <v>1448.318</v>
      </c>
      <c r="H22" s="36">
        <v>1866.8810000000001</v>
      </c>
      <c r="I22" s="36">
        <f t="shared" si="6"/>
        <v>6.8447533077898379</v>
      </c>
      <c r="J22" s="44">
        <v>0.28899937720859659</v>
      </c>
      <c r="K22" s="36">
        <v>1148.2299877929688</v>
      </c>
      <c r="L22" s="36">
        <v>83.668000000000006</v>
      </c>
      <c r="M22" s="94">
        <f t="shared" si="0"/>
        <v>0.79280240098719257</v>
      </c>
      <c r="N22" s="36">
        <v>301.11399999999998</v>
      </c>
      <c r="O22" s="36">
        <f t="shared" si="1"/>
        <v>0.20790599854451852</v>
      </c>
      <c r="P22" s="36">
        <v>808.41700000000003</v>
      </c>
      <c r="Q22" s="36">
        <f t="shared" si="2"/>
        <v>0.55817645019947282</v>
      </c>
      <c r="R22" s="36">
        <v>159.143</v>
      </c>
      <c r="S22" s="36">
        <f t="shared" si="3"/>
        <v>0.10988125535966549</v>
      </c>
      <c r="T22" s="36">
        <v>-257.30799999999999</v>
      </c>
      <c r="U22" s="36">
        <v>294.62</v>
      </c>
      <c r="V22" s="36">
        <f t="shared" si="4"/>
        <v>-0.17765987856258086</v>
      </c>
      <c r="W22" s="36">
        <v>-319.97310999999996</v>
      </c>
      <c r="X22" s="36">
        <v>199.589</v>
      </c>
      <c r="Y22" s="92">
        <f t="shared" si="5"/>
        <v>-0.22092738611271831</v>
      </c>
    </row>
    <row r="23" spans="1:25" x14ac:dyDescent="0.2">
      <c r="A23" s="1" t="s">
        <v>59</v>
      </c>
      <c r="B23" s="1" t="s">
        <v>60</v>
      </c>
      <c r="C23" s="36" t="s">
        <v>505</v>
      </c>
      <c r="D23" s="36">
        <v>13796.5016</v>
      </c>
      <c r="E23" s="36">
        <v>12362.801600000001</v>
      </c>
      <c r="F23" s="36"/>
      <c r="G23" s="36">
        <v>1631.1849999999999</v>
      </c>
      <c r="H23" s="36">
        <v>1909.7080000000001</v>
      </c>
      <c r="I23" s="36">
        <f t="shared" si="6"/>
        <v>6.4736606852984853</v>
      </c>
      <c r="J23" s="44">
        <v>0.17074887275201789</v>
      </c>
      <c r="K23" s="36">
        <v>1221.8169738769532</v>
      </c>
      <c r="L23" s="36">
        <v>75.704999999999998</v>
      </c>
      <c r="M23" s="94">
        <f t="shared" si="0"/>
        <v>0.74903642068615961</v>
      </c>
      <c r="N23" s="36">
        <v>210.614</v>
      </c>
      <c r="O23" s="36">
        <f t="shared" si="1"/>
        <v>0.12911717555029012</v>
      </c>
      <c r="P23" s="36">
        <v>701.02599999999995</v>
      </c>
      <c r="Q23" s="36">
        <f t="shared" si="2"/>
        <v>0.42976486419382226</v>
      </c>
      <c r="R23" s="36">
        <v>87.861999999999995</v>
      </c>
      <c r="S23" s="36">
        <f t="shared" si="3"/>
        <v>5.386390875345224E-2</v>
      </c>
      <c r="T23" s="36">
        <v>213.77799999999999</v>
      </c>
      <c r="U23" s="36">
        <v>476.64300000000003</v>
      </c>
      <c r="V23" s="36">
        <f t="shared" si="4"/>
        <v>0.1310568696990225</v>
      </c>
      <c r="W23" s="36">
        <v>136.69200000000001</v>
      </c>
      <c r="X23" s="36">
        <v>317.08300000000003</v>
      </c>
      <c r="Y23" s="92">
        <f t="shared" si="5"/>
        <v>8.3799201194223835E-2</v>
      </c>
    </row>
    <row r="24" spans="1:25" x14ac:dyDescent="0.2">
      <c r="A24" s="1" t="s">
        <v>61</v>
      </c>
      <c r="B24" s="1" t="s">
        <v>62</v>
      </c>
      <c r="C24" s="36" t="s">
        <v>495</v>
      </c>
      <c r="D24" s="36">
        <v>13766.6196</v>
      </c>
      <c r="E24" s="36">
        <v>14433.059600000001</v>
      </c>
      <c r="F24" s="36"/>
      <c r="G24" s="36">
        <v>2908.3389999999999</v>
      </c>
      <c r="H24" s="36">
        <v>2991.1260000000002</v>
      </c>
      <c r="I24" s="36">
        <f t="shared" si="6"/>
        <v>4.8252930836079786</v>
      </c>
      <c r="J24" s="44">
        <v>2.8465388663426294E-2</v>
      </c>
      <c r="K24" s="36">
        <v>2463.42801171875</v>
      </c>
      <c r="L24" s="36">
        <v>86.769000000000005</v>
      </c>
      <c r="M24" s="94">
        <f t="shared" si="0"/>
        <v>0.84702230782544607</v>
      </c>
      <c r="N24" s="36">
        <v>415.80099999999999</v>
      </c>
      <c r="O24" s="36">
        <f t="shared" si="1"/>
        <v>0.14296854665154235</v>
      </c>
      <c r="P24" s="36">
        <v>1006.112</v>
      </c>
      <c r="Q24" s="36">
        <f t="shared" si="2"/>
        <v>0.34594041478658438</v>
      </c>
      <c r="R24" s="36">
        <v>302.565</v>
      </c>
      <c r="S24" s="36">
        <f t="shared" si="3"/>
        <v>0.104033608186666</v>
      </c>
      <c r="T24" s="36">
        <v>891.87300000000005</v>
      </c>
      <c r="U24" s="36">
        <v>1100.25</v>
      </c>
      <c r="V24" s="36">
        <f t="shared" si="4"/>
        <v>0.30666060593348987</v>
      </c>
      <c r="W24" s="36">
        <v>590.64465502973098</v>
      </c>
      <c r="X24" s="36">
        <v>750.726</v>
      </c>
      <c r="Y24" s="92">
        <f t="shared" si="5"/>
        <v>0.2030865917039695</v>
      </c>
    </row>
    <row r="25" spans="1:25" x14ac:dyDescent="0.2">
      <c r="A25" s="1" t="s">
        <v>63</v>
      </c>
      <c r="B25" s="1" t="s">
        <v>64</v>
      </c>
      <c r="C25" s="36" t="s">
        <v>495</v>
      </c>
      <c r="D25" s="36">
        <v>13366.986000000001</v>
      </c>
      <c r="E25" s="36">
        <v>13254.6572</v>
      </c>
      <c r="F25" s="36"/>
      <c r="G25" s="36">
        <v>3022.62</v>
      </c>
      <c r="H25" s="36">
        <v>3239.1</v>
      </c>
      <c r="I25" s="36">
        <f t="shared" si="6"/>
        <v>4.0920802692105829</v>
      </c>
      <c r="J25" s="44">
        <v>7.1619985310756862E-2</v>
      </c>
      <c r="K25" s="36">
        <v>2310.4400556640626</v>
      </c>
      <c r="L25" s="36">
        <v>79.45</v>
      </c>
      <c r="M25" s="94">
        <f t="shared" si="0"/>
        <v>0.76438323562474364</v>
      </c>
      <c r="N25" s="36">
        <v>908.84100000000001</v>
      </c>
      <c r="O25" s="36">
        <f t="shared" si="1"/>
        <v>0.30067987375191063</v>
      </c>
      <c r="P25" s="36">
        <v>549.24800000000005</v>
      </c>
      <c r="Q25" s="36">
        <f t="shared" si="2"/>
        <v>0.18171255400943553</v>
      </c>
      <c r="R25" s="36">
        <v>196.84399999999999</v>
      </c>
      <c r="S25" s="36">
        <f t="shared" si="3"/>
        <v>6.5123634462817021E-2</v>
      </c>
      <c r="T25" s="36">
        <v>650.30199999999991</v>
      </c>
      <c r="U25" s="36">
        <v>778</v>
      </c>
      <c r="V25" s="36">
        <f t="shared" si="4"/>
        <v>0.21514513898538351</v>
      </c>
      <c r="W25" s="36">
        <v>367.32709702556298</v>
      </c>
      <c r="X25" s="36">
        <v>608.80000000000007</v>
      </c>
      <c r="Y25" s="92">
        <f t="shared" si="5"/>
        <v>0.12152605918890333</v>
      </c>
    </row>
    <row r="26" spans="1:25" x14ac:dyDescent="0.2">
      <c r="A26" s="1" t="s">
        <v>65</v>
      </c>
      <c r="B26" s="1" t="s">
        <v>66</v>
      </c>
      <c r="C26" s="36" t="s">
        <v>506</v>
      </c>
      <c r="D26" s="36">
        <v>13553.7274</v>
      </c>
      <c r="E26" s="36">
        <v>14343.2274</v>
      </c>
      <c r="F26" s="36"/>
      <c r="G26" s="36">
        <v>4329.9000000000005</v>
      </c>
      <c r="H26" s="36">
        <v>4491.5709999999999</v>
      </c>
      <c r="I26" s="36">
        <f t="shared" si="6"/>
        <v>3.1933653948696348</v>
      </c>
      <c r="J26" s="44">
        <v>3.7338275710755209E-2</v>
      </c>
      <c r="K26" s="36">
        <v>1160.2999847412111</v>
      </c>
      <c r="L26" s="36">
        <v>21.3</v>
      </c>
      <c r="M26" s="94">
        <f t="shared" si="0"/>
        <v>0.26797385268509921</v>
      </c>
      <c r="N26" s="36">
        <v>0</v>
      </c>
      <c r="O26" s="36">
        <f t="shared" si="1"/>
        <v>0</v>
      </c>
      <c r="P26" s="36" t="s">
        <v>480</v>
      </c>
      <c r="Q26" s="36" t="e">
        <f t="shared" si="2"/>
        <v>#VALUE!</v>
      </c>
      <c r="R26" s="36" t="s">
        <v>480</v>
      </c>
      <c r="S26" s="36" t="e">
        <f t="shared" si="3"/>
        <v>#VALUE!</v>
      </c>
      <c r="T26" s="36">
        <v>810.10000000000014</v>
      </c>
      <c r="U26" s="36">
        <v>903</v>
      </c>
      <c r="V26" s="36">
        <f t="shared" si="4"/>
        <v>0.1870943901706737</v>
      </c>
      <c r="W26" s="36">
        <v>445.40826848170406</v>
      </c>
      <c r="X26" s="36">
        <v>557.30000000000007</v>
      </c>
      <c r="Y26" s="92">
        <f t="shared" si="5"/>
        <v>0.102868026624565</v>
      </c>
    </row>
    <row r="27" spans="1:25" x14ac:dyDescent="0.2">
      <c r="A27" s="1" t="s">
        <v>67</v>
      </c>
      <c r="B27" s="1" t="s">
        <v>68</v>
      </c>
      <c r="C27" s="36" t="s">
        <v>495</v>
      </c>
      <c r="D27" s="36">
        <v>12978.531999999999</v>
      </c>
      <c r="E27" s="36">
        <v>12773.614</v>
      </c>
      <c r="F27" s="36"/>
      <c r="G27" s="36">
        <v>2069.8940000000002</v>
      </c>
      <c r="H27" s="36">
        <v>2201.5</v>
      </c>
      <c r="I27" s="36">
        <f t="shared" si="6"/>
        <v>5.8022321144674081</v>
      </c>
      <c r="J27" s="44">
        <v>6.3581033618146598E-2</v>
      </c>
      <c r="K27" s="36">
        <v>1826.9869919433593</v>
      </c>
      <c r="L27" s="36">
        <v>90.5</v>
      </c>
      <c r="M27" s="94">
        <f t="shared" si="0"/>
        <v>0.88264760994686642</v>
      </c>
      <c r="N27" s="36">
        <v>804.22299999999996</v>
      </c>
      <c r="O27" s="36">
        <f t="shared" si="1"/>
        <v>0.38853342248443634</v>
      </c>
      <c r="P27" s="36">
        <v>419.161</v>
      </c>
      <c r="Q27" s="36">
        <f t="shared" si="2"/>
        <v>0.20250360646487209</v>
      </c>
      <c r="R27" s="36">
        <v>134.18100000000001</v>
      </c>
      <c r="S27" s="36">
        <f t="shared" si="3"/>
        <v>6.4825058674502167E-2</v>
      </c>
      <c r="T27" s="36">
        <v>518.21699999999998</v>
      </c>
      <c r="U27" s="36">
        <v>749</v>
      </c>
      <c r="V27" s="36">
        <f t="shared" si="4"/>
        <v>0.25035919713763116</v>
      </c>
      <c r="W27" s="36">
        <v>347.59648759077601</v>
      </c>
      <c r="X27" s="36">
        <v>523.6</v>
      </c>
      <c r="Y27" s="92">
        <f t="shared" si="5"/>
        <v>0.16792960779188498</v>
      </c>
    </row>
    <row r="28" spans="1:25" x14ac:dyDescent="0.2">
      <c r="A28" s="1" t="s">
        <v>69</v>
      </c>
      <c r="B28" s="1" t="s">
        <v>70</v>
      </c>
      <c r="C28" s="36" t="s">
        <v>495</v>
      </c>
      <c r="D28" s="36">
        <v>12412.0106</v>
      </c>
      <c r="E28" s="36">
        <v>11715.847599999999</v>
      </c>
      <c r="F28" s="36"/>
      <c r="G28" s="36">
        <v>1172.3630000000001</v>
      </c>
      <c r="H28" s="36">
        <v>1282.5710000000001</v>
      </c>
      <c r="I28" s="36">
        <f t="shared" si="6"/>
        <v>9.1346581202911938</v>
      </c>
      <c r="J28" s="44">
        <v>9.4005013805451121E-2</v>
      </c>
      <c r="K28" s="36">
        <v>1016.0799910888672</v>
      </c>
      <c r="L28" s="36">
        <v>89.063000000000002</v>
      </c>
      <c r="M28" s="94">
        <f t="shared" si="0"/>
        <v>0.86669401123104972</v>
      </c>
      <c r="N28" s="36">
        <v>202.74599999999998</v>
      </c>
      <c r="O28" s="36">
        <f t="shared" si="1"/>
        <v>0.17293790404507817</v>
      </c>
      <c r="P28" s="36" t="s">
        <v>480</v>
      </c>
      <c r="Q28" s="36" t="e">
        <f t="shared" si="2"/>
        <v>#VALUE!</v>
      </c>
      <c r="R28" s="36" t="s">
        <v>480</v>
      </c>
      <c r="S28" s="36" t="e">
        <f t="shared" si="3"/>
        <v>#VALUE!</v>
      </c>
      <c r="T28" s="36">
        <v>497.34900000000005</v>
      </c>
      <c r="U28" s="36">
        <v>591.66700000000003</v>
      </c>
      <c r="V28" s="36">
        <f t="shared" si="4"/>
        <v>0.42422782022291733</v>
      </c>
      <c r="W28" s="36">
        <v>334.11229267563596</v>
      </c>
      <c r="X28" s="36">
        <v>429.33500000000004</v>
      </c>
      <c r="Y28" s="92">
        <f t="shared" si="5"/>
        <v>0.28499047878143197</v>
      </c>
    </row>
    <row r="29" spans="1:25" x14ac:dyDescent="0.2">
      <c r="A29" s="1" t="s">
        <v>71</v>
      </c>
      <c r="B29" s="1" t="s">
        <v>72</v>
      </c>
      <c r="C29" s="36" t="s">
        <v>495</v>
      </c>
      <c r="D29" s="36">
        <v>12161.8995</v>
      </c>
      <c r="E29" s="36">
        <v>18277.499500000002</v>
      </c>
      <c r="F29" s="36"/>
      <c r="G29" s="36">
        <v>2174.3449999999998</v>
      </c>
      <c r="H29" s="36">
        <v>4355.393</v>
      </c>
      <c r="I29" s="36">
        <f t="shared" si="6"/>
        <v>4.1965213012924441</v>
      </c>
      <c r="J29" s="44">
        <v>1.003082767454107</v>
      </c>
      <c r="K29" s="36">
        <v>895.99100952148433</v>
      </c>
      <c r="L29" s="36">
        <v>41.5</v>
      </c>
      <c r="M29" s="94">
        <f t="shared" si="0"/>
        <v>0.4120739852790079</v>
      </c>
      <c r="N29" s="36">
        <v>153.334</v>
      </c>
      <c r="O29" s="36">
        <f t="shared" si="1"/>
        <v>7.0519627749966091E-2</v>
      </c>
      <c r="P29" s="36">
        <v>118.449</v>
      </c>
      <c r="Q29" s="36">
        <f t="shared" si="2"/>
        <v>5.4475715675295321E-2</v>
      </c>
      <c r="R29" s="36">
        <v>120.17400000000001</v>
      </c>
      <c r="S29" s="36">
        <f t="shared" si="3"/>
        <v>5.5269058038167826E-2</v>
      </c>
      <c r="T29" s="36">
        <v>748.41300000000001</v>
      </c>
      <c r="U29" s="36">
        <v>1565</v>
      </c>
      <c r="V29" s="36">
        <f t="shared" si="4"/>
        <v>0.34420158714463439</v>
      </c>
      <c r="W29" s="36">
        <v>260.79930813918901</v>
      </c>
      <c r="X29" s="36">
        <v>771.38900000000001</v>
      </c>
      <c r="Y29" s="92">
        <f t="shared" si="5"/>
        <v>0.11994384890125027</v>
      </c>
    </row>
    <row r="30" spans="1:25" x14ac:dyDescent="0.2">
      <c r="A30" s="1" t="s">
        <v>73</v>
      </c>
      <c r="B30" s="1" t="s">
        <v>74</v>
      </c>
      <c r="C30" s="36" t="s">
        <v>505</v>
      </c>
      <c r="D30" s="36">
        <v>11921.111500000001</v>
      </c>
      <c r="E30" s="36">
        <v>14628.111500000001</v>
      </c>
      <c r="F30" s="36"/>
      <c r="G30" s="36">
        <v>4827</v>
      </c>
      <c r="H30" s="36">
        <v>4770.0380000000005</v>
      </c>
      <c r="I30" s="36">
        <f t="shared" si="6"/>
        <v>3.066665611468923</v>
      </c>
      <c r="J30" s="44">
        <v>-1.180070437124503E-2</v>
      </c>
      <c r="K30" s="36">
        <v>3803</v>
      </c>
      <c r="L30" s="36">
        <v>83.521000000000001</v>
      </c>
      <c r="M30" s="94">
        <f t="shared" si="0"/>
        <v>0.78785995442303713</v>
      </c>
      <c r="N30" s="36">
        <v>957</v>
      </c>
      <c r="O30" s="36">
        <f t="shared" si="1"/>
        <v>0.19825978868862648</v>
      </c>
      <c r="P30" s="36">
        <v>1593</v>
      </c>
      <c r="Q30" s="36">
        <f t="shared" si="2"/>
        <v>0.33001864512119328</v>
      </c>
      <c r="R30" s="36">
        <v>578</v>
      </c>
      <c r="S30" s="36">
        <f t="shared" si="3"/>
        <v>0.11974311166355915</v>
      </c>
      <c r="T30" s="36">
        <v>1276</v>
      </c>
      <c r="U30" s="36">
        <v>2019.2670000000001</v>
      </c>
      <c r="V30" s="36">
        <f t="shared" si="4"/>
        <v>0.26434638491816864</v>
      </c>
      <c r="W30" s="36">
        <v>412.36329172576399</v>
      </c>
      <c r="X30" s="36">
        <v>1047.7170000000001</v>
      </c>
      <c r="Y30" s="92">
        <f t="shared" si="5"/>
        <v>8.5428483887666037E-2</v>
      </c>
    </row>
    <row r="31" spans="1:25" x14ac:dyDescent="0.2">
      <c r="A31" s="1" t="s">
        <v>75</v>
      </c>
      <c r="B31" s="1" t="s">
        <v>76</v>
      </c>
      <c r="C31" s="36" t="s">
        <v>506</v>
      </c>
      <c r="D31" s="36">
        <v>11691.1903</v>
      </c>
      <c r="E31" s="36">
        <v>11659.7503</v>
      </c>
      <c r="F31" s="36"/>
      <c r="G31" s="36">
        <v>1536.6029999999998</v>
      </c>
      <c r="H31" s="36">
        <v>1642.25</v>
      </c>
      <c r="I31" s="36">
        <f t="shared" si="6"/>
        <v>7.0998631755213886</v>
      </c>
      <c r="J31" s="44">
        <v>6.8753607795897898E-2</v>
      </c>
      <c r="K31" s="36">
        <v>662.96098620605471</v>
      </c>
      <c r="L31" s="36">
        <v>42.582999999999998</v>
      </c>
      <c r="M31" s="94">
        <f t="shared" si="0"/>
        <v>0.43144584919205209</v>
      </c>
      <c r="N31" s="36">
        <v>90.339999999999989</v>
      </c>
      <c r="O31" s="36">
        <f t="shared" si="1"/>
        <v>5.8792023704235905E-2</v>
      </c>
      <c r="P31" s="36" t="s">
        <v>480</v>
      </c>
      <c r="Q31" s="36" t="e">
        <f t="shared" si="2"/>
        <v>#VALUE!</v>
      </c>
      <c r="R31" s="36" t="s">
        <v>480</v>
      </c>
      <c r="S31" s="36" t="e">
        <f t="shared" si="3"/>
        <v>#VALUE!</v>
      </c>
      <c r="T31" s="36">
        <v>542.40800000000002</v>
      </c>
      <c r="U31" s="36">
        <v>568.83299999999997</v>
      </c>
      <c r="V31" s="36">
        <f t="shared" si="4"/>
        <v>0.35299163154048252</v>
      </c>
      <c r="W31" s="36">
        <v>282.15797000000003</v>
      </c>
      <c r="X31" s="36">
        <v>310.75</v>
      </c>
      <c r="Y31" s="92">
        <f t="shared" si="5"/>
        <v>0.18362450808699454</v>
      </c>
    </row>
    <row r="32" spans="1:25" x14ac:dyDescent="0.2">
      <c r="A32" s="1" t="s">
        <v>77</v>
      </c>
      <c r="B32" s="1" t="s">
        <v>78</v>
      </c>
      <c r="C32" s="36" t="s">
        <v>506</v>
      </c>
      <c r="D32" s="36">
        <v>11146.956</v>
      </c>
      <c r="E32" s="36">
        <v>13353.356</v>
      </c>
      <c r="F32" s="36"/>
      <c r="G32" s="36">
        <v>7841.5</v>
      </c>
      <c r="H32" s="36">
        <v>8247.7070000000003</v>
      </c>
      <c r="I32" s="36">
        <f t="shared" si="6"/>
        <v>1.6190386006680402</v>
      </c>
      <c r="J32" s="44">
        <v>5.1802206210546542E-2</v>
      </c>
      <c r="K32" s="36">
        <v>3531.9999511718752</v>
      </c>
      <c r="L32" s="36">
        <v>45.9</v>
      </c>
      <c r="M32" s="94">
        <f t="shared" si="0"/>
        <v>0.45042401978854496</v>
      </c>
      <c r="N32" s="36">
        <v>0</v>
      </c>
      <c r="O32" s="36">
        <f t="shared" si="1"/>
        <v>0</v>
      </c>
      <c r="P32" s="36" t="s">
        <v>480</v>
      </c>
      <c r="Q32" s="36" t="e">
        <f t="shared" si="2"/>
        <v>#VALUE!</v>
      </c>
      <c r="R32" s="36">
        <v>166.3</v>
      </c>
      <c r="S32" s="36">
        <f t="shared" si="3"/>
        <v>2.120767710259517E-2</v>
      </c>
      <c r="T32" s="36">
        <v>2272.1</v>
      </c>
      <c r="U32" s="36">
        <v>2256.143</v>
      </c>
      <c r="V32" s="36">
        <f t="shared" si="4"/>
        <v>0.2897532359880125</v>
      </c>
      <c r="W32" s="36">
        <v>884.5</v>
      </c>
      <c r="X32" s="36">
        <v>1348.825</v>
      </c>
      <c r="Y32" s="92">
        <f t="shared" si="5"/>
        <v>0.11279729643563094</v>
      </c>
    </row>
    <row r="33" spans="1:25" x14ac:dyDescent="0.2">
      <c r="A33" s="1" t="s">
        <v>79</v>
      </c>
      <c r="B33" s="1" t="s">
        <v>80</v>
      </c>
      <c r="C33" s="36" t="s">
        <v>495</v>
      </c>
      <c r="D33" s="36">
        <v>10263.557500000001</v>
      </c>
      <c r="E33" s="36">
        <v>10635.886500000001</v>
      </c>
      <c r="F33" s="36"/>
      <c r="G33" s="36">
        <v>1235.683</v>
      </c>
      <c r="H33" s="36">
        <v>1329.231</v>
      </c>
      <c r="I33" s="36">
        <f t="shared" si="6"/>
        <v>8.0015335934837513</v>
      </c>
      <c r="J33" s="44">
        <v>7.5705500520764524E-2</v>
      </c>
      <c r="K33" s="36">
        <v>904.73300866699219</v>
      </c>
      <c r="L33" s="36">
        <v>78.055999999999997</v>
      </c>
      <c r="M33" s="94">
        <f t="shared" si="0"/>
        <v>0.73217241692812174</v>
      </c>
      <c r="N33" s="36">
        <v>236.059</v>
      </c>
      <c r="O33" s="36">
        <f t="shared" si="1"/>
        <v>0.19103524123905566</v>
      </c>
      <c r="P33" s="36">
        <v>372.94600000000003</v>
      </c>
      <c r="Q33" s="36">
        <f t="shared" si="2"/>
        <v>0.30181365285433243</v>
      </c>
      <c r="R33" s="36">
        <v>145.06700000000001</v>
      </c>
      <c r="S33" s="36">
        <f t="shared" si="3"/>
        <v>0.11739823239455427</v>
      </c>
      <c r="T33" s="36">
        <v>170.774</v>
      </c>
      <c r="U33" s="36">
        <v>372.6</v>
      </c>
      <c r="V33" s="36">
        <f t="shared" si="4"/>
        <v>0.1382021117066432</v>
      </c>
      <c r="W33" s="36">
        <v>48.873303467433999</v>
      </c>
      <c r="X33" s="36">
        <v>217.095</v>
      </c>
      <c r="Y33" s="92">
        <f t="shared" si="5"/>
        <v>3.955165157037363E-2</v>
      </c>
    </row>
    <row r="34" spans="1:25" x14ac:dyDescent="0.2">
      <c r="A34" s="1" t="s">
        <v>81</v>
      </c>
      <c r="B34" s="1" t="s">
        <v>82</v>
      </c>
      <c r="C34" s="36" t="s">
        <v>506</v>
      </c>
      <c r="D34" s="36">
        <v>10068.413699999999</v>
      </c>
      <c r="E34" s="36">
        <v>10049.311299999999</v>
      </c>
      <c r="F34" s="36"/>
      <c r="G34" s="36">
        <v>790.56539690225225</v>
      </c>
      <c r="H34" s="36">
        <v>1373.425</v>
      </c>
      <c r="I34" s="36">
        <f t="shared" si="6"/>
        <v>7.3169712943917578</v>
      </c>
      <c r="J34" s="44">
        <v>0.73726930799352219</v>
      </c>
      <c r="K34" s="36">
        <v>375.64298104046151</v>
      </c>
      <c r="L34" s="36">
        <v>57.4</v>
      </c>
      <c r="M34" s="94">
        <f t="shared" ref="M34:M65" si="7">K34/G34</f>
        <v>0.47515737788724272</v>
      </c>
      <c r="N34" s="36">
        <v>0</v>
      </c>
      <c r="O34" s="36">
        <f t="shared" ref="O34:O65" si="8">N34/G34</f>
        <v>0</v>
      </c>
      <c r="P34" s="36">
        <v>76.995211344008382</v>
      </c>
      <c r="Q34" s="36">
        <f t="shared" ref="Q34:Q65" si="9">P34/G34</f>
        <v>9.7392589715798408E-2</v>
      </c>
      <c r="R34" s="36">
        <v>47.989678864420718</v>
      </c>
      <c r="S34" s="36">
        <f t="shared" ref="S34:S65" si="10">R34/G34</f>
        <v>6.0702984284998117E-2</v>
      </c>
      <c r="T34" s="36">
        <v>266.81505779650513</v>
      </c>
      <c r="U34" s="36">
        <v>498.81</v>
      </c>
      <c r="V34" s="36">
        <f t="shared" ref="V34:V65" si="11">T34/G34</f>
        <v>0.3374990340356307</v>
      </c>
      <c r="W34" s="36">
        <v>149.9999767353207</v>
      </c>
      <c r="X34" s="36">
        <v>349.94299999999998</v>
      </c>
      <c r="Y34" s="92">
        <f t="shared" ref="Y34:Y65" si="12">W34/G34</f>
        <v>0.1897375945406666</v>
      </c>
    </row>
    <row r="35" spans="1:25" x14ac:dyDescent="0.2">
      <c r="A35" s="1" t="s">
        <v>83</v>
      </c>
      <c r="B35" s="1" t="s">
        <v>84</v>
      </c>
      <c r="C35" s="36" t="s">
        <v>495</v>
      </c>
      <c r="D35" s="36">
        <v>9184.6566000000003</v>
      </c>
      <c r="E35" s="36">
        <v>9553.6566000000003</v>
      </c>
      <c r="F35" s="36"/>
      <c r="G35" s="36">
        <v>1106.8</v>
      </c>
      <c r="H35" s="36">
        <v>1480.6469999999999</v>
      </c>
      <c r="I35" s="36">
        <f t="shared" si="6"/>
        <v>6.4523526539411495</v>
      </c>
      <c r="J35" s="44">
        <v>0.33777285869172391</v>
      </c>
      <c r="K35" s="36">
        <v>737.9</v>
      </c>
      <c r="L35" s="36">
        <v>74.016999999999996</v>
      </c>
      <c r="M35" s="94">
        <f t="shared" si="7"/>
        <v>0.66669678352005779</v>
      </c>
      <c r="N35" s="36">
        <v>380.29999999999995</v>
      </c>
      <c r="O35" s="36">
        <f t="shared" si="8"/>
        <v>0.3436031803397181</v>
      </c>
      <c r="P35" s="36">
        <v>314</v>
      </c>
      <c r="Q35" s="36">
        <f t="shared" si="9"/>
        <v>0.28370075894470548</v>
      </c>
      <c r="R35" s="36">
        <v>157.30000000000001</v>
      </c>
      <c r="S35" s="36">
        <f t="shared" si="10"/>
        <v>0.14212143115287315</v>
      </c>
      <c r="T35" s="36">
        <v>68.100000000000009</v>
      </c>
      <c r="U35" s="36">
        <v>323.16000000000003</v>
      </c>
      <c r="V35" s="36">
        <f t="shared" si="11"/>
        <v>6.1528731478135174E-2</v>
      </c>
      <c r="W35" s="36">
        <v>-50</v>
      </c>
      <c r="X35" s="36">
        <v>133.304</v>
      </c>
      <c r="Y35" s="92">
        <f t="shared" si="12"/>
        <v>-4.517528008673654E-2</v>
      </c>
    </row>
    <row r="36" spans="1:25" x14ac:dyDescent="0.2">
      <c r="A36" s="1" t="s">
        <v>85</v>
      </c>
      <c r="B36" s="1" t="s">
        <v>86</v>
      </c>
      <c r="C36" s="36" t="s">
        <v>495</v>
      </c>
      <c r="D36" s="36">
        <v>9193.2610000000004</v>
      </c>
      <c r="E36" s="36">
        <v>11155.011</v>
      </c>
      <c r="F36" s="36"/>
      <c r="G36" s="36">
        <v>2815.241</v>
      </c>
      <c r="H36" s="36">
        <v>2896.0419999999999</v>
      </c>
      <c r="I36" s="36">
        <f t="shared" si="6"/>
        <v>3.8518125773037823</v>
      </c>
      <c r="J36" s="44">
        <v>2.8701272821758383E-2</v>
      </c>
      <c r="K36" s="36">
        <v>1863.8300090332032</v>
      </c>
      <c r="L36" s="36">
        <v>72.183000000000007</v>
      </c>
      <c r="M36" s="94">
        <f t="shared" si="7"/>
        <v>0.66204989520726754</v>
      </c>
      <c r="N36" s="36">
        <v>323.46100000000001</v>
      </c>
      <c r="O36" s="36">
        <f t="shared" si="8"/>
        <v>0.11489638009676614</v>
      </c>
      <c r="P36" s="36">
        <v>529.38099999999997</v>
      </c>
      <c r="Q36" s="36">
        <f t="shared" si="9"/>
        <v>0.18804109488317342</v>
      </c>
      <c r="R36" s="36">
        <v>205.31299999999999</v>
      </c>
      <c r="S36" s="36">
        <f t="shared" si="10"/>
        <v>7.2929102694938019E-2</v>
      </c>
      <c r="T36" s="36">
        <v>991.54299999999989</v>
      </c>
      <c r="U36" s="36">
        <v>1070.75</v>
      </c>
      <c r="V36" s="36">
        <f t="shared" si="11"/>
        <v>0.35220537069472913</v>
      </c>
      <c r="W36" s="36">
        <v>279.654731196885</v>
      </c>
      <c r="X36" s="36">
        <v>728.4</v>
      </c>
      <c r="Y36" s="92">
        <f t="shared" si="12"/>
        <v>9.9335982673200984E-2</v>
      </c>
    </row>
    <row r="37" spans="1:25" x14ac:dyDescent="0.2">
      <c r="A37" s="1" t="s">
        <v>87</v>
      </c>
      <c r="B37" s="1" t="s">
        <v>88</v>
      </c>
      <c r="C37" s="36" t="s">
        <v>495</v>
      </c>
      <c r="D37" s="36">
        <v>8905.6998000000003</v>
      </c>
      <c r="E37" s="36">
        <v>8730.4277999999995</v>
      </c>
      <c r="F37" s="36"/>
      <c r="G37" s="36">
        <v>1035.461</v>
      </c>
      <c r="H37" s="36">
        <v>1245.01</v>
      </c>
      <c r="I37" s="36">
        <f t="shared" si="6"/>
        <v>7.0123354832491298</v>
      </c>
      <c r="J37" s="44">
        <v>0.20237266299744738</v>
      </c>
      <c r="K37" s="36">
        <v>648.36900695800773</v>
      </c>
      <c r="L37" s="36">
        <v>64.697000000000003</v>
      </c>
      <c r="M37" s="94">
        <f t="shared" si="7"/>
        <v>0.62616458462270208</v>
      </c>
      <c r="N37" s="36">
        <v>150.583</v>
      </c>
      <c r="O37" s="36">
        <f t="shared" si="8"/>
        <v>0.14542604694913666</v>
      </c>
      <c r="P37" s="36">
        <v>269.78100000000001</v>
      </c>
      <c r="Q37" s="36">
        <f t="shared" si="9"/>
        <v>0.26054192287300054</v>
      </c>
      <c r="R37" s="36">
        <v>122.119</v>
      </c>
      <c r="S37" s="36">
        <f t="shared" si="10"/>
        <v>0.11793684165796683</v>
      </c>
      <c r="T37" s="36">
        <v>114.41199999999999</v>
      </c>
      <c r="U37" s="36">
        <v>301.96199999999999</v>
      </c>
      <c r="V37" s="36">
        <f t="shared" si="11"/>
        <v>0.11049378006511108</v>
      </c>
      <c r="W37" s="36">
        <v>46.960708818636007</v>
      </c>
      <c r="X37" s="36">
        <v>188.41400000000002</v>
      </c>
      <c r="Y37" s="92">
        <f t="shared" si="12"/>
        <v>4.5352465055309668E-2</v>
      </c>
    </row>
    <row r="38" spans="1:25" x14ac:dyDescent="0.2">
      <c r="A38" s="1" t="s">
        <v>89</v>
      </c>
      <c r="B38" s="1" t="s">
        <v>90</v>
      </c>
      <c r="C38" s="36" t="s">
        <v>505</v>
      </c>
      <c r="D38" s="36">
        <v>8352.4141999999993</v>
      </c>
      <c r="E38" s="36">
        <v>7440.2691999999997</v>
      </c>
      <c r="F38" s="36"/>
      <c r="G38" s="36">
        <v>992.76900000000001</v>
      </c>
      <c r="H38" s="36">
        <v>1052.4590000000001</v>
      </c>
      <c r="I38" s="36">
        <f t="shared" si="6"/>
        <v>7.0694147705516315</v>
      </c>
      <c r="J38" s="44">
        <v>6.0124762155143952E-2</v>
      </c>
      <c r="K38" s="36">
        <v>864.88000952148434</v>
      </c>
      <c r="L38" s="36">
        <v>86.718000000000004</v>
      </c>
      <c r="M38" s="94">
        <f t="shared" si="7"/>
        <v>0.87117950854779347</v>
      </c>
      <c r="N38" s="36">
        <v>334.14799999999997</v>
      </c>
      <c r="O38" s="36">
        <f t="shared" si="8"/>
        <v>0.33658182316329377</v>
      </c>
      <c r="P38" s="36">
        <v>517.44600000000003</v>
      </c>
      <c r="Q38" s="36">
        <f t="shared" si="9"/>
        <v>0.52121490497789513</v>
      </c>
      <c r="R38" s="36">
        <v>102.871</v>
      </c>
      <c r="S38" s="36">
        <f t="shared" si="10"/>
        <v>0.10362027823189483</v>
      </c>
      <c r="T38" s="36">
        <v>-123.949</v>
      </c>
      <c r="U38" s="36">
        <v>17.222000000000001</v>
      </c>
      <c r="V38" s="36">
        <f t="shared" si="11"/>
        <v>-0.12485180339031537</v>
      </c>
      <c r="W38" s="36">
        <v>-146.929</v>
      </c>
      <c r="X38" s="36">
        <v>-13.881</v>
      </c>
      <c r="Y38" s="92">
        <f t="shared" si="12"/>
        <v>-0.14799918208566143</v>
      </c>
    </row>
    <row r="39" spans="1:25" x14ac:dyDescent="0.2">
      <c r="A39" s="1" t="s">
        <v>91</v>
      </c>
      <c r="B39" s="1" t="s">
        <v>92</v>
      </c>
      <c r="C39" s="36" t="s">
        <v>495</v>
      </c>
      <c r="D39" s="36">
        <v>8104.8091999999997</v>
      </c>
      <c r="E39" s="36">
        <v>7952.1031999999996</v>
      </c>
      <c r="F39" s="36"/>
      <c r="G39" s="36">
        <v>891.15700000000004</v>
      </c>
      <c r="H39" s="36">
        <v>1005.667</v>
      </c>
      <c r="I39" s="36">
        <f t="shared" si="6"/>
        <v>7.9072925729888714</v>
      </c>
      <c r="J39" s="44">
        <v>0.12849587670859353</v>
      </c>
      <c r="K39" s="36">
        <v>422.93600115966797</v>
      </c>
      <c r="L39" s="36">
        <v>51.216999999999999</v>
      </c>
      <c r="M39" s="94">
        <f t="shared" si="7"/>
        <v>0.47459202044047005</v>
      </c>
      <c r="N39" s="36">
        <v>47.323999999999998</v>
      </c>
      <c r="O39" s="36">
        <f t="shared" si="8"/>
        <v>5.3103998509802422E-2</v>
      </c>
      <c r="P39" s="36" t="s">
        <v>480</v>
      </c>
      <c r="Q39" s="36" t="e">
        <f t="shared" si="9"/>
        <v>#VALUE!</v>
      </c>
      <c r="R39" s="36" t="s">
        <v>480</v>
      </c>
      <c r="S39" s="36" t="e">
        <f t="shared" si="10"/>
        <v>#VALUE!</v>
      </c>
      <c r="T39" s="36">
        <v>222.82000000000002</v>
      </c>
      <c r="U39" s="36">
        <v>297.92500000000001</v>
      </c>
      <c r="V39" s="36">
        <f t="shared" si="11"/>
        <v>0.25003450570438207</v>
      </c>
      <c r="W39" s="36">
        <v>145.27799871199099</v>
      </c>
      <c r="X39" s="36">
        <v>206.56300000000002</v>
      </c>
      <c r="Y39" s="92">
        <f t="shared" si="12"/>
        <v>0.16302177810642904</v>
      </c>
    </row>
    <row r="40" spans="1:25" x14ac:dyDescent="0.2">
      <c r="A40" s="1" t="s">
        <v>93</v>
      </c>
      <c r="B40" s="1" t="s">
        <v>94</v>
      </c>
      <c r="C40" s="36" t="s">
        <v>506</v>
      </c>
      <c r="D40" s="36">
        <v>8005.7865000000002</v>
      </c>
      <c r="E40" s="36">
        <v>10399.2865</v>
      </c>
      <c r="F40" s="36"/>
      <c r="G40" s="36">
        <v>5643.5</v>
      </c>
      <c r="H40" s="36">
        <v>5758.5690000000004</v>
      </c>
      <c r="I40" s="36">
        <f t="shared" si="6"/>
        <v>1.8058803324228641</v>
      </c>
      <c r="J40" s="44">
        <v>2.0389651811818954E-2</v>
      </c>
      <c r="K40" s="36">
        <v>2280.8999999999996</v>
      </c>
      <c r="L40" s="36">
        <v>40.567</v>
      </c>
      <c r="M40" s="94">
        <f t="shared" si="7"/>
        <v>0.4041640825728714</v>
      </c>
      <c r="N40" s="36">
        <v>0</v>
      </c>
      <c r="O40" s="36">
        <f t="shared" si="8"/>
        <v>0</v>
      </c>
      <c r="P40" s="36" t="s">
        <v>480</v>
      </c>
      <c r="Q40" s="36" t="e">
        <f t="shared" si="9"/>
        <v>#VALUE!</v>
      </c>
      <c r="R40" s="36" t="s">
        <v>480</v>
      </c>
      <c r="S40" s="36" t="e">
        <f t="shared" si="10"/>
        <v>#VALUE!</v>
      </c>
      <c r="T40" s="36">
        <v>1359.4</v>
      </c>
      <c r="U40" s="36">
        <v>1420.375</v>
      </c>
      <c r="V40" s="36">
        <f t="shared" si="11"/>
        <v>0.24087888721538053</v>
      </c>
      <c r="W40" s="36">
        <v>852.35</v>
      </c>
      <c r="X40" s="36">
        <v>860.87900000000002</v>
      </c>
      <c r="Y40" s="92">
        <f t="shared" si="12"/>
        <v>0.15103216089306282</v>
      </c>
    </row>
    <row r="41" spans="1:25" x14ac:dyDescent="0.2">
      <c r="A41" s="1" t="s">
        <v>95</v>
      </c>
      <c r="B41" s="1" t="s">
        <v>96</v>
      </c>
      <c r="C41" s="36" t="s">
        <v>506</v>
      </c>
      <c r="D41" s="36">
        <v>7756.0488999999998</v>
      </c>
      <c r="E41" s="36">
        <v>9911.8019000000004</v>
      </c>
      <c r="F41" s="36"/>
      <c r="G41" s="36">
        <v>1381.0119999999999</v>
      </c>
      <c r="H41" s="36">
        <v>1551.74</v>
      </c>
      <c r="I41" s="36">
        <f t="shared" si="6"/>
        <v>6.3875403740317322</v>
      </c>
      <c r="J41" s="44">
        <v>0.12362528348776114</v>
      </c>
      <c r="K41" s="36">
        <v>1037.137987915039</v>
      </c>
      <c r="L41" s="36">
        <v>64.7</v>
      </c>
      <c r="M41" s="94">
        <f t="shared" si="7"/>
        <v>0.75099853434657993</v>
      </c>
      <c r="N41" s="36">
        <v>0</v>
      </c>
      <c r="O41" s="36">
        <f t="shared" si="8"/>
        <v>0</v>
      </c>
      <c r="P41" s="36">
        <v>0</v>
      </c>
      <c r="Q41" s="36">
        <f t="shared" si="9"/>
        <v>0</v>
      </c>
      <c r="R41" s="36" t="s">
        <v>480</v>
      </c>
      <c r="S41" s="36" t="e">
        <f t="shared" si="10"/>
        <v>#VALUE!</v>
      </c>
      <c r="T41" s="36">
        <v>541.74800000000005</v>
      </c>
      <c r="U41" s="36">
        <v>659.16700000000003</v>
      </c>
      <c r="V41" s="36">
        <f t="shared" si="11"/>
        <v>0.3922833400433885</v>
      </c>
      <c r="W41" s="36">
        <v>160.82074499958901</v>
      </c>
      <c r="X41" s="36">
        <v>378.98200000000003</v>
      </c>
      <c r="Y41" s="92">
        <f t="shared" si="12"/>
        <v>0.11645137406451864</v>
      </c>
    </row>
    <row r="42" spans="1:25" x14ac:dyDescent="0.2">
      <c r="A42" s="1" t="s">
        <v>97</v>
      </c>
      <c r="B42" s="1" t="s">
        <v>98</v>
      </c>
      <c r="C42" s="36" t="s">
        <v>495</v>
      </c>
      <c r="D42" s="36">
        <v>7426.6350000000002</v>
      </c>
      <c r="E42" s="36">
        <v>7407.2659999999996</v>
      </c>
      <c r="F42" s="36"/>
      <c r="G42" s="36">
        <v>498.02800000000002</v>
      </c>
      <c r="H42" s="36">
        <v>621.76</v>
      </c>
      <c r="I42" s="36">
        <f t="shared" si="6"/>
        <v>11.913384585692228</v>
      </c>
      <c r="J42" s="44">
        <v>0.24844386259407103</v>
      </c>
      <c r="K42" s="36">
        <v>416.48600439453128</v>
      </c>
      <c r="L42" s="36">
        <v>82.850000000000009</v>
      </c>
      <c r="M42" s="94">
        <f t="shared" si="7"/>
        <v>0.83627025868933325</v>
      </c>
      <c r="N42" s="36">
        <v>30.43</v>
      </c>
      <c r="O42" s="36">
        <f t="shared" si="8"/>
        <v>6.1100982274089007E-2</v>
      </c>
      <c r="P42" s="36">
        <v>150.512</v>
      </c>
      <c r="Q42" s="36">
        <f t="shared" si="9"/>
        <v>0.30221593966604288</v>
      </c>
      <c r="R42" s="36">
        <v>91.647000000000006</v>
      </c>
      <c r="S42" s="36">
        <f t="shared" si="10"/>
        <v>0.18401977398861108</v>
      </c>
      <c r="T42" s="36">
        <v>148.13299999999998</v>
      </c>
      <c r="U42" s="36">
        <v>254.15200000000002</v>
      </c>
      <c r="V42" s="36">
        <f t="shared" si="11"/>
        <v>0.29743909980964922</v>
      </c>
      <c r="W42" s="36">
        <v>104.562799698118</v>
      </c>
      <c r="X42" s="36">
        <v>171.12</v>
      </c>
      <c r="Y42" s="92">
        <f t="shared" si="12"/>
        <v>0.20995365661793713</v>
      </c>
    </row>
    <row r="43" spans="1:25" x14ac:dyDescent="0.2">
      <c r="A43" s="1" t="s">
        <v>99</v>
      </c>
      <c r="B43" s="1" t="s">
        <v>100</v>
      </c>
      <c r="C43" s="36" t="s">
        <v>495</v>
      </c>
      <c r="D43" s="36">
        <v>7408.9178000000002</v>
      </c>
      <c r="E43" s="36">
        <v>9247.8755000000001</v>
      </c>
      <c r="F43" s="36"/>
      <c r="G43" s="36">
        <v>2273.2000000000003</v>
      </c>
      <c r="H43" s="36">
        <v>2275</v>
      </c>
      <c r="I43" s="36">
        <f t="shared" si="6"/>
        <v>4.0650002197802202</v>
      </c>
      <c r="J43" s="44">
        <v>7.9183529825788135E-4</v>
      </c>
      <c r="K43" s="36">
        <v>1091.2</v>
      </c>
      <c r="L43" s="36">
        <v>49.633000000000003</v>
      </c>
      <c r="M43" s="94">
        <f t="shared" si="7"/>
        <v>0.48002815414393801</v>
      </c>
      <c r="N43" s="36">
        <v>0</v>
      </c>
      <c r="O43" s="36">
        <f t="shared" si="8"/>
        <v>0</v>
      </c>
      <c r="P43" s="36" t="s">
        <v>480</v>
      </c>
      <c r="Q43" s="36" t="e">
        <f t="shared" si="9"/>
        <v>#VALUE!</v>
      </c>
      <c r="R43" s="36" t="s">
        <v>480</v>
      </c>
      <c r="S43" s="36" t="e">
        <f t="shared" si="10"/>
        <v>#VALUE!</v>
      </c>
      <c r="T43" s="36">
        <v>767.59999999999991</v>
      </c>
      <c r="U43" s="36">
        <v>898.33299999999997</v>
      </c>
      <c r="V43" s="36">
        <f t="shared" si="11"/>
        <v>0.33767376385711761</v>
      </c>
      <c r="W43" s="36">
        <v>426.99656571026196</v>
      </c>
      <c r="X43" s="36">
        <v>496.33300000000003</v>
      </c>
      <c r="Y43" s="92">
        <f t="shared" si="12"/>
        <v>0.18783941831350603</v>
      </c>
    </row>
    <row r="44" spans="1:25" x14ac:dyDescent="0.2">
      <c r="A44" s="1" t="s">
        <v>101</v>
      </c>
      <c r="B44" s="1" t="s">
        <v>102</v>
      </c>
      <c r="C44" s="36" t="s">
        <v>495</v>
      </c>
      <c r="D44" s="36">
        <v>7152.3764000000001</v>
      </c>
      <c r="E44" s="36">
        <v>6390.3563999999997</v>
      </c>
      <c r="F44" s="36"/>
      <c r="G44" s="36">
        <v>661.06700000000001</v>
      </c>
      <c r="H44" s="36">
        <v>749.7</v>
      </c>
      <c r="I44" s="36">
        <f t="shared" si="6"/>
        <v>8.5238847539015605</v>
      </c>
      <c r="J44" s="44">
        <v>0.13407566857822273</v>
      </c>
      <c r="K44" s="36">
        <v>364.36000024414062</v>
      </c>
      <c r="L44" s="36">
        <v>59.675000000000004</v>
      </c>
      <c r="M44" s="94">
        <f t="shared" si="7"/>
        <v>0.55116954899297743</v>
      </c>
      <c r="N44" s="36">
        <v>171.65699999999998</v>
      </c>
      <c r="O44" s="36">
        <f t="shared" si="8"/>
        <v>0.25966656934924898</v>
      </c>
      <c r="P44" s="36">
        <v>124.117</v>
      </c>
      <c r="Q44" s="36">
        <f t="shared" si="9"/>
        <v>0.18775252735350578</v>
      </c>
      <c r="R44" s="36">
        <v>75.915999999999997</v>
      </c>
      <c r="S44" s="36">
        <f t="shared" si="10"/>
        <v>0.11483858670906277</v>
      </c>
      <c r="T44" s="36">
        <v>28.280999999999985</v>
      </c>
      <c r="U44" s="36">
        <v>147.46700000000001</v>
      </c>
      <c r="V44" s="36">
        <f t="shared" si="11"/>
        <v>4.2780837645805925E-2</v>
      </c>
      <c r="W44" s="36">
        <v>35.34196</v>
      </c>
      <c r="X44" s="36">
        <v>101.65600000000001</v>
      </c>
      <c r="Y44" s="92">
        <f t="shared" si="12"/>
        <v>5.3461994018760582E-2</v>
      </c>
    </row>
    <row r="45" spans="1:25" x14ac:dyDescent="0.2">
      <c r="A45" s="1" t="s">
        <v>105</v>
      </c>
      <c r="B45" s="1" t="s">
        <v>106</v>
      </c>
      <c r="C45" s="36" t="s">
        <v>495</v>
      </c>
      <c r="D45" s="36">
        <v>6820.7802000000001</v>
      </c>
      <c r="E45" s="36">
        <v>6894.6152000000002</v>
      </c>
      <c r="F45" s="36"/>
      <c r="G45" s="36">
        <v>499.51400000000001</v>
      </c>
      <c r="H45" s="36">
        <v>548.56299999999999</v>
      </c>
      <c r="I45" s="36">
        <f t="shared" si="6"/>
        <v>12.568502068130735</v>
      </c>
      <c r="J45" s="44">
        <v>9.8193444027594667E-2</v>
      </c>
      <c r="K45" s="36">
        <v>448.87000836181642</v>
      </c>
      <c r="L45" s="36">
        <v>89.632999999999996</v>
      </c>
      <c r="M45" s="94">
        <f t="shared" si="7"/>
        <v>0.89861346901551586</v>
      </c>
      <c r="N45" s="36">
        <v>82.075999999999993</v>
      </c>
      <c r="O45" s="36">
        <f t="shared" si="8"/>
        <v>0.16431171098307554</v>
      </c>
      <c r="P45" s="36">
        <v>101.077</v>
      </c>
      <c r="Q45" s="36">
        <f t="shared" si="9"/>
        <v>0.20235068486568944</v>
      </c>
      <c r="R45" s="36">
        <v>56.076000000000001</v>
      </c>
      <c r="S45" s="36">
        <f t="shared" si="10"/>
        <v>0.11226111780650792</v>
      </c>
      <c r="T45" s="36">
        <v>218.595</v>
      </c>
      <c r="U45" s="36">
        <v>277.47500000000002</v>
      </c>
      <c r="V45" s="36">
        <f t="shared" si="11"/>
        <v>0.43761536213199226</v>
      </c>
      <c r="W45" s="36">
        <v>150.27254635458399</v>
      </c>
      <c r="X45" s="36">
        <v>222.1</v>
      </c>
      <c r="Y45" s="92">
        <f t="shared" si="12"/>
        <v>0.30083750676574428</v>
      </c>
    </row>
    <row r="46" spans="1:25" x14ac:dyDescent="0.2">
      <c r="A46" s="1" t="s">
        <v>107</v>
      </c>
      <c r="B46" s="1" t="s">
        <v>108</v>
      </c>
      <c r="C46" s="36" t="s">
        <v>495</v>
      </c>
      <c r="D46" s="36">
        <v>6740.9416000000001</v>
      </c>
      <c r="E46" s="36">
        <v>6236.2366000000002</v>
      </c>
      <c r="F46" s="36"/>
      <c r="G46" s="36">
        <v>1155.4570000000001</v>
      </c>
      <c r="H46" s="36">
        <v>1366.1669999999999</v>
      </c>
      <c r="I46" s="36">
        <f t="shared" si="6"/>
        <v>4.5647688752546358</v>
      </c>
      <c r="J46" s="44">
        <v>0.18236074557512727</v>
      </c>
      <c r="K46" s="36">
        <v>769.42700024414057</v>
      </c>
      <c r="L46" s="36">
        <v>78.515000000000001</v>
      </c>
      <c r="M46" s="94">
        <f t="shared" si="7"/>
        <v>0.66590708286343891</v>
      </c>
      <c r="N46" s="36">
        <v>313.77699999999999</v>
      </c>
      <c r="O46" s="36">
        <f t="shared" si="8"/>
        <v>0.27156094947713327</v>
      </c>
      <c r="P46" s="36">
        <v>649.65700000000004</v>
      </c>
      <c r="Q46" s="36">
        <f t="shared" si="9"/>
        <v>0.56225112661050991</v>
      </c>
      <c r="R46" s="36">
        <v>86.400999999999996</v>
      </c>
      <c r="S46" s="36">
        <f t="shared" si="10"/>
        <v>7.4776473724249351E-2</v>
      </c>
      <c r="T46" s="36">
        <v>-222.005860759494</v>
      </c>
      <c r="U46" s="36">
        <v>-120.633</v>
      </c>
      <c r="V46" s="36">
        <f t="shared" si="11"/>
        <v>-0.19213684348227064</v>
      </c>
      <c r="W46" s="36">
        <v>-290.7982245</v>
      </c>
      <c r="X46" s="36">
        <v>-189.75900000000001</v>
      </c>
      <c r="Y46" s="92">
        <f t="shared" si="12"/>
        <v>-0.25167377453250095</v>
      </c>
    </row>
    <row r="47" spans="1:25" x14ac:dyDescent="0.2">
      <c r="A47" s="1" t="s">
        <v>109</v>
      </c>
      <c r="B47" s="1" t="s">
        <v>110</v>
      </c>
      <c r="C47" s="36" t="s">
        <v>506</v>
      </c>
      <c r="D47" s="36">
        <v>6666.2766000000001</v>
      </c>
      <c r="E47" s="36">
        <v>9733.1316000000006</v>
      </c>
      <c r="F47" s="36"/>
      <c r="G47" s="36">
        <v>3755.2129999999997</v>
      </c>
      <c r="H47" s="36">
        <v>3945.0750000000003</v>
      </c>
      <c r="I47" s="36">
        <f t="shared" si="6"/>
        <v>2.4671600920134598</v>
      </c>
      <c r="J47" s="44">
        <v>5.0559582106261436E-2</v>
      </c>
      <c r="K47" s="36">
        <v>1077.0209764404296</v>
      </c>
      <c r="L47" s="36">
        <v>38.840000000000003</v>
      </c>
      <c r="M47" s="94">
        <f t="shared" si="7"/>
        <v>0.28680689389401604</v>
      </c>
      <c r="N47" s="36">
        <v>0</v>
      </c>
      <c r="O47" s="36">
        <f t="shared" si="8"/>
        <v>0</v>
      </c>
      <c r="P47" s="36" t="s">
        <v>480</v>
      </c>
      <c r="Q47" s="36" t="e">
        <f t="shared" si="9"/>
        <v>#VALUE!</v>
      </c>
      <c r="R47" s="36" t="s">
        <v>480</v>
      </c>
      <c r="S47" s="36" t="e">
        <f t="shared" si="10"/>
        <v>#VALUE!</v>
      </c>
      <c r="T47" s="36">
        <v>972.27599999999995</v>
      </c>
      <c r="U47" s="36">
        <v>1138.2860000000001</v>
      </c>
      <c r="V47" s="36">
        <f t="shared" si="11"/>
        <v>0.2589136754692743</v>
      </c>
      <c r="W47" s="36">
        <v>307.796316586464</v>
      </c>
      <c r="X47" s="36">
        <v>431.33300000000003</v>
      </c>
      <c r="Y47" s="92">
        <f t="shared" si="12"/>
        <v>8.1965075372945298E-2</v>
      </c>
    </row>
    <row r="48" spans="1:25" x14ac:dyDescent="0.2">
      <c r="A48" s="1" t="s">
        <v>113</v>
      </c>
      <c r="B48" s="1" t="s">
        <v>114</v>
      </c>
      <c r="C48" s="36" t="s">
        <v>495</v>
      </c>
      <c r="D48" s="36">
        <v>6043.8905999999997</v>
      </c>
      <c r="E48" s="36">
        <v>5616.1094999999996</v>
      </c>
      <c r="F48" s="36"/>
      <c r="G48" s="36">
        <v>507.88499999999999</v>
      </c>
      <c r="H48" s="36">
        <v>667.96900000000005</v>
      </c>
      <c r="I48" s="36">
        <f t="shared" si="6"/>
        <v>8.4077397304365906</v>
      </c>
      <c r="J48" s="44">
        <v>0.31519733798005456</v>
      </c>
      <c r="K48" s="36">
        <v>356.01800524902342</v>
      </c>
      <c r="L48" s="36">
        <v>73.061000000000007</v>
      </c>
      <c r="M48" s="94">
        <f t="shared" si="7"/>
        <v>0.70098153174246813</v>
      </c>
      <c r="N48" s="36">
        <v>115.291</v>
      </c>
      <c r="O48" s="36">
        <f t="shared" si="8"/>
        <v>0.2270021756893785</v>
      </c>
      <c r="P48" s="36">
        <v>220.74199999999999</v>
      </c>
      <c r="Q48" s="36">
        <f t="shared" si="9"/>
        <v>0.43462988668694685</v>
      </c>
      <c r="R48" s="36">
        <v>81.680000000000007</v>
      </c>
      <c r="S48" s="36">
        <f t="shared" si="10"/>
        <v>0.1608238085393347</v>
      </c>
      <c r="T48" s="36">
        <v>-86.045139240506003</v>
      </c>
      <c r="U48" s="36">
        <v>50.771999999999998</v>
      </c>
      <c r="V48" s="36">
        <f t="shared" si="11"/>
        <v>-0.16941854797937722</v>
      </c>
      <c r="W48" s="36">
        <v>-115.405</v>
      </c>
      <c r="X48" s="36">
        <v>25.371000000000002</v>
      </c>
      <c r="Y48" s="92">
        <f t="shared" si="12"/>
        <v>-0.22722663595105191</v>
      </c>
    </row>
    <row r="49" spans="1:25" x14ac:dyDescent="0.2">
      <c r="A49" s="1" t="s">
        <v>115</v>
      </c>
      <c r="B49" s="1" t="s">
        <v>116</v>
      </c>
      <c r="C49" s="36" t="s">
        <v>495</v>
      </c>
      <c r="D49" s="36">
        <v>5895.5968999999996</v>
      </c>
      <c r="E49" s="36">
        <v>5688.8769000000002</v>
      </c>
      <c r="F49" s="36"/>
      <c r="G49" s="36">
        <v>581.47399999999993</v>
      </c>
      <c r="H49" s="36">
        <v>724.625</v>
      </c>
      <c r="I49" s="36">
        <f t="shared" si="6"/>
        <v>7.8507875107814389</v>
      </c>
      <c r="J49" s="44">
        <v>0.24618641590165691</v>
      </c>
      <c r="K49" s="36">
        <v>443.33000299072262</v>
      </c>
      <c r="L49" s="36">
        <v>77.007999999999996</v>
      </c>
      <c r="M49" s="94">
        <f t="shared" si="7"/>
        <v>0.762424464362504</v>
      </c>
      <c r="N49" s="36">
        <v>75.147999999999996</v>
      </c>
      <c r="O49" s="36">
        <f t="shared" si="8"/>
        <v>0.12923707680824939</v>
      </c>
      <c r="P49" s="36">
        <v>260.06900000000002</v>
      </c>
      <c r="Q49" s="36">
        <f t="shared" si="9"/>
        <v>0.44725817491409769</v>
      </c>
      <c r="R49" s="36">
        <v>72.313000000000002</v>
      </c>
      <c r="S49" s="36">
        <f t="shared" si="10"/>
        <v>0.1243615363713597</v>
      </c>
      <c r="T49" s="36">
        <v>1.981681596884</v>
      </c>
      <c r="U49" s="36">
        <v>88.007999999999996</v>
      </c>
      <c r="V49" s="36">
        <f t="shared" si="11"/>
        <v>3.4080313081651117E-3</v>
      </c>
      <c r="W49" s="36">
        <v>-22.126999999999999</v>
      </c>
      <c r="X49" s="36">
        <v>62.160000000000004</v>
      </c>
      <c r="Y49" s="92">
        <f t="shared" si="12"/>
        <v>-3.8053292150637866E-2</v>
      </c>
    </row>
    <row r="50" spans="1:25" x14ac:dyDescent="0.2">
      <c r="A50" s="1" t="s">
        <v>117</v>
      </c>
      <c r="B50" s="1" t="s">
        <v>118</v>
      </c>
      <c r="C50" s="36" t="s">
        <v>495</v>
      </c>
      <c r="D50" s="36">
        <v>5899.6878999999999</v>
      </c>
      <c r="E50" s="36">
        <v>6521.5419000000002</v>
      </c>
      <c r="F50" s="36"/>
      <c r="G50" s="36">
        <v>1005.8890000000001</v>
      </c>
      <c r="H50" s="36">
        <v>1083.6669999999999</v>
      </c>
      <c r="I50" s="36">
        <f t="shared" si="6"/>
        <v>6.0180312771358739</v>
      </c>
      <c r="J50" s="44">
        <v>7.732264693221591E-2</v>
      </c>
      <c r="K50" s="36">
        <v>699.41901611328126</v>
      </c>
      <c r="L50" s="36">
        <v>72.05</v>
      </c>
      <c r="M50" s="94">
        <f t="shared" si="7"/>
        <v>0.69532425159563449</v>
      </c>
      <c r="N50" s="36">
        <v>110.86999999999999</v>
      </c>
      <c r="O50" s="36">
        <f t="shared" si="8"/>
        <v>0.11022090906650732</v>
      </c>
      <c r="P50" s="36" t="s">
        <v>480</v>
      </c>
      <c r="Q50" s="36" t="e">
        <f t="shared" si="9"/>
        <v>#VALUE!</v>
      </c>
      <c r="R50" s="36" t="s">
        <v>480</v>
      </c>
      <c r="S50" s="36" t="e">
        <f t="shared" si="10"/>
        <v>#VALUE!</v>
      </c>
      <c r="T50" s="36">
        <v>228.197</v>
      </c>
      <c r="U50" s="36">
        <v>336.8</v>
      </c>
      <c r="V50" s="36">
        <f t="shared" si="11"/>
        <v>0.2268610154798392</v>
      </c>
      <c r="W50" s="36">
        <v>130.87135000000001</v>
      </c>
      <c r="X50" s="36">
        <v>217.4</v>
      </c>
      <c r="Y50" s="92">
        <f t="shared" si="12"/>
        <v>0.13010516070858713</v>
      </c>
    </row>
    <row r="51" spans="1:25" x14ac:dyDescent="0.2">
      <c r="A51" s="1" t="s">
        <v>119</v>
      </c>
      <c r="B51" s="1" t="s">
        <v>120</v>
      </c>
      <c r="C51" s="36" t="s">
        <v>506</v>
      </c>
      <c r="D51" s="36">
        <v>5740.0319</v>
      </c>
      <c r="E51" s="36">
        <v>5499.3319000000001</v>
      </c>
      <c r="F51" s="36"/>
      <c r="G51" s="36">
        <v>2491.8389999999999</v>
      </c>
      <c r="H51" s="36">
        <v>2815.54</v>
      </c>
      <c r="I51" s="36">
        <f t="shared" si="6"/>
        <v>1.9532068093509594</v>
      </c>
      <c r="J51" s="44">
        <v>0.12990446011961443</v>
      </c>
      <c r="K51" s="36">
        <v>1021.3030059814453</v>
      </c>
      <c r="L51" s="36">
        <v>39.6</v>
      </c>
      <c r="M51" s="94">
        <f t="shared" si="7"/>
        <v>0.40985914659070882</v>
      </c>
      <c r="N51" s="36">
        <v>0</v>
      </c>
      <c r="O51" s="36">
        <f t="shared" si="8"/>
        <v>0</v>
      </c>
      <c r="P51" s="36" t="s">
        <v>480</v>
      </c>
      <c r="Q51" s="36" t="e">
        <f t="shared" si="9"/>
        <v>#VALUE!</v>
      </c>
      <c r="R51" s="36" t="s">
        <v>480</v>
      </c>
      <c r="S51" s="36" t="e">
        <f t="shared" si="10"/>
        <v>#VALUE!</v>
      </c>
      <c r="T51" s="36">
        <v>464.61600000000004</v>
      </c>
      <c r="U51" s="36">
        <v>577.71699999999998</v>
      </c>
      <c r="V51" s="36">
        <f t="shared" si="11"/>
        <v>0.18645506391062988</v>
      </c>
      <c r="W51" s="36">
        <v>221.308428571429</v>
      </c>
      <c r="X51" s="36">
        <v>354.21300000000002</v>
      </c>
      <c r="Y51" s="92">
        <f t="shared" si="12"/>
        <v>8.8813293544016694E-2</v>
      </c>
    </row>
    <row r="52" spans="1:25" x14ac:dyDescent="0.2">
      <c r="A52" s="1" t="s">
        <v>121</v>
      </c>
      <c r="B52" s="1" t="s">
        <v>122</v>
      </c>
      <c r="C52" s="36" t="s">
        <v>506</v>
      </c>
      <c r="D52" s="36">
        <v>5282.4870000000001</v>
      </c>
      <c r="E52" s="36">
        <v>6190.1469999999999</v>
      </c>
      <c r="F52" s="36"/>
      <c r="G52" s="36">
        <v>2860.71</v>
      </c>
      <c r="H52" s="36">
        <v>3102.7919999999999</v>
      </c>
      <c r="I52" s="36">
        <f t="shared" si="6"/>
        <v>1.9950248034673288</v>
      </c>
      <c r="J52" s="44">
        <v>8.4623048124416567E-2</v>
      </c>
      <c r="K52" s="36">
        <v>1068.4139918212891</v>
      </c>
      <c r="L52" s="36">
        <v>39.024999999999999</v>
      </c>
      <c r="M52" s="94">
        <f t="shared" si="7"/>
        <v>0.37347860909399733</v>
      </c>
      <c r="N52" s="36">
        <v>0</v>
      </c>
      <c r="O52" s="36">
        <f t="shared" si="8"/>
        <v>0</v>
      </c>
      <c r="P52" s="36" t="s">
        <v>480</v>
      </c>
      <c r="Q52" s="36" t="e">
        <f t="shared" si="9"/>
        <v>#VALUE!</v>
      </c>
      <c r="R52" s="36" t="s">
        <v>480</v>
      </c>
      <c r="S52" s="36" t="e">
        <f t="shared" si="10"/>
        <v>#VALUE!</v>
      </c>
      <c r="T52" s="36">
        <v>407.05099999999999</v>
      </c>
      <c r="U52" s="36">
        <v>514.5</v>
      </c>
      <c r="V52" s="36">
        <f t="shared" si="11"/>
        <v>0.14229020068444545</v>
      </c>
      <c r="W52" s="36">
        <v>271.84730999999999</v>
      </c>
      <c r="X52" s="36">
        <v>348.45100000000002</v>
      </c>
      <c r="Y52" s="92">
        <f t="shared" si="12"/>
        <v>9.5027916146690858E-2</v>
      </c>
    </row>
    <row r="53" spans="1:25" x14ac:dyDescent="0.2">
      <c r="A53" s="1" t="s">
        <v>123</v>
      </c>
      <c r="B53" s="1" t="s">
        <v>124</v>
      </c>
      <c r="C53" s="36" t="s">
        <v>495</v>
      </c>
      <c r="D53" s="36">
        <v>5142.1211000000003</v>
      </c>
      <c r="E53" s="36">
        <v>5264.8521000000001</v>
      </c>
      <c r="F53" s="36"/>
      <c r="G53" s="36">
        <v>774.29099999999994</v>
      </c>
      <c r="H53" s="36">
        <v>940.42899999999997</v>
      </c>
      <c r="I53" s="36">
        <f t="shared" si="6"/>
        <v>5.5983514970295474</v>
      </c>
      <c r="J53" s="44">
        <v>0.21456790793125591</v>
      </c>
      <c r="K53" s="36">
        <v>470.14299932861331</v>
      </c>
      <c r="L53" s="36">
        <v>64.5</v>
      </c>
      <c r="M53" s="94">
        <f t="shared" si="7"/>
        <v>0.60719161055548021</v>
      </c>
      <c r="N53" s="36">
        <v>89.451999999999998</v>
      </c>
      <c r="O53" s="36">
        <f t="shared" si="8"/>
        <v>0.11552762462691676</v>
      </c>
      <c r="P53" s="36">
        <v>165.07900000000001</v>
      </c>
      <c r="Q53" s="36">
        <f t="shared" si="9"/>
        <v>0.21320020509085089</v>
      </c>
      <c r="R53" s="36">
        <v>112.97499999999999</v>
      </c>
      <c r="S53" s="36">
        <f t="shared" si="10"/>
        <v>0.14590767553800832</v>
      </c>
      <c r="T53" s="36">
        <v>151.96100000000001</v>
      </c>
      <c r="U53" s="36">
        <v>254.5</v>
      </c>
      <c r="V53" s="36">
        <f t="shared" si="11"/>
        <v>0.19625825432557015</v>
      </c>
      <c r="W53" s="36">
        <v>39.375608755979997</v>
      </c>
      <c r="X53" s="36">
        <v>147.19200000000001</v>
      </c>
      <c r="Y53" s="92">
        <f t="shared" si="12"/>
        <v>5.0853760092755822E-2</v>
      </c>
    </row>
    <row r="54" spans="1:25" x14ac:dyDescent="0.2">
      <c r="A54" s="1" t="s">
        <v>127</v>
      </c>
      <c r="B54" s="1" t="s">
        <v>128</v>
      </c>
      <c r="C54" s="36" t="s">
        <v>505</v>
      </c>
      <c r="D54" s="36">
        <v>5107.2048999999997</v>
      </c>
      <c r="E54" s="36">
        <v>5177.2318999999998</v>
      </c>
      <c r="F54" s="36"/>
      <c r="G54" s="36">
        <v>614.04600000000005</v>
      </c>
      <c r="H54" s="36">
        <v>792.19399999999996</v>
      </c>
      <c r="I54" s="36">
        <f t="shared" si="6"/>
        <v>6.5353081442171996</v>
      </c>
      <c r="J54" s="44">
        <v>0.29012158698208257</v>
      </c>
      <c r="K54" s="36">
        <v>439.7080033569336</v>
      </c>
      <c r="L54" s="36">
        <v>77.510000000000005</v>
      </c>
      <c r="M54" s="94">
        <f t="shared" si="7"/>
        <v>0.71608316536046746</v>
      </c>
      <c r="N54" s="36">
        <v>129.803</v>
      </c>
      <c r="O54" s="36">
        <f t="shared" si="8"/>
        <v>0.21138970044589492</v>
      </c>
      <c r="P54" s="36">
        <v>258.83699999999999</v>
      </c>
      <c r="Q54" s="36">
        <f t="shared" si="9"/>
        <v>0.42152705171925225</v>
      </c>
      <c r="R54" s="36">
        <v>52.734999999999999</v>
      </c>
      <c r="S54" s="36">
        <f t="shared" si="10"/>
        <v>8.5881188054315147E-2</v>
      </c>
      <c r="T54" s="36">
        <v>-23.048000000000005</v>
      </c>
      <c r="U54" s="36">
        <v>135.55000000000001</v>
      </c>
      <c r="V54" s="36">
        <f t="shared" si="11"/>
        <v>-3.7534647241411888E-2</v>
      </c>
      <c r="W54" s="36">
        <v>-78.538188416806008</v>
      </c>
      <c r="X54" s="36">
        <v>74.016999999999996</v>
      </c>
      <c r="Y54" s="92">
        <f t="shared" si="12"/>
        <v>-0.12790277669230971</v>
      </c>
    </row>
    <row r="55" spans="1:25" x14ac:dyDescent="0.2">
      <c r="A55" s="1" t="s">
        <v>129</v>
      </c>
      <c r="B55" s="1" t="s">
        <v>130</v>
      </c>
      <c r="C55" s="36" t="s">
        <v>495</v>
      </c>
      <c r="D55" s="36">
        <v>4998.8274000000001</v>
      </c>
      <c r="E55" s="36">
        <v>4738.1673000000001</v>
      </c>
      <c r="F55" s="36"/>
      <c r="G55" s="36">
        <v>441.399</v>
      </c>
      <c r="H55" s="36">
        <v>558.06700000000001</v>
      </c>
      <c r="I55" s="36">
        <f t="shared" si="6"/>
        <v>8.490319800310715</v>
      </c>
      <c r="J55" s="44">
        <v>0.26431414661111607</v>
      </c>
      <c r="K55" s="36">
        <v>354.10500488281252</v>
      </c>
      <c r="L55" s="36">
        <v>81.478999999999999</v>
      </c>
      <c r="M55" s="94">
        <f t="shared" si="7"/>
        <v>0.80223336455862504</v>
      </c>
      <c r="N55" s="36">
        <v>70.37299999999999</v>
      </c>
      <c r="O55" s="36">
        <f t="shared" si="8"/>
        <v>0.15943171597579511</v>
      </c>
      <c r="P55" s="36">
        <v>212.85900000000001</v>
      </c>
      <c r="Q55" s="36">
        <f t="shared" si="9"/>
        <v>0.48223715957670954</v>
      </c>
      <c r="R55" s="36">
        <v>56.786999999999999</v>
      </c>
      <c r="S55" s="36">
        <f t="shared" si="10"/>
        <v>0.12865230777595779</v>
      </c>
      <c r="T55" s="36">
        <v>-24.503810126582</v>
      </c>
      <c r="U55" s="36">
        <v>59.963000000000001</v>
      </c>
      <c r="V55" s="36">
        <f t="shared" si="11"/>
        <v>-5.5513968374604379E-2</v>
      </c>
      <c r="W55" s="36">
        <v>-55.844099999999997</v>
      </c>
      <c r="X55" s="36">
        <v>37.355000000000004</v>
      </c>
      <c r="Y55" s="92">
        <f t="shared" si="12"/>
        <v>-0.1265161452563327</v>
      </c>
    </row>
    <row r="56" spans="1:25" x14ac:dyDescent="0.2">
      <c r="A56" s="1" t="s">
        <v>131</v>
      </c>
      <c r="B56" s="1" t="s">
        <v>132</v>
      </c>
      <c r="C56" s="36" t="s">
        <v>505</v>
      </c>
      <c r="D56" s="36">
        <v>4889.1738999999998</v>
      </c>
      <c r="E56" s="36">
        <v>3355.8386999999998</v>
      </c>
      <c r="F56" s="36"/>
      <c r="G56" s="36">
        <v>882</v>
      </c>
      <c r="H56" s="36">
        <v>905.96699999999998</v>
      </c>
      <c r="I56" s="36">
        <f t="shared" si="6"/>
        <v>3.7041511445781135</v>
      </c>
      <c r="J56" s="44">
        <v>2.7173469387755E-2</v>
      </c>
      <c r="K56" s="36">
        <v>675</v>
      </c>
      <c r="L56" s="36">
        <v>75.55</v>
      </c>
      <c r="M56" s="94">
        <f t="shared" si="7"/>
        <v>0.76530612244897955</v>
      </c>
      <c r="N56" s="36">
        <v>239</v>
      </c>
      <c r="O56" s="36">
        <f t="shared" si="8"/>
        <v>0.27097505668934241</v>
      </c>
      <c r="P56" s="36">
        <v>0</v>
      </c>
      <c r="Q56" s="36">
        <f t="shared" si="9"/>
        <v>0</v>
      </c>
      <c r="R56" s="36" t="s">
        <v>480</v>
      </c>
      <c r="S56" s="36" t="e">
        <f t="shared" si="10"/>
        <v>#VALUE!</v>
      </c>
      <c r="T56" s="36">
        <v>74</v>
      </c>
      <c r="U56" s="36">
        <v>159.923</v>
      </c>
      <c r="V56" s="36">
        <f t="shared" si="11"/>
        <v>8.390022675736962E-2</v>
      </c>
      <c r="W56" s="36">
        <v>-68.715000000000003</v>
      </c>
      <c r="X56" s="36">
        <v>88.109000000000009</v>
      </c>
      <c r="Y56" s="92">
        <f t="shared" si="12"/>
        <v>-7.7908163265306127E-2</v>
      </c>
    </row>
    <row r="57" spans="1:25" x14ac:dyDescent="0.2">
      <c r="A57" s="1" t="s">
        <v>133</v>
      </c>
      <c r="B57" s="1" t="s">
        <v>134</v>
      </c>
      <c r="C57" s="36" t="s">
        <v>495</v>
      </c>
      <c r="D57" s="36">
        <v>5030.9390999999996</v>
      </c>
      <c r="E57" s="36">
        <v>6274.3391000000001</v>
      </c>
      <c r="F57" s="36"/>
      <c r="G57" s="36">
        <v>750.7</v>
      </c>
      <c r="H57" s="36">
        <v>763.30000000000007</v>
      </c>
      <c r="I57" s="36">
        <f t="shared" si="6"/>
        <v>8.2200171623214988</v>
      </c>
      <c r="J57" s="44">
        <v>1.6784334621020358E-2</v>
      </c>
      <c r="K57" s="36">
        <v>293.00000000000006</v>
      </c>
      <c r="L57" s="36">
        <v>42.375</v>
      </c>
      <c r="M57" s="94">
        <f t="shared" si="7"/>
        <v>0.39030238444118825</v>
      </c>
      <c r="N57" s="36">
        <v>0</v>
      </c>
      <c r="O57" s="36">
        <f t="shared" si="8"/>
        <v>0</v>
      </c>
      <c r="P57" s="36" t="s">
        <v>480</v>
      </c>
      <c r="Q57" s="36" t="e">
        <f t="shared" si="9"/>
        <v>#VALUE!</v>
      </c>
      <c r="R57" s="36" t="s">
        <v>480</v>
      </c>
      <c r="S57" s="36" t="e">
        <f t="shared" si="10"/>
        <v>#VALUE!</v>
      </c>
      <c r="T57" s="36">
        <v>90.5</v>
      </c>
      <c r="U57" s="36">
        <v>163.22800000000001</v>
      </c>
      <c r="V57" s="36">
        <f t="shared" si="11"/>
        <v>0.12055414946050352</v>
      </c>
      <c r="W57" s="36">
        <v>-9.1999999999999993</v>
      </c>
      <c r="X57" s="36">
        <v>49.454999999999998</v>
      </c>
      <c r="Y57" s="92">
        <f t="shared" si="12"/>
        <v>-1.2255228453443451E-2</v>
      </c>
    </row>
    <row r="58" spans="1:25" x14ac:dyDescent="0.2">
      <c r="A58" s="1" t="s">
        <v>135</v>
      </c>
      <c r="B58" s="1" t="s">
        <v>136</v>
      </c>
      <c r="C58" s="36" t="s">
        <v>495</v>
      </c>
      <c r="D58" s="36">
        <v>4912.9336000000003</v>
      </c>
      <c r="E58" s="36">
        <v>6727.3046000000004</v>
      </c>
      <c r="F58" s="36"/>
      <c r="G58" s="36">
        <v>2007.8210000000001</v>
      </c>
      <c r="H58" s="36">
        <v>2103.1669999999999</v>
      </c>
      <c r="I58" s="36">
        <f t="shared" si="6"/>
        <v>3.1986545053245892</v>
      </c>
      <c r="J58" s="44">
        <v>4.7487300909792252E-2</v>
      </c>
      <c r="K58" s="36">
        <v>1132.4420061035157</v>
      </c>
      <c r="L58" s="36">
        <v>63.65</v>
      </c>
      <c r="M58" s="94">
        <f t="shared" si="7"/>
        <v>0.56401542074891919</v>
      </c>
      <c r="N58" s="36">
        <v>266.09699999999998</v>
      </c>
      <c r="O58" s="36">
        <f t="shared" si="8"/>
        <v>0.13253024049454606</v>
      </c>
      <c r="P58" s="36">
        <v>398.13</v>
      </c>
      <c r="Q58" s="36">
        <f t="shared" si="9"/>
        <v>0.19828958856392076</v>
      </c>
      <c r="R58" s="36">
        <v>166.67699999999999</v>
      </c>
      <c r="S58" s="36">
        <f t="shared" si="10"/>
        <v>8.3013874244765834E-2</v>
      </c>
      <c r="T58" s="36">
        <v>344.83600000000001</v>
      </c>
      <c r="U58" s="36">
        <v>589</v>
      </c>
      <c r="V58" s="36">
        <f t="shared" si="11"/>
        <v>0.17174638575849141</v>
      </c>
      <c r="W58" s="36">
        <v>21.322419709094</v>
      </c>
      <c r="X58" s="36">
        <v>352.72500000000002</v>
      </c>
      <c r="Y58" s="92">
        <f t="shared" si="12"/>
        <v>1.0619681589690514E-2</v>
      </c>
    </row>
    <row r="59" spans="1:25" x14ac:dyDescent="0.2">
      <c r="A59" s="1" t="s">
        <v>137</v>
      </c>
      <c r="B59" s="1" t="s">
        <v>138</v>
      </c>
      <c r="C59" s="36" t="s">
        <v>495</v>
      </c>
      <c r="D59" s="36">
        <v>4775.0842000000002</v>
      </c>
      <c r="E59" s="36">
        <v>4436.8191999999999</v>
      </c>
      <c r="F59" s="36"/>
      <c r="G59" s="36">
        <v>383.18099999999998</v>
      </c>
      <c r="H59" s="36">
        <v>489.97500000000002</v>
      </c>
      <c r="I59" s="36">
        <f t="shared" si="6"/>
        <v>9.0551950609724976</v>
      </c>
      <c r="J59" s="44">
        <v>0.27870379794405276</v>
      </c>
      <c r="K59" s="36">
        <v>318.38299798583984</v>
      </c>
      <c r="L59" s="36">
        <v>83.225000000000009</v>
      </c>
      <c r="M59" s="94">
        <f t="shared" si="7"/>
        <v>0.83089453283393444</v>
      </c>
      <c r="N59" s="36">
        <v>74.331999999999994</v>
      </c>
      <c r="O59" s="36">
        <f t="shared" si="8"/>
        <v>0.1939866538267816</v>
      </c>
      <c r="P59" s="36">
        <v>207.02099999999999</v>
      </c>
      <c r="Q59" s="36">
        <f t="shared" si="9"/>
        <v>0.54026948100245054</v>
      </c>
      <c r="R59" s="36">
        <v>57.787999999999997</v>
      </c>
      <c r="S59" s="36">
        <f t="shared" si="10"/>
        <v>0.1508112354213805</v>
      </c>
      <c r="T59" s="36">
        <v>-2.2589999999999986</v>
      </c>
      <c r="U59" s="36">
        <v>54.381999999999998</v>
      </c>
      <c r="V59" s="36">
        <f t="shared" si="11"/>
        <v>-5.8953862534937762E-3</v>
      </c>
      <c r="W59" s="36">
        <v>-33.405200000000001</v>
      </c>
      <c r="X59" s="36">
        <v>28.193000000000001</v>
      </c>
      <c r="Y59" s="92">
        <f t="shared" si="12"/>
        <v>-8.7178644035064382E-2</v>
      </c>
    </row>
    <row r="60" spans="1:25" x14ac:dyDescent="0.2">
      <c r="A60" s="1" t="s">
        <v>139</v>
      </c>
      <c r="B60" s="1" t="s">
        <v>140</v>
      </c>
      <c r="C60" s="36" t="s">
        <v>495</v>
      </c>
      <c r="D60" s="36">
        <v>4558.2957999999999</v>
      </c>
      <c r="E60" s="36">
        <v>4485.9957999999997</v>
      </c>
      <c r="F60" s="36"/>
      <c r="G60" s="36">
        <v>509.43599999999998</v>
      </c>
      <c r="H60" s="36">
        <v>735.4</v>
      </c>
      <c r="I60" s="36">
        <f t="shared" si="6"/>
        <v>6.1000758770737011</v>
      </c>
      <c r="J60" s="44">
        <v>0.44355718873420802</v>
      </c>
      <c r="K60" s="36">
        <v>281.04199999999997</v>
      </c>
      <c r="L60" s="36">
        <v>63.5</v>
      </c>
      <c r="M60" s="94">
        <f t="shared" si="7"/>
        <v>0.55167283034571557</v>
      </c>
      <c r="N60" s="36">
        <v>160.947</v>
      </c>
      <c r="O60" s="36">
        <f t="shared" si="8"/>
        <v>0.31593173627305493</v>
      </c>
      <c r="P60" s="36">
        <v>221.18700000000001</v>
      </c>
      <c r="Q60" s="36">
        <f t="shared" si="9"/>
        <v>0.43418015216828026</v>
      </c>
      <c r="R60" s="36">
        <v>67.203999999999994</v>
      </c>
      <c r="S60" s="36">
        <f t="shared" si="10"/>
        <v>0.13191843528922179</v>
      </c>
      <c r="T60" s="36">
        <v>-146.059</v>
      </c>
      <c r="U60" s="36">
        <v>-47.813000000000002</v>
      </c>
      <c r="V60" s="36">
        <f t="shared" si="11"/>
        <v>-0.2867072605783651</v>
      </c>
      <c r="W60" s="36">
        <v>-163.51499999999999</v>
      </c>
      <c r="X60" s="36">
        <v>-73.906999999999996</v>
      </c>
      <c r="Y60" s="92">
        <f t="shared" si="12"/>
        <v>-0.32097260499846886</v>
      </c>
    </row>
    <row r="61" spans="1:25" x14ac:dyDescent="0.2">
      <c r="A61" s="1" t="s">
        <v>147</v>
      </c>
      <c r="B61" s="1" t="s">
        <v>148</v>
      </c>
      <c r="C61" s="36" t="s">
        <v>495</v>
      </c>
      <c r="D61" s="36">
        <v>4131.2433000000001</v>
      </c>
      <c r="E61" s="36">
        <v>3887.6603</v>
      </c>
      <c r="F61" s="36"/>
      <c r="G61" s="36">
        <v>851.31600000000003</v>
      </c>
      <c r="H61" s="36">
        <v>927.80000000000007</v>
      </c>
      <c r="I61" s="36">
        <f t="shared" si="6"/>
        <v>4.1901921750377236</v>
      </c>
      <c r="J61" s="44">
        <v>8.9842079791757845E-2</v>
      </c>
      <c r="K61" s="36">
        <v>558.17699633789061</v>
      </c>
      <c r="L61" s="36">
        <v>64.025000000000006</v>
      </c>
      <c r="M61" s="94">
        <f t="shared" si="7"/>
        <v>0.65566369754343934</v>
      </c>
      <c r="N61" s="36">
        <v>162.886</v>
      </c>
      <c r="O61" s="36">
        <f t="shared" si="8"/>
        <v>0.19133435762983428</v>
      </c>
      <c r="P61" s="36">
        <v>307.20999999999998</v>
      </c>
      <c r="Q61" s="36">
        <f t="shared" si="9"/>
        <v>0.36086482575212958</v>
      </c>
      <c r="R61" s="36">
        <v>52.152999999999999</v>
      </c>
      <c r="S61" s="36">
        <f t="shared" si="10"/>
        <v>6.1261623181051453E-2</v>
      </c>
      <c r="T61" s="36">
        <v>16.656999999999996</v>
      </c>
      <c r="U61" s="36">
        <v>104.4</v>
      </c>
      <c r="V61" s="36">
        <f t="shared" si="11"/>
        <v>1.9566177541594419E-2</v>
      </c>
      <c r="W61" s="36">
        <v>16.697999999999997</v>
      </c>
      <c r="X61" s="36">
        <v>69.878</v>
      </c>
      <c r="Y61" s="92">
        <f t="shared" si="12"/>
        <v>1.9614338271570129E-2</v>
      </c>
    </row>
    <row r="62" spans="1:25" x14ac:dyDescent="0.2">
      <c r="A62" s="1" t="s">
        <v>149</v>
      </c>
      <c r="B62" s="1" t="s">
        <v>150</v>
      </c>
      <c r="C62" s="36" t="s">
        <v>506</v>
      </c>
      <c r="D62" s="36">
        <v>4143.2241999999997</v>
      </c>
      <c r="E62" s="36">
        <v>5314.2241999999997</v>
      </c>
      <c r="F62" s="36"/>
      <c r="G62" s="36">
        <v>5780</v>
      </c>
      <c r="H62" s="36">
        <v>5298.5830000000005</v>
      </c>
      <c r="I62" s="36">
        <f t="shared" si="6"/>
        <v>1.0029519590426343</v>
      </c>
      <c r="J62" s="44">
        <v>-8.3290138408304459E-2</v>
      </c>
      <c r="K62" s="36">
        <v>1057</v>
      </c>
      <c r="L62" s="36">
        <v>18.580000000000002</v>
      </c>
      <c r="M62" s="94">
        <f t="shared" si="7"/>
        <v>0.1828719723183391</v>
      </c>
      <c r="N62" s="36">
        <v>13</v>
      </c>
      <c r="O62" s="36">
        <f t="shared" si="8"/>
        <v>2.249134948096886E-3</v>
      </c>
      <c r="P62" s="36" t="s">
        <v>480</v>
      </c>
      <c r="Q62" s="36" t="e">
        <f t="shared" si="9"/>
        <v>#VALUE!</v>
      </c>
      <c r="R62" s="36" t="s">
        <v>480</v>
      </c>
      <c r="S62" s="36" t="e">
        <f t="shared" si="10"/>
        <v>#VALUE!</v>
      </c>
      <c r="T62" s="36">
        <v>689</v>
      </c>
      <c r="U62" s="36">
        <v>679.75</v>
      </c>
      <c r="V62" s="36">
        <f t="shared" si="11"/>
        <v>0.11920415224913494</v>
      </c>
      <c r="W62" s="36">
        <v>34.552340425531995</v>
      </c>
      <c r="X62" s="36">
        <v>248.583</v>
      </c>
      <c r="Y62" s="92">
        <f t="shared" si="12"/>
        <v>5.9779135684311412E-3</v>
      </c>
    </row>
    <row r="63" spans="1:25" x14ac:dyDescent="0.2">
      <c r="A63" s="1" t="s">
        <v>151</v>
      </c>
      <c r="B63" s="1" t="s">
        <v>152</v>
      </c>
      <c r="C63" s="36" t="s">
        <v>506</v>
      </c>
      <c r="D63" s="36">
        <v>4212.7368999999999</v>
      </c>
      <c r="E63" s="36">
        <v>3967.4378999999999</v>
      </c>
      <c r="F63" s="36"/>
      <c r="G63" s="36">
        <v>2454.6930000000002</v>
      </c>
      <c r="H63" s="36">
        <v>2523.6790000000001</v>
      </c>
      <c r="I63" s="36">
        <f t="shared" si="6"/>
        <v>1.5720849997166835</v>
      </c>
      <c r="J63" s="44">
        <v>2.8103718061688321E-2</v>
      </c>
      <c r="K63" s="36">
        <v>618.02799414062497</v>
      </c>
      <c r="L63" s="36">
        <v>24.150000000000002</v>
      </c>
      <c r="M63" s="94">
        <f t="shared" si="7"/>
        <v>0.25177404838023532</v>
      </c>
      <c r="N63" s="36">
        <v>0</v>
      </c>
      <c r="O63" s="36">
        <f t="shared" si="8"/>
        <v>0</v>
      </c>
      <c r="P63" s="36" t="s">
        <v>480</v>
      </c>
      <c r="Q63" s="36" t="e">
        <f t="shared" si="9"/>
        <v>#VALUE!</v>
      </c>
      <c r="R63" s="36" t="s">
        <v>480</v>
      </c>
      <c r="S63" s="36" t="e">
        <f t="shared" si="10"/>
        <v>#VALUE!</v>
      </c>
      <c r="T63" s="36">
        <v>376.36900000000003</v>
      </c>
      <c r="U63" s="36">
        <v>350.94</v>
      </c>
      <c r="V63" s="36">
        <f t="shared" si="11"/>
        <v>0.1533263019041485</v>
      </c>
      <c r="W63" s="36">
        <v>229.65975</v>
      </c>
      <c r="X63" s="36">
        <v>216.108</v>
      </c>
      <c r="Y63" s="92">
        <f t="shared" si="12"/>
        <v>9.3559459370275627E-2</v>
      </c>
    </row>
    <row r="64" spans="1:25" x14ac:dyDescent="0.2">
      <c r="A64" s="1" t="s">
        <v>153</v>
      </c>
      <c r="B64" s="1" t="s">
        <v>154</v>
      </c>
      <c r="C64" s="36" t="s">
        <v>495</v>
      </c>
      <c r="D64" s="36">
        <v>4064.9578000000001</v>
      </c>
      <c r="E64" s="36">
        <v>4064.2968000000001</v>
      </c>
      <c r="F64" s="36"/>
      <c r="G64" s="36">
        <v>1130.17</v>
      </c>
      <c r="H64" s="36">
        <v>1221.8890000000001</v>
      </c>
      <c r="I64" s="36">
        <f t="shared" si="6"/>
        <v>3.3262405995961988</v>
      </c>
      <c r="J64" s="44">
        <v>8.1155047470734543E-2</v>
      </c>
      <c r="K64" s="36">
        <v>883.36700305175782</v>
      </c>
      <c r="L64" s="36">
        <v>82.8</v>
      </c>
      <c r="M64" s="94">
        <f t="shared" si="7"/>
        <v>0.78162312134613177</v>
      </c>
      <c r="N64" s="36">
        <v>156.73099999999999</v>
      </c>
      <c r="O64" s="36">
        <f t="shared" si="8"/>
        <v>0.13867913676703503</v>
      </c>
      <c r="P64" s="36">
        <v>346.96100000000001</v>
      </c>
      <c r="Q64" s="36">
        <f t="shared" si="9"/>
        <v>0.30699894706106162</v>
      </c>
      <c r="R64" s="36">
        <v>160.36600000000001</v>
      </c>
      <c r="S64" s="36">
        <f t="shared" si="10"/>
        <v>0.1418954670536291</v>
      </c>
      <c r="T64" s="36">
        <v>389.65500000000003</v>
      </c>
      <c r="U64" s="36">
        <v>448.25</v>
      </c>
      <c r="V64" s="36">
        <f t="shared" si="11"/>
        <v>0.34477556473804827</v>
      </c>
      <c r="W64" s="36">
        <v>85.247472264912005</v>
      </c>
      <c r="X64" s="36">
        <v>282.01300000000003</v>
      </c>
      <c r="Y64" s="92">
        <f t="shared" si="12"/>
        <v>7.5428893232798611E-2</v>
      </c>
    </row>
    <row r="65" spans="1:25" x14ac:dyDescent="0.2">
      <c r="A65" s="1" t="s">
        <v>155</v>
      </c>
      <c r="B65" s="1" t="s">
        <v>156</v>
      </c>
      <c r="C65" s="36" t="s">
        <v>495</v>
      </c>
      <c r="D65" s="36">
        <v>3530.201</v>
      </c>
      <c r="E65" s="36">
        <v>3256.0626999999999</v>
      </c>
      <c r="F65" s="36"/>
      <c r="G65" s="36">
        <v>219.095</v>
      </c>
      <c r="H65" s="36">
        <v>265.79300000000001</v>
      </c>
      <c r="I65" s="36">
        <f t="shared" si="6"/>
        <v>12.250370401026363</v>
      </c>
      <c r="J65" s="44">
        <v>0.21314041853990284</v>
      </c>
      <c r="K65" s="36">
        <v>150.86900170898437</v>
      </c>
      <c r="L65" s="36">
        <v>71.73</v>
      </c>
      <c r="M65" s="94">
        <f t="shared" si="7"/>
        <v>0.68860084305431146</v>
      </c>
      <c r="N65" s="36">
        <v>44.536000000000001</v>
      </c>
      <c r="O65" s="36">
        <f t="shared" si="8"/>
        <v>0.20327255300212238</v>
      </c>
      <c r="P65" s="36">
        <v>88.721999999999994</v>
      </c>
      <c r="Q65" s="36">
        <f t="shared" si="9"/>
        <v>0.40494762545927565</v>
      </c>
      <c r="R65" s="36">
        <v>38.578000000000003</v>
      </c>
      <c r="S65" s="36">
        <f t="shared" si="10"/>
        <v>0.17607886989662019</v>
      </c>
      <c r="T65" s="36">
        <v>-34.963000000000001</v>
      </c>
      <c r="U65" s="36">
        <v>4.0910000000000002</v>
      </c>
      <c r="V65" s="36">
        <f t="shared" si="11"/>
        <v>-0.15957917798215387</v>
      </c>
      <c r="W65" s="36">
        <v>-49.332999999999998</v>
      </c>
      <c r="X65" s="36">
        <v>-6.7450000000000001</v>
      </c>
      <c r="Y65" s="92">
        <f t="shared" si="12"/>
        <v>-0.22516716492845568</v>
      </c>
    </row>
    <row r="66" spans="1:25" x14ac:dyDescent="0.2">
      <c r="A66" s="1" t="s">
        <v>157</v>
      </c>
      <c r="B66" s="1" t="s">
        <v>158</v>
      </c>
      <c r="C66" s="36" t="s">
        <v>495</v>
      </c>
      <c r="D66" s="36">
        <v>3622.2921999999999</v>
      </c>
      <c r="E66" s="36">
        <v>4272.2191999999995</v>
      </c>
      <c r="F66" s="36"/>
      <c r="G66" s="36">
        <v>1158.5079999999998</v>
      </c>
      <c r="H66" s="36">
        <v>1252.3330000000001</v>
      </c>
      <c r="I66" s="36">
        <f t="shared" si="6"/>
        <v>3.4114083075348165</v>
      </c>
      <c r="J66" s="44">
        <v>8.0987787740784078E-2</v>
      </c>
      <c r="K66" s="36">
        <v>974.26899780273436</v>
      </c>
      <c r="L66" s="36">
        <v>83.78</v>
      </c>
      <c r="M66" s="94">
        <f t="shared" ref="M66:M97" si="13">K66/G66</f>
        <v>0.84096872684757851</v>
      </c>
      <c r="N66" s="36">
        <v>46.003999999999998</v>
      </c>
      <c r="O66" s="36">
        <f t="shared" ref="O66:O97" si="14">N66/G66</f>
        <v>3.9709695573962374E-2</v>
      </c>
      <c r="P66" s="36">
        <v>330.29599999999999</v>
      </c>
      <c r="Q66" s="36">
        <f t="shared" ref="Q66:Q97" si="15">P66/G66</f>
        <v>0.28510463458172064</v>
      </c>
      <c r="R66" s="36">
        <v>323.517</v>
      </c>
      <c r="S66" s="36">
        <f t="shared" ref="S66:S97" si="16">R66/G66</f>
        <v>0.27925314283544012</v>
      </c>
      <c r="T66" s="36">
        <v>412.85069230769199</v>
      </c>
      <c r="U66" s="36">
        <v>528.46699999999998</v>
      </c>
      <c r="V66" s="36">
        <f t="shared" ref="V66:V97" si="17">T66/G66</f>
        <v>0.35636412722889443</v>
      </c>
      <c r="W66" s="36">
        <v>150.78399999999999</v>
      </c>
      <c r="X66" s="36">
        <v>330.483</v>
      </c>
      <c r="Y66" s="92">
        <f t="shared" ref="Y66:Y97" si="18">W66/G66</f>
        <v>0.1301536113691058</v>
      </c>
    </row>
    <row r="67" spans="1:25" x14ac:dyDescent="0.2">
      <c r="A67" s="1" t="s">
        <v>159</v>
      </c>
      <c r="B67" s="1" t="s">
        <v>160</v>
      </c>
      <c r="C67" s="36" t="s">
        <v>506</v>
      </c>
      <c r="D67" s="36">
        <v>3592.2889</v>
      </c>
      <c r="E67" s="36">
        <v>5315.9659000000001</v>
      </c>
      <c r="F67" s="36"/>
      <c r="G67" s="36">
        <v>1870.5889999999999</v>
      </c>
      <c r="H67" s="36">
        <v>1850.3410000000001</v>
      </c>
      <c r="I67" s="36">
        <f t="shared" ref="I67:I130" si="19">E67/H67</f>
        <v>2.8729655236521268</v>
      </c>
      <c r="J67" s="44">
        <v>-1.0824398090654719E-2</v>
      </c>
      <c r="K67" s="36">
        <v>918.13100402832038</v>
      </c>
      <c r="L67" s="36">
        <v>51.018000000000001</v>
      </c>
      <c r="M67" s="94">
        <f t="shared" si="13"/>
        <v>0.49082454992963198</v>
      </c>
      <c r="N67" s="36">
        <v>0</v>
      </c>
      <c r="O67" s="36">
        <f t="shared" si="14"/>
        <v>0</v>
      </c>
      <c r="P67" s="36" t="s">
        <v>480</v>
      </c>
      <c r="Q67" s="36" t="e">
        <f t="shared" si="15"/>
        <v>#VALUE!</v>
      </c>
      <c r="R67" s="36" t="s">
        <v>480</v>
      </c>
      <c r="S67" s="36" t="e">
        <f t="shared" si="16"/>
        <v>#VALUE!</v>
      </c>
      <c r="T67" s="36">
        <v>460.75</v>
      </c>
      <c r="U67" s="36">
        <v>487.44200000000001</v>
      </c>
      <c r="V67" s="36">
        <f t="shared" si="17"/>
        <v>0.24631279238785217</v>
      </c>
      <c r="W67" s="36">
        <v>156.14600000000002</v>
      </c>
      <c r="X67" s="36">
        <v>221.86700000000002</v>
      </c>
      <c r="Y67" s="92">
        <f t="shared" si="18"/>
        <v>8.3474242604869381E-2</v>
      </c>
    </row>
    <row r="68" spans="1:25" x14ac:dyDescent="0.2">
      <c r="A68" s="1" t="s">
        <v>161</v>
      </c>
      <c r="B68" s="1" t="s">
        <v>162</v>
      </c>
      <c r="C68" s="36" t="s">
        <v>495</v>
      </c>
      <c r="D68" s="36">
        <v>3651.6462000000001</v>
      </c>
      <c r="E68" s="36">
        <v>3162.8121999999998</v>
      </c>
      <c r="F68" s="36"/>
      <c r="G68" s="36">
        <v>346.63900000000001</v>
      </c>
      <c r="H68" s="36">
        <v>473.83300000000003</v>
      </c>
      <c r="I68" s="36">
        <f t="shared" si="19"/>
        <v>6.6749513014078792</v>
      </c>
      <c r="J68" s="44">
        <v>0.3669350534706135</v>
      </c>
      <c r="K68" s="36">
        <v>287.72500283813474</v>
      </c>
      <c r="L68" s="36">
        <v>78.55</v>
      </c>
      <c r="M68" s="94">
        <f t="shared" si="13"/>
        <v>0.83004221347896434</v>
      </c>
      <c r="N68" s="36">
        <v>45.925999999999995</v>
      </c>
      <c r="O68" s="36">
        <f t="shared" si="14"/>
        <v>0.13248941982869786</v>
      </c>
      <c r="P68" s="36">
        <v>150.923</v>
      </c>
      <c r="Q68" s="36">
        <f t="shared" si="15"/>
        <v>0.4353895551279573</v>
      </c>
      <c r="R68" s="36">
        <v>62.664999999999999</v>
      </c>
      <c r="S68" s="36">
        <f t="shared" si="16"/>
        <v>0.18077885061980908</v>
      </c>
      <c r="T68" s="36">
        <v>-26.742999999999999</v>
      </c>
      <c r="U68" s="36">
        <v>23.045000000000002</v>
      </c>
      <c r="V68" s="36">
        <f t="shared" si="17"/>
        <v>-7.7149426348448957E-2</v>
      </c>
      <c r="W68" s="36">
        <v>-47.448000000000008</v>
      </c>
      <c r="X68" s="36">
        <v>-2.9330000000000003</v>
      </c>
      <c r="Y68" s="92">
        <f t="shared" si="18"/>
        <v>-0.13688015485851276</v>
      </c>
    </row>
    <row r="69" spans="1:25" x14ac:dyDescent="0.2">
      <c r="A69" s="1" t="s">
        <v>163</v>
      </c>
      <c r="B69" s="1" t="s">
        <v>164</v>
      </c>
      <c r="C69" s="36" t="s">
        <v>495</v>
      </c>
      <c r="D69" s="36">
        <v>3424.6939000000002</v>
      </c>
      <c r="E69" s="36">
        <v>3579.8489</v>
      </c>
      <c r="F69" s="36"/>
      <c r="G69" s="36">
        <v>833.04499999999996</v>
      </c>
      <c r="H69" s="36">
        <v>871.04500000000007</v>
      </c>
      <c r="I69" s="36">
        <f t="shared" si="19"/>
        <v>4.1098323278361049</v>
      </c>
      <c r="J69" s="44">
        <v>4.5615783060939163E-2</v>
      </c>
      <c r="K69" s="36">
        <v>461.10500335693359</v>
      </c>
      <c r="L69" s="36">
        <v>61.056000000000004</v>
      </c>
      <c r="M69" s="94">
        <f t="shared" si="13"/>
        <v>0.55351752109061769</v>
      </c>
      <c r="N69" s="36">
        <v>89.911000000000001</v>
      </c>
      <c r="O69" s="36">
        <f t="shared" si="14"/>
        <v>0.10793054396821301</v>
      </c>
      <c r="P69" s="36">
        <v>173.52500000000001</v>
      </c>
      <c r="Q69" s="36">
        <f t="shared" si="15"/>
        <v>0.20830207251709093</v>
      </c>
      <c r="R69" s="36">
        <v>94.87</v>
      </c>
      <c r="S69" s="36">
        <f t="shared" si="16"/>
        <v>0.11388340365766557</v>
      </c>
      <c r="T69" s="36">
        <v>162.346</v>
      </c>
      <c r="U69" s="36">
        <v>184.31399999999999</v>
      </c>
      <c r="V69" s="36">
        <f t="shared" si="17"/>
        <v>0.19488262938976889</v>
      </c>
      <c r="W69" s="36">
        <v>80.155496400630994</v>
      </c>
      <c r="X69" s="36">
        <v>118.879</v>
      </c>
      <c r="Y69" s="92">
        <f t="shared" si="18"/>
        <v>9.621988776192282E-2</v>
      </c>
    </row>
    <row r="70" spans="1:25" x14ac:dyDescent="0.2">
      <c r="A70" s="1" t="s">
        <v>165</v>
      </c>
      <c r="B70" s="1" t="s">
        <v>166</v>
      </c>
      <c r="C70" s="36" t="s">
        <v>505</v>
      </c>
      <c r="D70" s="36">
        <v>3332.6280000000002</v>
      </c>
      <c r="E70" s="36">
        <v>3196.73</v>
      </c>
      <c r="F70" s="36"/>
      <c r="G70" s="36">
        <v>793.64200000000005</v>
      </c>
      <c r="H70" s="36">
        <v>853.05899999999997</v>
      </c>
      <c r="I70" s="36">
        <f t="shared" si="19"/>
        <v>3.7473726905173033</v>
      </c>
      <c r="J70" s="44">
        <v>7.4866249518044548E-2</v>
      </c>
      <c r="K70" s="36">
        <v>520.84100958251952</v>
      </c>
      <c r="L70" s="36">
        <v>74.894000000000005</v>
      </c>
      <c r="M70" s="94">
        <f t="shared" si="13"/>
        <v>0.65626694351170867</v>
      </c>
      <c r="N70" s="36">
        <v>243.273</v>
      </c>
      <c r="O70" s="36">
        <f t="shared" si="14"/>
        <v>0.30652737632332966</v>
      </c>
      <c r="P70" s="36">
        <v>371.935</v>
      </c>
      <c r="Q70" s="36">
        <f t="shared" si="15"/>
        <v>0.46864329256768161</v>
      </c>
      <c r="R70" s="36">
        <v>125.59699999999999</v>
      </c>
      <c r="S70" s="36">
        <f t="shared" si="16"/>
        <v>0.15825397345402586</v>
      </c>
      <c r="T70" s="36">
        <v>-128.273</v>
      </c>
      <c r="U70" s="36">
        <v>121.242</v>
      </c>
      <c r="V70" s="36">
        <f t="shared" si="17"/>
        <v>-0.1616257708135406</v>
      </c>
      <c r="W70" s="36">
        <v>-257.473708220025</v>
      </c>
      <c r="X70" s="36">
        <v>23.024000000000001</v>
      </c>
      <c r="Y70" s="92">
        <f t="shared" si="18"/>
        <v>-0.32442046693600513</v>
      </c>
    </row>
    <row r="71" spans="1:25" x14ac:dyDescent="0.2">
      <c r="A71" s="1" t="s">
        <v>167</v>
      </c>
      <c r="B71" s="1" t="s">
        <v>168</v>
      </c>
      <c r="C71" s="36" t="s">
        <v>495</v>
      </c>
      <c r="D71" s="36">
        <v>3339.4326000000001</v>
      </c>
      <c r="E71" s="36">
        <v>3202.2395999999999</v>
      </c>
      <c r="F71" s="36"/>
      <c r="G71" s="36">
        <v>377.52699999999999</v>
      </c>
      <c r="H71" s="36">
        <v>452.61400000000003</v>
      </c>
      <c r="I71" s="36">
        <f t="shared" si="19"/>
        <v>7.0749901682228113</v>
      </c>
      <c r="J71" s="44">
        <v>0.19889173489578238</v>
      </c>
      <c r="K71" s="36">
        <v>228.32999908447266</v>
      </c>
      <c r="L71" s="36">
        <v>66.656999999999996</v>
      </c>
      <c r="M71" s="94">
        <f t="shared" si="13"/>
        <v>0.60480442215913743</v>
      </c>
      <c r="N71" s="36">
        <v>37.644999999999996</v>
      </c>
      <c r="O71" s="36">
        <f t="shared" si="14"/>
        <v>9.9714722390716423E-2</v>
      </c>
      <c r="P71" s="36">
        <v>95.483999999999995</v>
      </c>
      <c r="Q71" s="36">
        <f t="shared" si="15"/>
        <v>0.25291965872639571</v>
      </c>
      <c r="R71" s="36">
        <v>79.251999999999995</v>
      </c>
      <c r="S71" s="36">
        <f t="shared" si="16"/>
        <v>0.20992405841171624</v>
      </c>
      <c r="T71" s="36">
        <v>46.511999999999993</v>
      </c>
      <c r="U71" s="36">
        <v>125.129</v>
      </c>
      <c r="V71" s="36">
        <f t="shared" si="17"/>
        <v>0.12320178424324617</v>
      </c>
      <c r="W71" s="36">
        <v>3.8283299999999998</v>
      </c>
      <c r="X71" s="36">
        <v>76.643000000000001</v>
      </c>
      <c r="Y71" s="92">
        <f t="shared" si="18"/>
        <v>1.0140546239076941E-2</v>
      </c>
    </row>
    <row r="72" spans="1:25" x14ac:dyDescent="0.2">
      <c r="A72" s="1" t="s">
        <v>169</v>
      </c>
      <c r="B72" s="1" t="s">
        <v>170</v>
      </c>
      <c r="C72" s="36" t="s">
        <v>495</v>
      </c>
      <c r="D72" s="36">
        <v>3406.6007</v>
      </c>
      <c r="E72" s="36">
        <v>3692.9135000000001</v>
      </c>
      <c r="F72" s="36"/>
      <c r="G72" s="36">
        <v>166.82400000000001</v>
      </c>
      <c r="H72" s="36">
        <v>257.7</v>
      </c>
      <c r="I72" s="36">
        <f t="shared" si="19"/>
        <v>14.330281334885527</v>
      </c>
      <c r="J72" s="44">
        <v>0.54474176377499628</v>
      </c>
      <c r="K72" s="36">
        <v>116.99600000000001</v>
      </c>
      <c r="L72" s="36">
        <v>75.674999999999997</v>
      </c>
      <c r="M72" s="94">
        <f t="shared" si="13"/>
        <v>0.70131395962211673</v>
      </c>
      <c r="N72" s="36">
        <v>0</v>
      </c>
      <c r="O72" s="36">
        <f t="shared" si="14"/>
        <v>0</v>
      </c>
      <c r="P72" s="36">
        <v>103.47799999999999</v>
      </c>
      <c r="Q72" s="36">
        <f t="shared" si="15"/>
        <v>0.62028245336402432</v>
      </c>
      <c r="R72" s="36">
        <v>46.970999999999997</v>
      </c>
      <c r="S72" s="36">
        <f t="shared" si="16"/>
        <v>0.28156020716443675</v>
      </c>
      <c r="T72" s="36">
        <v>-66.082999999999998</v>
      </c>
      <c r="U72" s="36">
        <v>-48.283000000000001</v>
      </c>
      <c r="V72" s="36">
        <f t="shared" si="17"/>
        <v>-0.39612405888840929</v>
      </c>
      <c r="W72" s="36">
        <v>-95.293880000000001</v>
      </c>
      <c r="X72" s="36">
        <v>-59.25</v>
      </c>
      <c r="Y72" s="92">
        <f t="shared" si="18"/>
        <v>-0.57122404450199005</v>
      </c>
    </row>
    <row r="73" spans="1:25" x14ac:dyDescent="0.2">
      <c r="A73" s="1" t="s">
        <v>171</v>
      </c>
      <c r="B73" s="1" t="s">
        <v>172</v>
      </c>
      <c r="C73" s="36" t="s">
        <v>495</v>
      </c>
      <c r="D73" s="36">
        <v>2926.9940999999999</v>
      </c>
      <c r="E73" s="36">
        <v>2833.0971</v>
      </c>
      <c r="F73" s="36"/>
      <c r="G73" s="36">
        <v>558.87699999999995</v>
      </c>
      <c r="H73" s="36">
        <v>561.4</v>
      </c>
      <c r="I73" s="36">
        <f t="shared" si="19"/>
        <v>5.0464857499109375</v>
      </c>
      <c r="J73" s="44">
        <v>4.5144101474923204E-3</v>
      </c>
      <c r="K73" s="36">
        <v>322.08900360107418</v>
      </c>
      <c r="L73" s="36">
        <v>56.7</v>
      </c>
      <c r="M73" s="94">
        <f t="shared" si="13"/>
        <v>0.57631465170524854</v>
      </c>
      <c r="N73" s="36">
        <v>57.704000000000001</v>
      </c>
      <c r="O73" s="36">
        <f t="shared" si="14"/>
        <v>0.10324991008755058</v>
      </c>
      <c r="P73" s="36">
        <v>47.481999999999999</v>
      </c>
      <c r="Q73" s="36">
        <f t="shared" si="15"/>
        <v>8.4959660175673718E-2</v>
      </c>
      <c r="R73" s="36">
        <v>46.054000000000002</v>
      </c>
      <c r="S73" s="36">
        <f t="shared" si="16"/>
        <v>8.2404536239637713E-2</v>
      </c>
      <c r="T73" s="36">
        <v>152.07</v>
      </c>
      <c r="U73" s="36">
        <v>131.92500000000001</v>
      </c>
      <c r="V73" s="36">
        <f t="shared" si="17"/>
        <v>0.27209922755812105</v>
      </c>
      <c r="W73" s="36">
        <v>105.80647999999999</v>
      </c>
      <c r="X73" s="36">
        <v>94.12</v>
      </c>
      <c r="Y73" s="92">
        <f t="shared" si="18"/>
        <v>0.18931979666366661</v>
      </c>
    </row>
    <row r="74" spans="1:25" x14ac:dyDescent="0.2">
      <c r="A74" s="1" t="s">
        <v>173</v>
      </c>
      <c r="B74" s="1" t="s">
        <v>174</v>
      </c>
      <c r="C74" s="36" t="s">
        <v>505</v>
      </c>
      <c r="D74" s="36">
        <v>2917.6007</v>
      </c>
      <c r="E74" s="36">
        <v>2532.3746999999998</v>
      </c>
      <c r="F74" s="36"/>
      <c r="G74" s="36">
        <v>255.43600000000001</v>
      </c>
      <c r="H74" s="36">
        <v>303.84500000000003</v>
      </c>
      <c r="I74" s="36">
        <f t="shared" si="19"/>
        <v>8.3344293965673266</v>
      </c>
      <c r="J74" s="44">
        <v>0.18951518188509064</v>
      </c>
      <c r="K74" s="36">
        <v>196.15400054931641</v>
      </c>
      <c r="L74" s="36">
        <v>78.582000000000008</v>
      </c>
      <c r="M74" s="94">
        <f t="shared" si="13"/>
        <v>0.76791838483736197</v>
      </c>
      <c r="N74" s="36">
        <v>42.815999999999995</v>
      </c>
      <c r="O74" s="36">
        <f t="shared" si="14"/>
        <v>0.16761928623999747</v>
      </c>
      <c r="P74" s="36">
        <v>63.854999999999997</v>
      </c>
      <c r="Q74" s="36">
        <f t="shared" si="15"/>
        <v>0.24998434050016441</v>
      </c>
      <c r="R74" s="36">
        <v>35.334000000000003</v>
      </c>
      <c r="S74" s="36">
        <f t="shared" si="16"/>
        <v>0.13832819179755398</v>
      </c>
      <c r="T74" s="36">
        <v>67.129000000000005</v>
      </c>
      <c r="U74" s="36">
        <v>109.622</v>
      </c>
      <c r="V74" s="36">
        <f t="shared" si="17"/>
        <v>0.2628016411155828</v>
      </c>
      <c r="W74" s="36">
        <v>42.557038674647998</v>
      </c>
      <c r="X74" s="36">
        <v>67.052999999999997</v>
      </c>
      <c r="Y74" s="92">
        <f t="shared" si="18"/>
        <v>0.166605485032055</v>
      </c>
    </row>
    <row r="75" spans="1:25" x14ac:dyDescent="0.2">
      <c r="A75" s="1" t="s">
        <v>175</v>
      </c>
      <c r="B75" s="1" t="s">
        <v>176</v>
      </c>
      <c r="C75" s="36" t="s">
        <v>495</v>
      </c>
      <c r="D75" s="36">
        <v>2921.7831000000001</v>
      </c>
      <c r="E75" s="36">
        <v>3540.5491000000002</v>
      </c>
      <c r="F75" s="36"/>
      <c r="G75" s="36">
        <v>996.43500000000006</v>
      </c>
      <c r="H75" s="36">
        <v>1060</v>
      </c>
      <c r="I75" s="36">
        <f t="shared" si="19"/>
        <v>3.3401406603773585</v>
      </c>
      <c r="J75" s="44">
        <v>6.3792419977218628E-2</v>
      </c>
      <c r="K75" s="36">
        <v>549.45199468994144</v>
      </c>
      <c r="L75" s="36">
        <v>53.332999999999998</v>
      </c>
      <c r="M75" s="94">
        <f t="shared" si="13"/>
        <v>0.55141779914388933</v>
      </c>
      <c r="N75" s="36">
        <v>136.92099999999999</v>
      </c>
      <c r="O75" s="36">
        <f t="shared" si="14"/>
        <v>0.13741086975066108</v>
      </c>
      <c r="P75" s="36">
        <v>107.88500000000001</v>
      </c>
      <c r="Q75" s="36">
        <f t="shared" si="15"/>
        <v>0.10827098606532287</v>
      </c>
      <c r="R75" s="36">
        <v>153.03200000000001</v>
      </c>
      <c r="S75" s="36">
        <f t="shared" si="16"/>
        <v>0.15357951095656014</v>
      </c>
      <c r="T75" s="36">
        <v>214.69400000000002</v>
      </c>
      <c r="U75" s="36">
        <v>279.60000000000002</v>
      </c>
      <c r="V75" s="36">
        <f t="shared" si="17"/>
        <v>0.21546212246659341</v>
      </c>
      <c r="W75" s="36">
        <v>48.026550000000007</v>
      </c>
      <c r="X75" s="36">
        <v>108.74000000000001</v>
      </c>
      <c r="Y75" s="92">
        <f t="shared" si="18"/>
        <v>4.819837721477066E-2</v>
      </c>
    </row>
    <row r="76" spans="1:25" x14ac:dyDescent="0.2">
      <c r="A76" s="1" t="s">
        <v>177</v>
      </c>
      <c r="B76" s="1" t="s">
        <v>178</v>
      </c>
      <c r="C76" s="36" t="s">
        <v>495</v>
      </c>
      <c r="D76" s="36">
        <v>2940.2168000000001</v>
      </c>
      <c r="E76" s="36">
        <v>3342.4558000000002</v>
      </c>
      <c r="F76" s="36"/>
      <c r="G76" s="36">
        <v>1198.9859999999999</v>
      </c>
      <c r="H76" s="36">
        <v>1271.2</v>
      </c>
      <c r="I76" s="36">
        <f t="shared" si="19"/>
        <v>2.6293705160478287</v>
      </c>
      <c r="J76" s="44">
        <v>6.0229227030174082E-2</v>
      </c>
      <c r="K76" s="36">
        <v>770.49898681640627</v>
      </c>
      <c r="L76" s="36">
        <v>65.567000000000007</v>
      </c>
      <c r="M76" s="94">
        <f t="shared" si="13"/>
        <v>0.64262550756756653</v>
      </c>
      <c r="N76" s="36">
        <v>190.643</v>
      </c>
      <c r="O76" s="36">
        <f t="shared" si="14"/>
        <v>0.15900352464499171</v>
      </c>
      <c r="P76" s="36" t="s">
        <v>480</v>
      </c>
      <c r="Q76" s="36" t="e">
        <f t="shared" si="15"/>
        <v>#VALUE!</v>
      </c>
      <c r="R76" s="36" t="s">
        <v>480</v>
      </c>
      <c r="S76" s="36" t="e">
        <f t="shared" si="16"/>
        <v>#VALUE!</v>
      </c>
      <c r="T76" s="36">
        <v>212.02799999999999</v>
      </c>
      <c r="U76" s="36">
        <v>291.33300000000003</v>
      </c>
      <c r="V76" s="36">
        <f t="shared" si="17"/>
        <v>0.17683942931777352</v>
      </c>
      <c r="W76" s="36">
        <v>54.014695631445996</v>
      </c>
      <c r="X76" s="36">
        <v>213.55</v>
      </c>
      <c r="Y76" s="92">
        <f t="shared" si="18"/>
        <v>4.5050313874762507E-2</v>
      </c>
    </row>
    <row r="77" spans="1:25" x14ac:dyDescent="0.2">
      <c r="A77" s="1" t="s">
        <v>179</v>
      </c>
      <c r="B77" s="1" t="s">
        <v>180</v>
      </c>
      <c r="C77" s="36" t="s">
        <v>495</v>
      </c>
      <c r="D77" s="36">
        <v>2813.1309000000001</v>
      </c>
      <c r="E77" s="36">
        <v>2710.8598999999999</v>
      </c>
      <c r="F77" s="36"/>
      <c r="G77" s="36">
        <v>519.38200000000006</v>
      </c>
      <c r="H77" s="36">
        <v>532.57500000000005</v>
      </c>
      <c r="I77" s="36">
        <f t="shared" si="19"/>
        <v>5.0900997981504945</v>
      </c>
      <c r="J77" s="44">
        <v>2.540134236457936E-2</v>
      </c>
      <c r="K77" s="36">
        <v>372.4000010986328</v>
      </c>
      <c r="L77" s="36">
        <v>74.260000000000005</v>
      </c>
      <c r="M77" s="94">
        <f t="shared" si="13"/>
        <v>0.71700598229941115</v>
      </c>
      <c r="N77" s="36">
        <v>61.974999999999994</v>
      </c>
      <c r="O77" s="36">
        <f t="shared" si="14"/>
        <v>0.11932450489235281</v>
      </c>
      <c r="P77" s="36">
        <v>240.27099999999999</v>
      </c>
      <c r="Q77" s="36">
        <f t="shared" si="15"/>
        <v>0.46260940887439295</v>
      </c>
      <c r="R77" s="36">
        <v>84.588999999999999</v>
      </c>
      <c r="S77" s="36">
        <f t="shared" si="16"/>
        <v>0.16286471229268629</v>
      </c>
      <c r="T77" s="36">
        <v>15.740000000000002</v>
      </c>
      <c r="U77" s="36">
        <v>115.2</v>
      </c>
      <c r="V77" s="36">
        <f t="shared" si="17"/>
        <v>3.0305247390167545E-2</v>
      </c>
      <c r="W77" s="36">
        <v>-40.478999999999999</v>
      </c>
      <c r="X77" s="36">
        <v>56.395000000000003</v>
      </c>
      <c r="Y77" s="92">
        <f t="shared" si="18"/>
        <v>-7.793685572468817E-2</v>
      </c>
    </row>
    <row r="78" spans="1:25" x14ac:dyDescent="0.2">
      <c r="A78" s="1" t="s">
        <v>181</v>
      </c>
      <c r="B78" s="1" t="s">
        <v>182</v>
      </c>
      <c r="C78" s="36" t="s">
        <v>495</v>
      </c>
      <c r="D78" s="36">
        <v>2765.9047</v>
      </c>
      <c r="E78" s="36">
        <v>2781.2797</v>
      </c>
      <c r="F78" s="36"/>
      <c r="G78" s="36">
        <v>394.09599999999995</v>
      </c>
      <c r="H78" s="36">
        <v>427.56700000000001</v>
      </c>
      <c r="I78" s="36">
        <f t="shared" si="19"/>
        <v>6.5048979458190175</v>
      </c>
      <c r="J78" s="44">
        <v>8.4931082781860345E-2</v>
      </c>
      <c r="K78" s="36">
        <v>220.96600073242186</v>
      </c>
      <c r="L78" s="36">
        <v>57.550000000000004</v>
      </c>
      <c r="M78" s="94">
        <f t="shared" si="13"/>
        <v>0.56069079800967758</v>
      </c>
      <c r="N78" s="36">
        <v>57.309999999999995</v>
      </c>
      <c r="O78" s="36">
        <f t="shared" si="14"/>
        <v>0.14542142016158499</v>
      </c>
      <c r="P78" s="36">
        <v>85.912000000000006</v>
      </c>
      <c r="Q78" s="36">
        <f t="shared" si="15"/>
        <v>0.2179976452437985</v>
      </c>
      <c r="R78" s="36">
        <v>49.837000000000003</v>
      </c>
      <c r="S78" s="36">
        <f t="shared" si="16"/>
        <v>0.12645903536194231</v>
      </c>
      <c r="T78" s="36">
        <v>54.477999999999994</v>
      </c>
      <c r="U78" s="36">
        <v>103.52500000000001</v>
      </c>
      <c r="V78" s="36">
        <f t="shared" si="17"/>
        <v>0.13823535382241892</v>
      </c>
      <c r="W78" s="36">
        <v>4.2689791113369981</v>
      </c>
      <c r="X78" s="36">
        <v>61.438000000000002</v>
      </c>
      <c r="Y78" s="92">
        <f t="shared" si="18"/>
        <v>1.0832333013623581E-2</v>
      </c>
    </row>
    <row r="79" spans="1:25" x14ac:dyDescent="0.2">
      <c r="A79" s="1" t="s">
        <v>183</v>
      </c>
      <c r="B79" s="1" t="s">
        <v>184</v>
      </c>
      <c r="C79" s="36" t="s">
        <v>495</v>
      </c>
      <c r="D79" s="36">
        <v>2781.9353000000001</v>
      </c>
      <c r="E79" s="36">
        <v>2538.9832999999999</v>
      </c>
      <c r="F79" s="36"/>
      <c r="G79" s="36">
        <v>462.851</v>
      </c>
      <c r="H79" s="36">
        <v>534.75</v>
      </c>
      <c r="I79" s="36">
        <f t="shared" si="19"/>
        <v>4.7479818606825619</v>
      </c>
      <c r="J79" s="44">
        <v>0.15533940728225715</v>
      </c>
      <c r="K79" s="36">
        <v>273.98900335693361</v>
      </c>
      <c r="L79" s="36">
        <v>59.332999999999998</v>
      </c>
      <c r="M79" s="94">
        <f t="shared" si="13"/>
        <v>0.59195940671389624</v>
      </c>
      <c r="N79" s="36">
        <v>69.265999999999991</v>
      </c>
      <c r="O79" s="36">
        <f t="shared" si="14"/>
        <v>0.14965075153775187</v>
      </c>
      <c r="P79" s="36">
        <v>65.042000000000002</v>
      </c>
      <c r="Q79" s="36">
        <f t="shared" si="15"/>
        <v>0.14052470449453497</v>
      </c>
      <c r="R79" s="36">
        <v>79.686000000000007</v>
      </c>
      <c r="S79" s="36">
        <f t="shared" si="16"/>
        <v>0.17216339599568761</v>
      </c>
      <c r="T79" s="36">
        <v>85.867999999999995</v>
      </c>
      <c r="U79" s="36">
        <v>150.49700000000001</v>
      </c>
      <c r="V79" s="36">
        <f t="shared" si="17"/>
        <v>0.1855197460953957</v>
      </c>
      <c r="W79" s="36">
        <v>19.337490000000003</v>
      </c>
      <c r="X79" s="36">
        <v>76.745000000000005</v>
      </c>
      <c r="Y79" s="92">
        <f t="shared" si="18"/>
        <v>4.177908225325213E-2</v>
      </c>
    </row>
    <row r="80" spans="1:25" x14ac:dyDescent="0.2">
      <c r="A80" s="1" t="s">
        <v>185</v>
      </c>
      <c r="B80" s="1" t="s">
        <v>186</v>
      </c>
      <c r="C80" s="36" t="s">
        <v>495</v>
      </c>
      <c r="D80" s="36">
        <v>2694.8279000000002</v>
      </c>
      <c r="E80" s="36">
        <v>2584.7898</v>
      </c>
      <c r="F80" s="36"/>
      <c r="G80" s="36">
        <v>554.70800000000008</v>
      </c>
      <c r="H80" s="36">
        <v>668.68299999999999</v>
      </c>
      <c r="I80" s="36">
        <f t="shared" si="19"/>
        <v>3.8654935148642928</v>
      </c>
      <c r="J80" s="44">
        <v>0.20546846268667451</v>
      </c>
      <c r="K80" s="36">
        <v>403.28800524902346</v>
      </c>
      <c r="L80" s="36">
        <v>73.040000000000006</v>
      </c>
      <c r="M80" s="94">
        <f t="shared" si="13"/>
        <v>0.72702756269789404</v>
      </c>
      <c r="N80" s="36">
        <v>136.791</v>
      </c>
      <c r="O80" s="36">
        <f t="shared" si="14"/>
        <v>0.24660001297980194</v>
      </c>
      <c r="P80" s="36">
        <v>303.31900000000002</v>
      </c>
      <c r="Q80" s="36">
        <f t="shared" si="15"/>
        <v>0.54680841091168686</v>
      </c>
      <c r="R80" s="36">
        <v>84.805000000000007</v>
      </c>
      <c r="S80" s="36">
        <f t="shared" si="16"/>
        <v>0.15288223714098229</v>
      </c>
      <c r="T80" s="36">
        <v>-104.10600000000001</v>
      </c>
      <c r="U80" s="36">
        <v>37.133000000000003</v>
      </c>
      <c r="V80" s="36">
        <f t="shared" si="17"/>
        <v>-0.18767712021459937</v>
      </c>
      <c r="W80" s="36">
        <v>-150.31100000000001</v>
      </c>
      <c r="X80" s="36">
        <v>-2.8890000000000002</v>
      </c>
      <c r="Y80" s="92">
        <f t="shared" si="18"/>
        <v>-0.27097319670889908</v>
      </c>
    </row>
    <row r="81" spans="1:25" x14ac:dyDescent="0.2">
      <c r="A81" s="1" t="s">
        <v>187</v>
      </c>
      <c r="B81" s="1" t="s">
        <v>188</v>
      </c>
      <c r="C81" s="36" t="s">
        <v>505</v>
      </c>
      <c r="D81" s="36">
        <v>2707.2824000000001</v>
      </c>
      <c r="E81" s="36">
        <v>2961.8824</v>
      </c>
      <c r="F81" s="36"/>
      <c r="G81" s="36">
        <v>187.727</v>
      </c>
      <c r="H81" s="36">
        <v>294.17700000000002</v>
      </c>
      <c r="I81" s="36">
        <f t="shared" si="19"/>
        <v>10.068368363264293</v>
      </c>
      <c r="J81" s="44">
        <v>0.56704682863946054</v>
      </c>
      <c r="K81" s="36">
        <v>162.13900000000001</v>
      </c>
      <c r="L81" s="36">
        <v>82.54</v>
      </c>
      <c r="M81" s="94">
        <f t="shared" si="13"/>
        <v>0.86369568575644429</v>
      </c>
      <c r="N81" s="36">
        <v>57.672999999999995</v>
      </c>
      <c r="O81" s="36">
        <f t="shared" si="14"/>
        <v>0.30721739547321375</v>
      </c>
      <c r="P81" s="36">
        <v>116.29900000000001</v>
      </c>
      <c r="Q81" s="36">
        <f t="shared" si="15"/>
        <v>0.61951131163870943</v>
      </c>
      <c r="R81" s="36">
        <v>28.927</v>
      </c>
      <c r="S81" s="36">
        <f t="shared" si="16"/>
        <v>0.15409078076142482</v>
      </c>
      <c r="T81" s="36">
        <v>-36.067999999999998</v>
      </c>
      <c r="U81" s="36">
        <v>-63.645000000000003</v>
      </c>
      <c r="V81" s="36">
        <f t="shared" si="17"/>
        <v>-0.19213006120590004</v>
      </c>
      <c r="W81" s="36">
        <v>-41.021999999999998</v>
      </c>
      <c r="X81" s="36">
        <v>-68.793000000000006</v>
      </c>
      <c r="Y81" s="92">
        <f t="shared" si="18"/>
        <v>-0.21851944579096239</v>
      </c>
    </row>
    <row r="82" spans="1:25" x14ac:dyDescent="0.2">
      <c r="A82" s="1" t="s">
        <v>189</v>
      </c>
      <c r="B82" s="1" t="s">
        <v>190</v>
      </c>
      <c r="C82" s="36" t="s">
        <v>495</v>
      </c>
      <c r="D82" s="36">
        <v>2698.6026999999999</v>
      </c>
      <c r="E82" s="36">
        <v>2363.1176</v>
      </c>
      <c r="F82" s="36"/>
      <c r="G82" s="36">
        <v>162.35999999999999</v>
      </c>
      <c r="H82" s="36">
        <v>224.28800000000001</v>
      </c>
      <c r="I82" s="36">
        <f t="shared" si="19"/>
        <v>10.536085746896847</v>
      </c>
      <c r="J82" s="44">
        <v>0.3814239960581427</v>
      </c>
      <c r="K82" s="36">
        <v>140.40400271606444</v>
      </c>
      <c r="L82" s="36">
        <v>87.478000000000009</v>
      </c>
      <c r="M82" s="94">
        <f t="shared" si="13"/>
        <v>0.86476966442513215</v>
      </c>
      <c r="N82" s="36">
        <v>29.341999999999999</v>
      </c>
      <c r="O82" s="36">
        <f t="shared" si="14"/>
        <v>0.1807218526730722</v>
      </c>
      <c r="P82" s="36">
        <v>66.42</v>
      </c>
      <c r="Q82" s="36">
        <f t="shared" si="15"/>
        <v>0.40909090909090912</v>
      </c>
      <c r="R82" s="36">
        <v>32.241</v>
      </c>
      <c r="S82" s="36">
        <f t="shared" si="16"/>
        <v>0.19857723577235775</v>
      </c>
      <c r="T82" s="36">
        <v>-13.546000000000001</v>
      </c>
      <c r="U82" s="36">
        <v>-7.2229999999999999</v>
      </c>
      <c r="V82" s="36">
        <f t="shared" si="17"/>
        <v>-8.3431879773343209E-2</v>
      </c>
      <c r="W82" s="36">
        <v>-19.666589999999999</v>
      </c>
      <c r="X82" s="36">
        <v>-15.01</v>
      </c>
      <c r="Y82" s="92">
        <f t="shared" si="18"/>
        <v>-0.12112952697708795</v>
      </c>
    </row>
    <row r="83" spans="1:25" x14ac:dyDescent="0.2">
      <c r="A83" s="1" t="s">
        <v>191</v>
      </c>
      <c r="B83" s="1" t="s">
        <v>192</v>
      </c>
      <c r="C83" s="36" t="s">
        <v>505</v>
      </c>
      <c r="D83" s="36">
        <v>2711.1356000000001</v>
      </c>
      <c r="E83" s="36">
        <v>2249.4695999999999</v>
      </c>
      <c r="F83" s="36"/>
      <c r="G83" s="36">
        <v>709.59799999999996</v>
      </c>
      <c r="H83" s="36">
        <v>761.19500000000005</v>
      </c>
      <c r="I83" s="36">
        <f t="shared" si="19"/>
        <v>2.955181786533017</v>
      </c>
      <c r="J83" s="44">
        <v>7.2713000882189682E-2</v>
      </c>
      <c r="K83" s="36">
        <v>605.50099267578128</v>
      </c>
      <c r="L83" s="36">
        <v>84.97</v>
      </c>
      <c r="M83" s="94">
        <f t="shared" si="13"/>
        <v>0.85330143641298495</v>
      </c>
      <c r="N83" s="36">
        <v>94.164000000000001</v>
      </c>
      <c r="O83" s="36">
        <f t="shared" si="14"/>
        <v>0.13270048675447227</v>
      </c>
      <c r="P83" s="36">
        <v>410.72699999999998</v>
      </c>
      <c r="Q83" s="36">
        <f t="shared" si="15"/>
        <v>0.57881645664164783</v>
      </c>
      <c r="R83" s="36">
        <v>87.575000000000003</v>
      </c>
      <c r="S83" s="36">
        <f t="shared" si="16"/>
        <v>0.12341494761822892</v>
      </c>
      <c r="T83" s="36">
        <v>20.122</v>
      </c>
      <c r="U83" s="36">
        <v>127.75</v>
      </c>
      <c r="V83" s="36">
        <f t="shared" si="17"/>
        <v>2.8356900667701995E-2</v>
      </c>
      <c r="W83" s="36">
        <v>-7.6881895614599998</v>
      </c>
      <c r="X83" s="36">
        <v>84.094999999999999</v>
      </c>
      <c r="Y83" s="92">
        <f t="shared" si="18"/>
        <v>-1.0834570505356555E-2</v>
      </c>
    </row>
    <row r="84" spans="1:25" x14ac:dyDescent="0.2">
      <c r="A84" s="1" t="s">
        <v>193</v>
      </c>
      <c r="B84" s="1" t="s">
        <v>194</v>
      </c>
      <c r="C84" s="36" t="s">
        <v>506</v>
      </c>
      <c r="D84" s="36">
        <v>2588.6080999999999</v>
      </c>
      <c r="E84" s="36">
        <v>2665.1181000000001</v>
      </c>
      <c r="F84" s="36"/>
      <c r="G84" s="36">
        <v>325.887</v>
      </c>
      <c r="H84" s="36">
        <v>515.72500000000002</v>
      </c>
      <c r="I84" s="36">
        <f t="shared" si="19"/>
        <v>5.1677116680401376</v>
      </c>
      <c r="J84" s="44">
        <v>0.58252707226738099</v>
      </c>
      <c r="K84" s="36">
        <v>236.179</v>
      </c>
      <c r="L84" s="36">
        <v>67.674999999999997</v>
      </c>
      <c r="M84" s="94">
        <f t="shared" si="13"/>
        <v>0.72472666906013439</v>
      </c>
      <c r="N84" s="36">
        <v>0</v>
      </c>
      <c r="O84" s="36">
        <f t="shared" si="14"/>
        <v>0</v>
      </c>
      <c r="P84" s="36">
        <v>2.198</v>
      </c>
      <c r="Q84" s="36">
        <f t="shared" si="15"/>
        <v>6.7446691644649833E-3</v>
      </c>
      <c r="R84" s="36">
        <v>14.875999999999999</v>
      </c>
      <c r="S84" s="36">
        <f t="shared" si="16"/>
        <v>4.5647724518007776E-2</v>
      </c>
      <c r="T84" s="36">
        <v>150.26899999999998</v>
      </c>
      <c r="U84" s="36">
        <v>231.45099999999999</v>
      </c>
      <c r="V84" s="36">
        <f t="shared" si="17"/>
        <v>0.46110768456550882</v>
      </c>
      <c r="W84" s="36">
        <v>138.66800000000001</v>
      </c>
      <c r="X84" s="36">
        <v>148.94800000000001</v>
      </c>
      <c r="Y84" s="92">
        <f t="shared" si="18"/>
        <v>0.42550945573158794</v>
      </c>
    </row>
    <row r="85" spans="1:25" x14ac:dyDescent="0.2">
      <c r="A85" s="1" t="s">
        <v>195</v>
      </c>
      <c r="B85" s="1" t="s">
        <v>196</v>
      </c>
      <c r="C85" s="36" t="s">
        <v>505</v>
      </c>
      <c r="D85" s="36">
        <v>2499.4157</v>
      </c>
      <c r="E85" s="36">
        <v>2121.9027000000001</v>
      </c>
      <c r="F85" s="36"/>
      <c r="G85" s="36">
        <v>294.68199999999996</v>
      </c>
      <c r="H85" s="36">
        <v>349.25299999999999</v>
      </c>
      <c r="I85" s="36">
        <f t="shared" si="19"/>
        <v>6.0755460940922488</v>
      </c>
      <c r="J85" s="44">
        <v>0.1851860649785193</v>
      </c>
      <c r="K85" s="36">
        <v>249.10499847412109</v>
      </c>
      <c r="L85" s="36">
        <v>86.929000000000002</v>
      </c>
      <c r="M85" s="94">
        <f t="shared" si="13"/>
        <v>0.84533496607909919</v>
      </c>
      <c r="N85" s="36">
        <v>42.388999999999996</v>
      </c>
      <c r="O85" s="36">
        <f t="shared" si="14"/>
        <v>0.14384658716854101</v>
      </c>
      <c r="P85" s="36">
        <v>126.739</v>
      </c>
      <c r="Q85" s="36">
        <f t="shared" si="15"/>
        <v>0.43008734839589802</v>
      </c>
      <c r="R85" s="36">
        <v>30.399000000000001</v>
      </c>
      <c r="S85" s="36">
        <f t="shared" si="16"/>
        <v>0.10315865916479461</v>
      </c>
      <c r="T85" s="36">
        <v>33.942999999999998</v>
      </c>
      <c r="U85" s="36">
        <v>80.558000000000007</v>
      </c>
      <c r="V85" s="36">
        <f t="shared" si="17"/>
        <v>0.11518518267148996</v>
      </c>
      <c r="W85" s="36">
        <v>27.055742028858003</v>
      </c>
      <c r="X85" s="36">
        <v>55.678000000000004</v>
      </c>
      <c r="Y85" s="92">
        <f t="shared" si="18"/>
        <v>9.1813351439375343E-2</v>
      </c>
    </row>
    <row r="86" spans="1:25" x14ac:dyDescent="0.2">
      <c r="A86" s="1" t="s">
        <v>197</v>
      </c>
      <c r="B86" s="1" t="s">
        <v>198</v>
      </c>
      <c r="C86" s="36" t="s">
        <v>495</v>
      </c>
      <c r="D86" s="36">
        <v>2542.2449000000001</v>
      </c>
      <c r="E86" s="36">
        <v>2344.0949000000001</v>
      </c>
      <c r="F86" s="36"/>
      <c r="G86" s="36">
        <v>362.10199999999998</v>
      </c>
      <c r="H86" s="36">
        <v>403.58300000000003</v>
      </c>
      <c r="I86" s="36">
        <f t="shared" si="19"/>
        <v>5.8082102070701689</v>
      </c>
      <c r="J86" s="44">
        <v>0.11455611954642619</v>
      </c>
      <c r="K86" s="36">
        <v>250.68500076293947</v>
      </c>
      <c r="L86" s="36">
        <v>70.325000000000003</v>
      </c>
      <c r="M86" s="94">
        <f t="shared" si="13"/>
        <v>0.69230493276187233</v>
      </c>
      <c r="N86" s="36">
        <v>93.233999999999995</v>
      </c>
      <c r="O86" s="36">
        <f t="shared" si="14"/>
        <v>0.25747993659245183</v>
      </c>
      <c r="P86" s="36">
        <v>79.957999999999998</v>
      </c>
      <c r="Q86" s="36">
        <f t="shared" si="15"/>
        <v>0.22081623409978404</v>
      </c>
      <c r="R86" s="36">
        <v>87.978999999999999</v>
      </c>
      <c r="S86" s="36">
        <f t="shared" si="16"/>
        <v>0.24296745116017035</v>
      </c>
      <c r="T86" s="36">
        <v>-3.4740000000000002</v>
      </c>
      <c r="U86" s="36">
        <v>42.646999999999998</v>
      </c>
      <c r="V86" s="36">
        <f t="shared" si="17"/>
        <v>-9.5939818062313938E-3</v>
      </c>
      <c r="W86" s="36">
        <v>-84.54</v>
      </c>
      <c r="X86" s="36">
        <v>25.7</v>
      </c>
      <c r="Y86" s="92">
        <f t="shared" si="18"/>
        <v>-0.23347012720172772</v>
      </c>
    </row>
    <row r="87" spans="1:25" x14ac:dyDescent="0.2">
      <c r="A87" s="1" t="s">
        <v>199</v>
      </c>
      <c r="B87" s="1" t="s">
        <v>200</v>
      </c>
      <c r="C87" s="36" t="s">
        <v>495</v>
      </c>
      <c r="D87" s="36">
        <v>2458.9054000000001</v>
      </c>
      <c r="E87" s="36">
        <v>2777.4384</v>
      </c>
      <c r="F87" s="36"/>
      <c r="G87" s="36">
        <v>757.60300000000007</v>
      </c>
      <c r="H87" s="36">
        <v>863.7</v>
      </c>
      <c r="I87" s="36">
        <f t="shared" si="19"/>
        <v>3.215744355679055</v>
      </c>
      <c r="J87" s="44">
        <v>0.14004300405357428</v>
      </c>
      <c r="K87" s="36">
        <v>512.96599737548831</v>
      </c>
      <c r="L87" s="36">
        <v>67.867000000000004</v>
      </c>
      <c r="M87" s="94">
        <f t="shared" si="13"/>
        <v>0.67709076835161464</v>
      </c>
      <c r="N87" s="36">
        <v>0</v>
      </c>
      <c r="O87" s="36">
        <f t="shared" si="14"/>
        <v>0</v>
      </c>
      <c r="P87" s="36" t="s">
        <v>480</v>
      </c>
      <c r="Q87" s="36" t="e">
        <f t="shared" si="15"/>
        <v>#VALUE!</v>
      </c>
      <c r="R87" s="36">
        <v>121.01</v>
      </c>
      <c r="S87" s="36">
        <f t="shared" si="16"/>
        <v>0.15972745620067502</v>
      </c>
      <c r="T87" s="36">
        <v>106.039</v>
      </c>
      <c r="U87" s="36">
        <v>170.54</v>
      </c>
      <c r="V87" s="36">
        <f t="shared" si="17"/>
        <v>0.13996644680657283</v>
      </c>
      <c r="W87" s="36">
        <v>32.882268060742</v>
      </c>
      <c r="X87" s="36">
        <v>91.412999999999997</v>
      </c>
      <c r="Y87" s="92">
        <f t="shared" si="18"/>
        <v>4.3403033067110346E-2</v>
      </c>
    </row>
    <row r="88" spans="1:25" x14ac:dyDescent="0.2">
      <c r="A88" s="1" t="s">
        <v>201</v>
      </c>
      <c r="B88" s="1" t="s">
        <v>202</v>
      </c>
      <c r="C88" s="36" t="s">
        <v>495</v>
      </c>
      <c r="D88" s="36">
        <v>2438.0086000000001</v>
      </c>
      <c r="E88" s="36">
        <v>2499.6136000000001</v>
      </c>
      <c r="F88" s="36"/>
      <c r="G88" s="36">
        <v>111.253</v>
      </c>
      <c r="H88" s="36">
        <v>195.833</v>
      </c>
      <c r="I88" s="36">
        <f t="shared" si="19"/>
        <v>12.764006066393305</v>
      </c>
      <c r="J88" s="44">
        <v>0.76024916182035529</v>
      </c>
      <c r="K88" s="36">
        <v>89.570999999999998</v>
      </c>
      <c r="L88" s="36">
        <v>79.174999999999997</v>
      </c>
      <c r="M88" s="94">
        <f t="shared" si="13"/>
        <v>0.80511087341464949</v>
      </c>
      <c r="N88" s="36">
        <v>37.589999999999996</v>
      </c>
      <c r="O88" s="36">
        <f t="shared" si="14"/>
        <v>0.3378785291183159</v>
      </c>
      <c r="P88" s="36">
        <v>72.924999999999997</v>
      </c>
      <c r="Q88" s="36">
        <f t="shared" si="15"/>
        <v>0.65548794189819592</v>
      </c>
      <c r="R88" s="36">
        <v>28.033999999999999</v>
      </c>
      <c r="S88" s="36">
        <f t="shared" si="16"/>
        <v>0.25198421615596883</v>
      </c>
      <c r="T88" s="36">
        <v>-44.902000000000001</v>
      </c>
      <c r="U88" s="36">
        <v>-45.95</v>
      </c>
      <c r="V88" s="36">
        <f t="shared" si="17"/>
        <v>-0.40360259948046345</v>
      </c>
      <c r="W88" s="36">
        <v>-49.106000000000002</v>
      </c>
      <c r="X88" s="36">
        <v>-63.59</v>
      </c>
      <c r="Y88" s="92">
        <f t="shared" si="18"/>
        <v>-0.44139034453003517</v>
      </c>
    </row>
    <row r="89" spans="1:25" x14ac:dyDescent="0.2">
      <c r="A89" s="1" t="s">
        <v>203</v>
      </c>
      <c r="B89" s="1" t="s">
        <v>204</v>
      </c>
      <c r="C89" s="36" t="s">
        <v>506</v>
      </c>
      <c r="D89" s="36">
        <v>2461.5574999999999</v>
      </c>
      <c r="E89" s="36">
        <v>2436.4575</v>
      </c>
      <c r="F89" s="36"/>
      <c r="G89" s="36">
        <v>777.6</v>
      </c>
      <c r="H89" s="36">
        <v>824</v>
      </c>
      <c r="I89" s="36">
        <f t="shared" si="19"/>
        <v>2.9568658980582523</v>
      </c>
      <c r="J89" s="44">
        <v>5.967078189300401E-2</v>
      </c>
      <c r="K89" s="36">
        <v>266.30000152587888</v>
      </c>
      <c r="L89" s="36">
        <v>34.533000000000001</v>
      </c>
      <c r="M89" s="94">
        <f t="shared" si="13"/>
        <v>0.34246399373184011</v>
      </c>
      <c r="N89" s="36">
        <v>0</v>
      </c>
      <c r="O89" s="36">
        <f t="shared" si="14"/>
        <v>0</v>
      </c>
      <c r="P89" s="36">
        <v>41.767000000000003</v>
      </c>
      <c r="Q89" s="36">
        <f t="shared" si="15"/>
        <v>5.3712705761316877E-2</v>
      </c>
      <c r="R89" s="36">
        <v>117.626</v>
      </c>
      <c r="S89" s="36">
        <f t="shared" si="16"/>
        <v>0.15126800411522634</v>
      </c>
      <c r="T89" s="36">
        <v>119.85900000000001</v>
      </c>
      <c r="U89" s="36">
        <v>168.292</v>
      </c>
      <c r="V89" s="36">
        <f t="shared" si="17"/>
        <v>0.15413966049382716</v>
      </c>
      <c r="W89" s="36">
        <v>92.1</v>
      </c>
      <c r="X89" s="36">
        <v>125.28400000000001</v>
      </c>
      <c r="Y89" s="92">
        <f t="shared" si="18"/>
        <v>0.11844135802469134</v>
      </c>
    </row>
    <row r="90" spans="1:25" x14ac:dyDescent="0.2">
      <c r="A90" s="1" t="s">
        <v>205</v>
      </c>
      <c r="B90" s="1" t="s">
        <v>206</v>
      </c>
      <c r="C90" s="36" t="s">
        <v>495</v>
      </c>
      <c r="D90" s="36">
        <v>2373.3932</v>
      </c>
      <c r="E90" s="36">
        <v>2399.3838999999998</v>
      </c>
      <c r="F90" s="36"/>
      <c r="G90" s="36">
        <v>259.76499999999999</v>
      </c>
      <c r="H90" s="36">
        <v>290.03199999999998</v>
      </c>
      <c r="I90" s="36">
        <f t="shared" si="19"/>
        <v>8.2728247227892098</v>
      </c>
      <c r="J90" s="44">
        <v>0.11651685176986892</v>
      </c>
      <c r="K90" s="36">
        <v>189.24499960327148</v>
      </c>
      <c r="L90" s="36">
        <v>72.911000000000001</v>
      </c>
      <c r="M90" s="94">
        <f t="shared" si="13"/>
        <v>0.72852385657525642</v>
      </c>
      <c r="N90" s="36">
        <v>41.803999999999995</v>
      </c>
      <c r="O90" s="36">
        <f t="shared" si="14"/>
        <v>0.16093007141069812</v>
      </c>
      <c r="P90" s="36">
        <v>33.128</v>
      </c>
      <c r="Q90" s="36">
        <f t="shared" si="15"/>
        <v>0.12753065270532982</v>
      </c>
      <c r="R90" s="36">
        <v>25.448</v>
      </c>
      <c r="S90" s="36">
        <f t="shared" si="16"/>
        <v>9.7965468789097843E-2</v>
      </c>
      <c r="T90" s="36">
        <v>83.233999999999995</v>
      </c>
      <c r="U90" s="36">
        <v>100.771</v>
      </c>
      <c r="V90" s="36">
        <f t="shared" si="17"/>
        <v>0.3204203799588089</v>
      </c>
      <c r="W90" s="36">
        <v>31.351610000000001</v>
      </c>
      <c r="X90" s="36">
        <v>42.183</v>
      </c>
      <c r="Y90" s="92">
        <f t="shared" si="18"/>
        <v>0.12069220256770544</v>
      </c>
    </row>
    <row r="91" spans="1:25" x14ac:dyDescent="0.2">
      <c r="A91" s="1" t="s">
        <v>207</v>
      </c>
      <c r="B91" s="1" t="s">
        <v>208</v>
      </c>
      <c r="C91" s="36" t="s">
        <v>495</v>
      </c>
      <c r="D91" s="36">
        <v>2279.9922999999999</v>
      </c>
      <c r="E91" s="36">
        <v>2165.1192999999998</v>
      </c>
      <c r="F91" s="36"/>
      <c r="G91" s="36">
        <v>202.84200000000001</v>
      </c>
      <c r="H91" s="36">
        <v>246.78800000000001</v>
      </c>
      <c r="I91" s="36">
        <f t="shared" si="19"/>
        <v>8.7731952120848646</v>
      </c>
      <c r="J91" s="44">
        <v>0.21665138383569471</v>
      </c>
      <c r="K91" s="36">
        <v>157.49099987792968</v>
      </c>
      <c r="L91" s="36">
        <v>81.329000000000008</v>
      </c>
      <c r="M91" s="94">
        <f t="shared" si="13"/>
        <v>0.77642204217040689</v>
      </c>
      <c r="N91" s="36">
        <v>23.873999999999999</v>
      </c>
      <c r="O91" s="36">
        <f t="shared" si="14"/>
        <v>0.11769751826544797</v>
      </c>
      <c r="P91" s="36">
        <v>109.77500000000001</v>
      </c>
      <c r="Q91" s="36">
        <f t="shared" si="15"/>
        <v>0.54118476449650466</v>
      </c>
      <c r="R91" s="36">
        <v>36.956000000000003</v>
      </c>
      <c r="S91" s="36">
        <f t="shared" si="16"/>
        <v>0.18219106496682147</v>
      </c>
      <c r="T91" s="36">
        <v>-13.472000000000001</v>
      </c>
      <c r="U91" s="36">
        <v>12.863</v>
      </c>
      <c r="V91" s="36">
        <f t="shared" si="17"/>
        <v>-6.6416225436546669E-2</v>
      </c>
      <c r="W91" s="36">
        <v>-33.920332731689001</v>
      </c>
      <c r="X91" s="36">
        <v>2.661</v>
      </c>
      <c r="Y91" s="92">
        <f t="shared" si="18"/>
        <v>-0.16722539085440391</v>
      </c>
    </row>
    <row r="92" spans="1:25" x14ac:dyDescent="0.2">
      <c r="A92" s="1" t="s">
        <v>211</v>
      </c>
      <c r="B92" s="1" t="s">
        <v>212</v>
      </c>
      <c r="C92" s="36" t="s">
        <v>495</v>
      </c>
      <c r="D92" s="36">
        <v>2144.8136</v>
      </c>
      <c r="E92" s="36">
        <v>2527.3155999999999</v>
      </c>
      <c r="F92" s="36"/>
      <c r="G92" s="36">
        <v>213.15899999999999</v>
      </c>
      <c r="H92" s="36">
        <v>282.81</v>
      </c>
      <c r="I92" s="36">
        <f t="shared" si="19"/>
        <v>8.9364435486722531</v>
      </c>
      <c r="J92" s="44">
        <v>0.32675608348697449</v>
      </c>
      <c r="K92" s="36">
        <v>155.18199999999999</v>
      </c>
      <c r="L92" s="36">
        <v>73.067000000000007</v>
      </c>
      <c r="M92" s="94">
        <f t="shared" si="13"/>
        <v>0.72801054611815585</v>
      </c>
      <c r="N92" s="36">
        <v>41.263999999999996</v>
      </c>
      <c r="O92" s="36">
        <f t="shared" si="14"/>
        <v>0.19358319376615576</v>
      </c>
      <c r="P92" s="36">
        <v>133.79400000000001</v>
      </c>
      <c r="Q92" s="36">
        <f t="shared" si="15"/>
        <v>0.62767230095843951</v>
      </c>
      <c r="R92" s="36">
        <v>34.286000000000001</v>
      </c>
      <c r="S92" s="36">
        <f t="shared" si="16"/>
        <v>0.16084706721273792</v>
      </c>
      <c r="T92" s="36">
        <v>-43.302999999999997</v>
      </c>
      <c r="U92" s="36">
        <v>-23.48</v>
      </c>
      <c r="V92" s="36">
        <f t="shared" si="17"/>
        <v>-0.20314882317894153</v>
      </c>
      <c r="W92" s="36">
        <v>-55.233550000000001</v>
      </c>
      <c r="X92" s="36">
        <v>-39.237000000000002</v>
      </c>
      <c r="Y92" s="92">
        <f t="shared" si="18"/>
        <v>-0.25911901444461649</v>
      </c>
    </row>
    <row r="93" spans="1:25" x14ac:dyDescent="0.2">
      <c r="A93" s="1" t="s">
        <v>213</v>
      </c>
      <c r="B93" s="1" t="s">
        <v>214</v>
      </c>
      <c r="C93" s="36" t="s">
        <v>495</v>
      </c>
      <c r="D93" s="36">
        <v>2123.6478000000002</v>
      </c>
      <c r="E93" s="36">
        <v>2086.6887999999999</v>
      </c>
      <c r="F93" s="36"/>
      <c r="G93" s="36">
        <v>375.99900000000002</v>
      </c>
      <c r="H93" s="36">
        <v>410.81200000000001</v>
      </c>
      <c r="I93" s="36">
        <f t="shared" si="19"/>
        <v>5.0794251385061777</v>
      </c>
      <c r="J93" s="44">
        <v>9.2588012202160064E-2</v>
      </c>
      <c r="K93" s="36">
        <v>251.41600036621094</v>
      </c>
      <c r="L93" s="36">
        <v>68.244</v>
      </c>
      <c r="M93" s="94">
        <f t="shared" si="13"/>
        <v>0.66866135379671465</v>
      </c>
      <c r="N93" s="36">
        <v>72.754999999999995</v>
      </c>
      <c r="O93" s="36">
        <f t="shared" si="14"/>
        <v>0.19349785504748682</v>
      </c>
      <c r="P93" s="36">
        <v>43.49</v>
      </c>
      <c r="Q93" s="36">
        <f t="shared" si="15"/>
        <v>0.11566520123723734</v>
      </c>
      <c r="R93" s="36">
        <v>55.396000000000001</v>
      </c>
      <c r="S93" s="36">
        <f t="shared" si="16"/>
        <v>0.14733017906962517</v>
      </c>
      <c r="T93" s="36">
        <v>78.801000000000002</v>
      </c>
      <c r="U93" s="36">
        <v>86.858000000000004</v>
      </c>
      <c r="V93" s="36">
        <f t="shared" si="17"/>
        <v>0.2095776850470347</v>
      </c>
      <c r="W93" s="36">
        <v>54.195191958732003</v>
      </c>
      <c r="X93" s="36">
        <v>60.554000000000002</v>
      </c>
      <c r="Y93" s="92">
        <f t="shared" si="18"/>
        <v>0.14413653216825575</v>
      </c>
    </row>
    <row r="94" spans="1:25" x14ac:dyDescent="0.2">
      <c r="A94" s="1" t="s">
        <v>215</v>
      </c>
      <c r="B94" s="1" t="s">
        <v>216</v>
      </c>
      <c r="C94" s="36" t="s">
        <v>495</v>
      </c>
      <c r="D94" s="36">
        <v>2082.1448999999998</v>
      </c>
      <c r="E94" s="36">
        <v>1642.0148999999999</v>
      </c>
      <c r="F94" s="36"/>
      <c r="G94" s="36">
        <v>411.06400000000002</v>
      </c>
      <c r="H94" s="36">
        <v>487.03300000000002</v>
      </c>
      <c r="I94" s="36">
        <f t="shared" si="19"/>
        <v>3.3714653832491841</v>
      </c>
      <c r="J94" s="44">
        <v>0.18481063775957018</v>
      </c>
      <c r="K94" s="36">
        <v>279.62800469970705</v>
      </c>
      <c r="L94" s="36">
        <v>75.41</v>
      </c>
      <c r="M94" s="94">
        <f t="shared" si="13"/>
        <v>0.68025418110004043</v>
      </c>
      <c r="N94" s="36">
        <v>215.69499999999999</v>
      </c>
      <c r="O94" s="36">
        <f t="shared" si="14"/>
        <v>0.52472364400677263</v>
      </c>
      <c r="P94" s="36">
        <v>298.46699999999998</v>
      </c>
      <c r="Q94" s="36">
        <f t="shared" si="15"/>
        <v>0.72608401611427897</v>
      </c>
      <c r="R94" s="36">
        <v>85.539000000000001</v>
      </c>
      <c r="S94" s="36">
        <f t="shared" si="16"/>
        <v>0.20809168402000661</v>
      </c>
      <c r="T94" s="36">
        <v>-176.494</v>
      </c>
      <c r="U94" s="36">
        <v>-58.75</v>
      </c>
      <c r="V94" s="36">
        <f t="shared" si="17"/>
        <v>-0.42935893194247121</v>
      </c>
      <c r="W94" s="36">
        <v>-184.54894999999999</v>
      </c>
      <c r="X94" s="36">
        <v>-70.158000000000001</v>
      </c>
      <c r="Y94" s="92">
        <f t="shared" si="18"/>
        <v>-0.44895429908724671</v>
      </c>
    </row>
    <row r="95" spans="1:25" x14ac:dyDescent="0.2">
      <c r="A95" s="1" t="s">
        <v>217</v>
      </c>
      <c r="B95" s="1" t="s">
        <v>218</v>
      </c>
      <c r="C95" s="36" t="s">
        <v>495</v>
      </c>
      <c r="D95" s="36">
        <v>2134.5376999999999</v>
      </c>
      <c r="E95" s="36">
        <v>2066.1927000000001</v>
      </c>
      <c r="F95" s="36"/>
      <c r="G95" s="36">
        <v>225.50900000000001</v>
      </c>
      <c r="H95" s="36">
        <v>266.108</v>
      </c>
      <c r="I95" s="36">
        <f t="shared" si="19"/>
        <v>7.7644892299367179</v>
      </c>
      <c r="J95" s="44">
        <v>0.18003272596659103</v>
      </c>
      <c r="K95" s="36">
        <v>133.13299966430662</v>
      </c>
      <c r="L95" s="36">
        <v>62.867000000000004</v>
      </c>
      <c r="M95" s="94">
        <f t="shared" si="13"/>
        <v>0.59036668010725346</v>
      </c>
      <c r="N95" s="36">
        <v>27.119999999999997</v>
      </c>
      <c r="O95" s="36">
        <f t="shared" si="14"/>
        <v>0.12026127560319098</v>
      </c>
      <c r="P95" s="36">
        <v>66.569999999999993</v>
      </c>
      <c r="Q95" s="36">
        <f t="shared" si="15"/>
        <v>0.29519886124278849</v>
      </c>
      <c r="R95" s="36">
        <v>29.151</v>
      </c>
      <c r="S95" s="36">
        <f t="shared" si="16"/>
        <v>0.12926756803497863</v>
      </c>
      <c r="T95" s="36">
        <v>10.643000000000001</v>
      </c>
      <c r="U95" s="36">
        <v>40.977000000000004</v>
      </c>
      <c r="V95" s="36">
        <f t="shared" si="17"/>
        <v>4.7195455613744906E-2</v>
      </c>
      <c r="W95" s="36">
        <v>-2.3560000000000003</v>
      </c>
      <c r="X95" s="36">
        <v>28.244</v>
      </c>
      <c r="Y95" s="92">
        <f t="shared" si="18"/>
        <v>-1.0447476597386358E-2</v>
      </c>
    </row>
    <row r="96" spans="1:25" x14ac:dyDescent="0.2">
      <c r="A96" s="1" t="s">
        <v>219</v>
      </c>
      <c r="B96" s="1" t="s">
        <v>220</v>
      </c>
      <c r="C96" s="36" t="s">
        <v>495</v>
      </c>
      <c r="D96" s="36">
        <v>2162.7305999999999</v>
      </c>
      <c r="E96" s="36">
        <v>2059.2656000000002</v>
      </c>
      <c r="F96" s="36"/>
      <c r="G96" s="36">
        <v>215.20100000000002</v>
      </c>
      <c r="H96" s="36">
        <v>265.75200000000001</v>
      </c>
      <c r="I96" s="36">
        <f t="shared" si="19"/>
        <v>7.7488244679249831</v>
      </c>
      <c r="J96" s="44">
        <v>0.2349013248079701</v>
      </c>
      <c r="K96" s="36">
        <v>106.53599938964844</v>
      </c>
      <c r="L96" s="36">
        <v>52.910000000000004</v>
      </c>
      <c r="M96" s="94">
        <f t="shared" si="13"/>
        <v>0.49505345881129004</v>
      </c>
      <c r="N96" s="36">
        <v>40.338000000000001</v>
      </c>
      <c r="O96" s="36">
        <f t="shared" si="14"/>
        <v>0.18744336689885269</v>
      </c>
      <c r="P96" s="36">
        <v>41.17</v>
      </c>
      <c r="Q96" s="36">
        <f t="shared" si="15"/>
        <v>0.19130951993717502</v>
      </c>
      <c r="R96" s="36">
        <v>37.179000000000002</v>
      </c>
      <c r="S96" s="36">
        <f t="shared" si="16"/>
        <v>0.17276406708147266</v>
      </c>
      <c r="T96" s="36">
        <v>-7.5960000000000001</v>
      </c>
      <c r="U96" s="36">
        <v>28.12</v>
      </c>
      <c r="V96" s="36">
        <f t="shared" si="17"/>
        <v>-3.5297233748913803E-2</v>
      </c>
      <c r="W96" s="36">
        <v>-24.3462</v>
      </c>
      <c r="X96" s="36">
        <v>2.1080000000000001</v>
      </c>
      <c r="Y96" s="92">
        <f t="shared" si="18"/>
        <v>-0.11313237392019553</v>
      </c>
    </row>
    <row r="97" spans="1:25" x14ac:dyDescent="0.2">
      <c r="A97" s="1" t="s">
        <v>221</v>
      </c>
      <c r="B97" s="1" t="s">
        <v>222</v>
      </c>
      <c r="C97" s="36" t="s">
        <v>506</v>
      </c>
      <c r="D97" s="36">
        <v>2114.5731999999998</v>
      </c>
      <c r="E97" s="36">
        <v>1943.9061999999999</v>
      </c>
      <c r="F97" s="36"/>
      <c r="G97" s="36">
        <v>807.30500000000006</v>
      </c>
      <c r="H97" s="36">
        <v>961.45699999999999</v>
      </c>
      <c r="I97" s="36">
        <f t="shared" si="19"/>
        <v>2.0218337377542626</v>
      </c>
      <c r="J97" s="44">
        <v>0.19094642049782906</v>
      </c>
      <c r="K97" s="36">
        <v>275.29600018310543</v>
      </c>
      <c r="L97" s="36">
        <v>35.366999999999997</v>
      </c>
      <c r="M97" s="94">
        <f t="shared" si="13"/>
        <v>0.34100618747945993</v>
      </c>
      <c r="N97" s="36">
        <v>0</v>
      </c>
      <c r="O97" s="36">
        <f t="shared" si="14"/>
        <v>0</v>
      </c>
      <c r="P97" s="36">
        <v>53.383000000000003</v>
      </c>
      <c r="Q97" s="36">
        <f t="shared" si="15"/>
        <v>6.6124946581527427E-2</v>
      </c>
      <c r="R97" s="36">
        <v>102.56699999999999</v>
      </c>
      <c r="S97" s="36">
        <f t="shared" si="16"/>
        <v>0.1270486371321867</v>
      </c>
      <c r="T97" s="36">
        <v>101.57077215189899</v>
      </c>
      <c r="U97" s="36">
        <v>166.20000000000002</v>
      </c>
      <c r="V97" s="36">
        <f t="shared" si="17"/>
        <v>0.12581462043700831</v>
      </c>
      <c r="W97" s="36">
        <v>66.466239999999999</v>
      </c>
      <c r="X97" s="36">
        <v>102.023</v>
      </c>
      <c r="Y97" s="92">
        <f t="shared" si="18"/>
        <v>8.233101492001163E-2</v>
      </c>
    </row>
    <row r="98" spans="1:25" x14ac:dyDescent="0.2">
      <c r="A98" s="1" t="s">
        <v>223</v>
      </c>
      <c r="B98" s="1" t="s">
        <v>224</v>
      </c>
      <c r="C98" s="36" t="s">
        <v>495</v>
      </c>
      <c r="D98" s="36">
        <v>2051.6304</v>
      </c>
      <c r="E98" s="36">
        <v>1905.4384</v>
      </c>
      <c r="F98" s="36"/>
      <c r="G98" s="36">
        <v>282.14300000000003</v>
      </c>
      <c r="H98" s="36">
        <v>349.18299999999999</v>
      </c>
      <c r="I98" s="36">
        <f t="shared" si="19"/>
        <v>5.4568475555797393</v>
      </c>
      <c r="J98" s="44">
        <v>0.23761000627341433</v>
      </c>
      <c r="K98" s="36">
        <v>206.71999600219726</v>
      </c>
      <c r="L98" s="36">
        <v>73.540000000000006</v>
      </c>
      <c r="M98" s="94">
        <f t="shared" ref="M98:M129" si="20">K98/G98</f>
        <v>0.73267809586697963</v>
      </c>
      <c r="N98" s="36">
        <v>38.372999999999998</v>
      </c>
      <c r="O98" s="36">
        <f t="shared" ref="O98:O129" si="21">N98/G98</f>
        <v>0.13600550075670845</v>
      </c>
      <c r="P98" s="36">
        <v>121.246</v>
      </c>
      <c r="Q98" s="36">
        <f t="shared" ref="Q98:Q129" si="22">P98/G98</f>
        <v>0.42973244064180216</v>
      </c>
      <c r="R98" s="36">
        <v>36.988999999999997</v>
      </c>
      <c r="S98" s="36">
        <f t="shared" ref="S98:S129" si="23">R98/G98</f>
        <v>0.13110018678471552</v>
      </c>
      <c r="T98" s="36">
        <v>17.619</v>
      </c>
      <c r="U98" s="36">
        <v>53.279000000000003</v>
      </c>
      <c r="V98" s="36">
        <f t="shared" ref="V98:V129" si="24">T98/G98</f>
        <v>6.2447056988831899E-2</v>
      </c>
      <c r="W98" s="36">
        <v>-11.200076829023001</v>
      </c>
      <c r="X98" s="36">
        <v>15.266999999999999</v>
      </c>
      <c r="Y98" s="92">
        <f t="shared" ref="Y98:Y129" si="25">W98/G98</f>
        <v>-3.9696454737572787E-2</v>
      </c>
    </row>
    <row r="99" spans="1:25" x14ac:dyDescent="0.2">
      <c r="A99" s="1" t="s">
        <v>225</v>
      </c>
      <c r="B99" s="1" t="s">
        <v>226</v>
      </c>
      <c r="C99" s="36" t="s">
        <v>495</v>
      </c>
      <c r="D99" s="36">
        <v>2067.0387000000001</v>
      </c>
      <c r="E99" s="36">
        <v>2014.3187</v>
      </c>
      <c r="F99" s="36"/>
      <c r="G99" s="36">
        <v>165.38</v>
      </c>
      <c r="H99" s="36">
        <v>205.85</v>
      </c>
      <c r="I99" s="36">
        <f t="shared" si="19"/>
        <v>9.7853713869322334</v>
      </c>
      <c r="J99" s="44">
        <v>0.24470915467408383</v>
      </c>
      <c r="K99" s="36">
        <v>102.44899972534179</v>
      </c>
      <c r="L99" s="36">
        <v>64.5</v>
      </c>
      <c r="M99" s="94">
        <f t="shared" si="20"/>
        <v>0.6194763558189732</v>
      </c>
      <c r="N99" s="36">
        <v>16.577999999999999</v>
      </c>
      <c r="O99" s="36">
        <f t="shared" si="21"/>
        <v>0.10024186721489901</v>
      </c>
      <c r="P99" s="36">
        <v>28.709</v>
      </c>
      <c r="Q99" s="36">
        <f t="shared" si="22"/>
        <v>0.17359414681339944</v>
      </c>
      <c r="R99" s="36">
        <v>21.199000000000002</v>
      </c>
      <c r="S99" s="36">
        <f t="shared" si="23"/>
        <v>0.12818357721610837</v>
      </c>
      <c r="T99" s="36">
        <v>31.149000000000001</v>
      </c>
      <c r="U99" s="36">
        <v>44.4</v>
      </c>
      <c r="V99" s="36">
        <f t="shared" si="24"/>
        <v>0.18834804692223969</v>
      </c>
      <c r="W99" s="36">
        <v>18.071339999999999</v>
      </c>
      <c r="X99" s="36">
        <v>39.49</v>
      </c>
      <c r="Y99" s="92">
        <f t="shared" si="25"/>
        <v>0.1092716168823316</v>
      </c>
    </row>
    <row r="100" spans="1:25" x14ac:dyDescent="0.2">
      <c r="A100" s="1" t="s">
        <v>227</v>
      </c>
      <c r="B100" s="1" t="s">
        <v>228</v>
      </c>
      <c r="C100" s="36" t="s">
        <v>505</v>
      </c>
      <c r="D100" s="36">
        <v>1987.4133999999999</v>
      </c>
      <c r="E100" s="36">
        <v>2202.7654000000002</v>
      </c>
      <c r="F100" s="36"/>
      <c r="G100" s="36">
        <v>167.92599999999999</v>
      </c>
      <c r="H100" s="36">
        <v>255.9</v>
      </c>
      <c r="I100" s="36">
        <f t="shared" si="19"/>
        <v>8.6079148104728418</v>
      </c>
      <c r="J100" s="44">
        <v>0.52388552100329933</v>
      </c>
      <c r="K100" s="36">
        <v>88.019999999999982</v>
      </c>
      <c r="L100" s="36">
        <v>55.325000000000003</v>
      </c>
      <c r="M100" s="94">
        <f t="shared" si="20"/>
        <v>0.52415945118683227</v>
      </c>
      <c r="N100" s="36">
        <v>38.638999999999996</v>
      </c>
      <c r="O100" s="36">
        <f t="shared" si="21"/>
        <v>0.23009539916391744</v>
      </c>
      <c r="P100" s="36">
        <v>73.087000000000003</v>
      </c>
      <c r="Q100" s="36">
        <f t="shared" si="22"/>
        <v>0.43523337660636235</v>
      </c>
      <c r="R100" s="36">
        <v>22.571999999999999</v>
      </c>
      <c r="S100" s="36">
        <f t="shared" si="23"/>
        <v>0.13441635005895455</v>
      </c>
      <c r="T100" s="36">
        <v>-39.728000000000002</v>
      </c>
      <c r="U100" s="36">
        <v>-51.800000000000004</v>
      </c>
      <c r="V100" s="36">
        <f t="shared" si="24"/>
        <v>-0.23658039850886703</v>
      </c>
      <c r="W100" s="36">
        <v>-47.155000000000001</v>
      </c>
      <c r="X100" s="36">
        <v>-54.15</v>
      </c>
      <c r="Y100" s="92">
        <f t="shared" si="25"/>
        <v>-0.28080821314150284</v>
      </c>
    </row>
    <row r="101" spans="1:25" x14ac:dyDescent="0.2">
      <c r="A101" s="1" t="s">
        <v>229</v>
      </c>
      <c r="B101" s="1" t="s">
        <v>230</v>
      </c>
      <c r="C101" s="36" t="s">
        <v>505</v>
      </c>
      <c r="D101" s="36">
        <v>1941.7501</v>
      </c>
      <c r="E101" s="36">
        <v>1544.9141</v>
      </c>
      <c r="F101" s="36"/>
      <c r="G101" s="36">
        <v>344.017</v>
      </c>
      <c r="H101" s="36">
        <v>369.76900000000001</v>
      </c>
      <c r="I101" s="36">
        <f t="shared" si="19"/>
        <v>4.1780519729885413</v>
      </c>
      <c r="J101" s="44">
        <v>7.4856765799364622E-2</v>
      </c>
      <c r="K101" s="36">
        <v>274.43599694824218</v>
      </c>
      <c r="L101" s="36">
        <v>80.14</v>
      </c>
      <c r="M101" s="94">
        <f t="shared" si="20"/>
        <v>0.79773963771628198</v>
      </c>
      <c r="N101" s="36">
        <v>63.451999999999998</v>
      </c>
      <c r="O101" s="36">
        <f t="shared" si="21"/>
        <v>0.1844443733885244</v>
      </c>
      <c r="P101" s="36">
        <v>152.178</v>
      </c>
      <c r="Q101" s="36">
        <f t="shared" si="22"/>
        <v>0.44235604635817416</v>
      </c>
      <c r="R101" s="36">
        <v>54.435000000000002</v>
      </c>
      <c r="S101" s="36">
        <f t="shared" si="23"/>
        <v>0.15823345939299513</v>
      </c>
      <c r="T101" s="36">
        <v>7.0558987341769992</v>
      </c>
      <c r="U101" s="36">
        <v>42.024999999999999</v>
      </c>
      <c r="V101" s="36">
        <f t="shared" si="24"/>
        <v>2.0510319938192006E-2</v>
      </c>
      <c r="W101" s="36">
        <v>-22.831899999999997</v>
      </c>
      <c r="X101" s="36">
        <v>24.121000000000002</v>
      </c>
      <c r="Y101" s="92">
        <f t="shared" si="25"/>
        <v>-6.636852248580738E-2</v>
      </c>
    </row>
    <row r="102" spans="1:25" x14ac:dyDescent="0.2">
      <c r="A102" s="1" t="s">
        <v>237</v>
      </c>
      <c r="B102" s="1" t="s">
        <v>238</v>
      </c>
      <c r="C102" s="36" t="s">
        <v>506</v>
      </c>
      <c r="D102" s="36">
        <v>1875.4392</v>
      </c>
      <c r="E102" s="36">
        <v>3979.5682000000002</v>
      </c>
      <c r="F102" s="36"/>
      <c r="G102" s="36">
        <v>2524.2550000000001</v>
      </c>
      <c r="H102" s="36">
        <v>2627.6289999999999</v>
      </c>
      <c r="I102" s="36">
        <f t="shared" si="19"/>
        <v>1.5145091639649282</v>
      </c>
      <c r="J102" s="44">
        <v>4.0952280970028676E-2</v>
      </c>
      <c r="K102" s="36">
        <v>920.60099450683606</v>
      </c>
      <c r="L102" s="36">
        <v>50.033000000000001</v>
      </c>
      <c r="M102" s="94">
        <f t="shared" si="20"/>
        <v>0.36470205843182879</v>
      </c>
      <c r="N102" s="36">
        <v>0</v>
      </c>
      <c r="O102" s="36">
        <f t="shared" si="21"/>
        <v>0</v>
      </c>
      <c r="P102" s="36" t="s">
        <v>480</v>
      </c>
      <c r="Q102" s="36" t="e">
        <f t="shared" si="22"/>
        <v>#VALUE!</v>
      </c>
      <c r="R102" s="36" t="s">
        <v>480</v>
      </c>
      <c r="S102" s="36" t="e">
        <f t="shared" si="23"/>
        <v>#VALUE!</v>
      </c>
      <c r="T102" s="36">
        <v>545.98500000000001</v>
      </c>
      <c r="U102" s="36">
        <v>616.20000000000005</v>
      </c>
      <c r="V102" s="36">
        <f t="shared" si="24"/>
        <v>0.21629550104882431</v>
      </c>
      <c r="W102" s="36">
        <v>163.409500215957</v>
      </c>
      <c r="X102" s="36">
        <v>183.667</v>
      </c>
      <c r="Y102" s="92">
        <f t="shared" si="25"/>
        <v>6.4735733995161734E-2</v>
      </c>
    </row>
    <row r="103" spans="1:25" x14ac:dyDescent="0.2">
      <c r="A103" s="1" t="s">
        <v>239</v>
      </c>
      <c r="B103" s="1" t="s">
        <v>240</v>
      </c>
      <c r="C103" s="36" t="s">
        <v>506</v>
      </c>
      <c r="D103" s="36">
        <v>1831.0175999999999</v>
      </c>
      <c r="E103" s="36">
        <v>2334.0005999999998</v>
      </c>
      <c r="F103" s="36"/>
      <c r="G103" s="36">
        <v>425.97399999999993</v>
      </c>
      <c r="H103" s="36">
        <v>456</v>
      </c>
      <c r="I103" s="36">
        <f t="shared" si="19"/>
        <v>5.1184223684210526</v>
      </c>
      <c r="J103" s="44">
        <v>7.048787015169955E-2</v>
      </c>
      <c r="K103" s="36">
        <v>215.97600213623048</v>
      </c>
      <c r="L103" s="36">
        <v>49.4</v>
      </c>
      <c r="M103" s="94">
        <f t="shared" si="20"/>
        <v>0.50701686519888656</v>
      </c>
      <c r="N103" s="36">
        <v>0</v>
      </c>
      <c r="O103" s="36">
        <f t="shared" si="21"/>
        <v>0</v>
      </c>
      <c r="P103" s="36" t="s">
        <v>480</v>
      </c>
      <c r="Q103" s="36" t="e">
        <f t="shared" si="22"/>
        <v>#VALUE!</v>
      </c>
      <c r="R103" s="36" t="s">
        <v>480</v>
      </c>
      <c r="S103" s="36" t="e">
        <f t="shared" si="23"/>
        <v>#VALUE!</v>
      </c>
      <c r="T103" s="36">
        <v>171.22300000000001</v>
      </c>
      <c r="U103" s="36">
        <v>204.85</v>
      </c>
      <c r="V103" s="36">
        <f t="shared" si="24"/>
        <v>0.40195645743636943</v>
      </c>
      <c r="W103" s="36">
        <v>66.721209999999999</v>
      </c>
      <c r="X103" s="36">
        <v>119.575</v>
      </c>
      <c r="Y103" s="92">
        <f t="shared" si="25"/>
        <v>0.15663211839220237</v>
      </c>
    </row>
    <row r="104" spans="1:25" x14ac:dyDescent="0.2">
      <c r="A104" s="1" t="s">
        <v>241</v>
      </c>
      <c r="B104" s="1" t="s">
        <v>242</v>
      </c>
      <c r="C104" s="36" t="s">
        <v>505</v>
      </c>
      <c r="D104" s="36">
        <v>1795.8797999999999</v>
      </c>
      <c r="E104" s="36">
        <v>1637.1987999999999</v>
      </c>
      <c r="F104" s="36"/>
      <c r="G104" s="36">
        <v>242.52799999999999</v>
      </c>
      <c r="H104" s="36">
        <v>285.279</v>
      </c>
      <c r="I104" s="36">
        <f t="shared" si="19"/>
        <v>5.7389390736787496</v>
      </c>
      <c r="J104" s="44">
        <v>0.1762724303997889</v>
      </c>
      <c r="K104" s="36">
        <v>218.322998046875</v>
      </c>
      <c r="L104" s="36">
        <v>90.492000000000004</v>
      </c>
      <c r="M104" s="94">
        <f t="shared" si="20"/>
        <v>0.90019708259201003</v>
      </c>
      <c r="N104" s="36">
        <v>47.369</v>
      </c>
      <c r="O104" s="36">
        <f t="shared" si="21"/>
        <v>0.19531353080881383</v>
      </c>
      <c r="P104" s="36">
        <v>135.89599999999999</v>
      </c>
      <c r="Q104" s="36">
        <f t="shared" si="22"/>
        <v>0.56033117825570655</v>
      </c>
      <c r="R104" s="36">
        <v>26.823</v>
      </c>
      <c r="S104" s="36">
        <f t="shared" si="23"/>
        <v>0.11059753925319964</v>
      </c>
      <c r="T104" s="36">
        <v>-20.379999999999995</v>
      </c>
      <c r="U104" s="36">
        <v>11.15</v>
      </c>
      <c r="V104" s="36">
        <f t="shared" si="24"/>
        <v>-8.4031534503232599E-2</v>
      </c>
      <c r="W104" s="36">
        <v>-25.522279999999999</v>
      </c>
      <c r="X104" s="36">
        <v>2.6310000000000002</v>
      </c>
      <c r="Y104" s="92">
        <f t="shared" si="25"/>
        <v>-0.10523436469191186</v>
      </c>
    </row>
    <row r="105" spans="1:25" x14ac:dyDescent="0.2">
      <c r="A105" s="1" t="s">
        <v>243</v>
      </c>
      <c r="B105" s="1" t="s">
        <v>244</v>
      </c>
      <c r="C105" s="36" t="s">
        <v>495</v>
      </c>
      <c r="D105" s="36">
        <v>1921.4287999999999</v>
      </c>
      <c r="E105" s="36">
        <v>1797.1029000000001</v>
      </c>
      <c r="F105" s="36"/>
      <c r="G105" s="36">
        <v>198.54300000000001</v>
      </c>
      <c r="H105" s="36">
        <v>249.18700000000001</v>
      </c>
      <c r="I105" s="36">
        <f t="shared" si="19"/>
        <v>7.2118645836259514</v>
      </c>
      <c r="J105" s="44">
        <v>0.25507824501493381</v>
      </c>
      <c r="K105" s="36">
        <v>147.79099822998046</v>
      </c>
      <c r="L105" s="36">
        <v>75.325000000000003</v>
      </c>
      <c r="M105" s="94">
        <f t="shared" si="20"/>
        <v>0.74437778330125193</v>
      </c>
      <c r="N105" s="36">
        <v>25.686999999999998</v>
      </c>
      <c r="O105" s="36">
        <f t="shared" si="21"/>
        <v>0.12937751519821902</v>
      </c>
      <c r="P105" s="36">
        <v>126.98</v>
      </c>
      <c r="Q105" s="36">
        <f t="shared" si="22"/>
        <v>0.63955918868960371</v>
      </c>
      <c r="R105" s="36">
        <v>40.079000000000001</v>
      </c>
      <c r="S105" s="36">
        <f t="shared" si="23"/>
        <v>0.20186559082919064</v>
      </c>
      <c r="T105" s="36">
        <v>-68.009</v>
      </c>
      <c r="U105" s="36">
        <v>-31.501999999999999</v>
      </c>
      <c r="V105" s="36">
        <f t="shared" si="24"/>
        <v>-0.34254040686400428</v>
      </c>
      <c r="W105" s="36">
        <v>-73.292000000000002</v>
      </c>
      <c r="X105" s="36">
        <v>-41.255000000000003</v>
      </c>
      <c r="Y105" s="92">
        <f t="shared" si="25"/>
        <v>-0.36914925230302753</v>
      </c>
    </row>
    <row r="106" spans="1:25" x14ac:dyDescent="0.2">
      <c r="A106" s="1" t="s">
        <v>245</v>
      </c>
      <c r="B106" s="1" t="s">
        <v>246</v>
      </c>
      <c r="C106" s="36" t="s">
        <v>505</v>
      </c>
      <c r="D106" s="36">
        <v>1800.3489</v>
      </c>
      <c r="E106" s="36">
        <v>1708.3059000000001</v>
      </c>
      <c r="F106" s="36"/>
      <c r="G106" s="36">
        <v>176.48500000000001</v>
      </c>
      <c r="H106" s="36">
        <v>232.17500000000001</v>
      </c>
      <c r="I106" s="36">
        <f t="shared" si="19"/>
        <v>7.357837407128244</v>
      </c>
      <c r="J106" s="44">
        <v>0.31555089667677128</v>
      </c>
      <c r="K106" s="36">
        <v>135.33699801635743</v>
      </c>
      <c r="L106" s="36">
        <v>78.02</v>
      </c>
      <c r="M106" s="94">
        <f t="shared" si="20"/>
        <v>0.76684702958527584</v>
      </c>
      <c r="N106" s="36">
        <v>26.834999999999997</v>
      </c>
      <c r="O106" s="36">
        <f t="shared" si="21"/>
        <v>0.15205258237243957</v>
      </c>
      <c r="P106" s="36">
        <v>86.891999999999996</v>
      </c>
      <c r="Q106" s="36">
        <f t="shared" si="22"/>
        <v>0.49234779159701952</v>
      </c>
      <c r="R106" s="36">
        <v>29.446000000000002</v>
      </c>
      <c r="S106" s="36">
        <f t="shared" si="23"/>
        <v>0.16684704082499929</v>
      </c>
      <c r="T106" s="36">
        <v>-30.723999999999997</v>
      </c>
      <c r="U106" s="36">
        <v>-31</v>
      </c>
      <c r="V106" s="36">
        <f t="shared" si="24"/>
        <v>-0.17408844944329543</v>
      </c>
      <c r="W106" s="36">
        <v>-34.695</v>
      </c>
      <c r="X106" s="36">
        <v>-11.468</v>
      </c>
      <c r="Y106" s="92">
        <f t="shared" si="25"/>
        <v>-0.19658894523613904</v>
      </c>
    </row>
    <row r="107" spans="1:25" x14ac:dyDescent="0.2">
      <c r="A107" s="1" t="s">
        <v>247</v>
      </c>
      <c r="B107" s="1" t="s">
        <v>248</v>
      </c>
      <c r="C107" s="36" t="s">
        <v>495</v>
      </c>
      <c r="D107" s="36">
        <v>1757.4110000000001</v>
      </c>
      <c r="E107" s="36">
        <v>2277.1129999999998</v>
      </c>
      <c r="F107" s="36"/>
      <c r="G107" s="36">
        <v>430.33699999999999</v>
      </c>
      <c r="H107" s="36">
        <v>547.33299999999997</v>
      </c>
      <c r="I107" s="36">
        <f t="shared" si="19"/>
        <v>4.16037951302041</v>
      </c>
      <c r="J107" s="44">
        <v>0.27187065021134593</v>
      </c>
      <c r="K107" s="36">
        <v>273.81199511718751</v>
      </c>
      <c r="L107" s="36">
        <v>64.75</v>
      </c>
      <c r="M107" s="94">
        <f t="shared" si="20"/>
        <v>0.63627342087059102</v>
      </c>
      <c r="N107" s="36">
        <v>33.853999999999999</v>
      </c>
      <c r="O107" s="36">
        <f t="shared" si="21"/>
        <v>7.8668578346737558E-2</v>
      </c>
      <c r="P107" s="36">
        <v>16.303000000000001</v>
      </c>
      <c r="Q107" s="36">
        <f t="shared" si="22"/>
        <v>3.7884262798690331E-2</v>
      </c>
      <c r="R107" s="36">
        <v>59.975999999999999</v>
      </c>
      <c r="S107" s="36">
        <f t="shared" si="23"/>
        <v>0.13936984270467098</v>
      </c>
      <c r="T107" s="36">
        <v>145.13300000000001</v>
      </c>
      <c r="U107" s="36">
        <v>186.70000000000002</v>
      </c>
      <c r="V107" s="36">
        <f t="shared" si="24"/>
        <v>0.33725429140417862</v>
      </c>
      <c r="W107" s="36">
        <v>106.145</v>
      </c>
      <c r="X107" s="36">
        <v>128.31700000000001</v>
      </c>
      <c r="Y107" s="92">
        <f t="shared" si="25"/>
        <v>0.24665552810936545</v>
      </c>
    </row>
    <row r="108" spans="1:25" x14ac:dyDescent="0.2">
      <c r="A108" s="1" t="s">
        <v>249</v>
      </c>
      <c r="B108" s="1" t="s">
        <v>250</v>
      </c>
      <c r="C108" s="36" t="s">
        <v>495</v>
      </c>
      <c r="D108" s="36">
        <v>1735.2260000000001</v>
      </c>
      <c r="E108" s="36">
        <v>1683.934</v>
      </c>
      <c r="F108" s="36"/>
      <c r="G108" s="36">
        <v>472.71199999999999</v>
      </c>
      <c r="H108" s="36">
        <v>564.25700000000006</v>
      </c>
      <c r="I108" s="36">
        <f t="shared" si="19"/>
        <v>2.9843386967286181</v>
      </c>
      <c r="J108" s="44">
        <v>0.19365914129533435</v>
      </c>
      <c r="K108" s="36">
        <v>176.87399850463868</v>
      </c>
      <c r="L108" s="36">
        <v>39.25</v>
      </c>
      <c r="M108" s="94">
        <f t="shared" si="20"/>
        <v>0.37416862382304378</v>
      </c>
      <c r="N108" s="36">
        <v>0</v>
      </c>
      <c r="O108" s="36">
        <f t="shared" si="21"/>
        <v>0</v>
      </c>
      <c r="P108" s="36" t="s">
        <v>480</v>
      </c>
      <c r="Q108" s="36" t="e">
        <f t="shared" si="22"/>
        <v>#VALUE!</v>
      </c>
      <c r="R108" s="36" t="s">
        <v>480</v>
      </c>
      <c r="S108" s="36" t="e">
        <f t="shared" si="23"/>
        <v>#VALUE!</v>
      </c>
      <c r="T108" s="36">
        <v>71.519571428570998</v>
      </c>
      <c r="U108" s="36">
        <v>96.55</v>
      </c>
      <c r="V108" s="36">
        <f t="shared" si="24"/>
        <v>0.15129628913285678</v>
      </c>
      <c r="W108" s="36">
        <v>48.062889999999996</v>
      </c>
      <c r="X108" s="36">
        <v>69.875</v>
      </c>
      <c r="Y108" s="92">
        <f t="shared" si="25"/>
        <v>0.10167478295452621</v>
      </c>
    </row>
    <row r="109" spans="1:25" x14ac:dyDescent="0.2">
      <c r="A109" s="1" t="s">
        <v>251</v>
      </c>
      <c r="B109" s="1" t="s">
        <v>252</v>
      </c>
      <c r="C109" s="36" t="s">
        <v>495</v>
      </c>
      <c r="D109" s="36">
        <v>1726.7701999999999</v>
      </c>
      <c r="E109" s="36">
        <v>1563.4879000000001</v>
      </c>
      <c r="F109" s="36"/>
      <c r="G109" s="36">
        <v>143.75199999999998</v>
      </c>
      <c r="H109" s="36">
        <v>169.75800000000001</v>
      </c>
      <c r="I109" s="36">
        <f t="shared" si="19"/>
        <v>9.2100984931490704</v>
      </c>
      <c r="J109" s="44">
        <v>0.18090878735600224</v>
      </c>
      <c r="K109" s="36">
        <v>101.70600183105469</v>
      </c>
      <c r="L109" s="36">
        <v>69.040000000000006</v>
      </c>
      <c r="M109" s="94">
        <f t="shared" si="20"/>
        <v>0.70751016911802767</v>
      </c>
      <c r="N109" s="36">
        <v>23.690999999999999</v>
      </c>
      <c r="O109" s="36">
        <f t="shared" si="21"/>
        <v>0.16480466358728924</v>
      </c>
      <c r="P109" s="36">
        <v>29.28</v>
      </c>
      <c r="Q109" s="36">
        <f t="shared" si="22"/>
        <v>0.20368412265568483</v>
      </c>
      <c r="R109" s="36">
        <v>13.855</v>
      </c>
      <c r="S109" s="36">
        <f t="shared" si="23"/>
        <v>9.6381267738883655E-2</v>
      </c>
      <c r="T109" s="36">
        <v>35.331999999999994</v>
      </c>
      <c r="U109" s="36">
        <v>46.706000000000003</v>
      </c>
      <c r="V109" s="36">
        <f t="shared" si="24"/>
        <v>0.2457844064778229</v>
      </c>
      <c r="W109" s="36">
        <v>20.335000000000001</v>
      </c>
      <c r="X109" s="36">
        <v>25.542000000000002</v>
      </c>
      <c r="Y109" s="92">
        <f t="shared" si="25"/>
        <v>0.14145890144137127</v>
      </c>
    </row>
    <row r="110" spans="1:25" x14ac:dyDescent="0.2">
      <c r="A110" s="1" t="s">
        <v>253</v>
      </c>
      <c r="B110" s="1" t="s">
        <v>254</v>
      </c>
      <c r="C110" s="36" t="s">
        <v>495</v>
      </c>
      <c r="D110" s="36">
        <v>1631.2665999999999</v>
      </c>
      <c r="E110" s="36">
        <v>1478.7066</v>
      </c>
      <c r="F110" s="36"/>
      <c r="G110" s="36">
        <v>310.62700000000001</v>
      </c>
      <c r="H110" s="36">
        <v>366.35300000000001</v>
      </c>
      <c r="I110" s="36">
        <f t="shared" si="19"/>
        <v>4.0362890436273213</v>
      </c>
      <c r="J110" s="44">
        <v>0.17939844250499792</v>
      </c>
      <c r="K110" s="36">
        <v>234.64100097656251</v>
      </c>
      <c r="L110" s="36">
        <v>77.533000000000001</v>
      </c>
      <c r="M110" s="94">
        <f t="shared" si="20"/>
        <v>0.75537864054497039</v>
      </c>
      <c r="N110" s="36">
        <v>34.796999999999997</v>
      </c>
      <c r="O110" s="36">
        <f t="shared" si="21"/>
        <v>0.11202181394405508</v>
      </c>
      <c r="P110" s="36">
        <v>184.04400000000001</v>
      </c>
      <c r="Q110" s="36">
        <f t="shared" si="22"/>
        <v>0.5924919598103191</v>
      </c>
      <c r="R110" s="36">
        <v>38.914999999999999</v>
      </c>
      <c r="S110" s="36">
        <f t="shared" si="23"/>
        <v>0.12527887144388608</v>
      </c>
      <c r="T110" s="36">
        <v>-13.42</v>
      </c>
      <c r="U110" s="36">
        <v>0.23300000000000001</v>
      </c>
      <c r="V110" s="36">
        <f t="shared" si="24"/>
        <v>-4.3202941148065041E-2</v>
      </c>
      <c r="W110" s="36">
        <v>42.356312490929</v>
      </c>
      <c r="X110" s="36">
        <v>-14.969000000000001</v>
      </c>
      <c r="Y110" s="92">
        <f t="shared" si="25"/>
        <v>0.13635747211584634</v>
      </c>
    </row>
    <row r="111" spans="1:25" x14ac:dyDescent="0.2">
      <c r="A111" s="1" t="s">
        <v>257</v>
      </c>
      <c r="B111" s="1" t="s">
        <v>258</v>
      </c>
      <c r="C111" s="36" t="s">
        <v>495</v>
      </c>
      <c r="D111" s="36">
        <v>1534.6110000000001</v>
      </c>
      <c r="E111" s="36">
        <v>1454.999</v>
      </c>
      <c r="F111" s="36"/>
      <c r="G111" s="36">
        <v>211.739</v>
      </c>
      <c r="H111" s="36">
        <v>279.25700000000001</v>
      </c>
      <c r="I111" s="36">
        <f t="shared" si="19"/>
        <v>5.2102507725858258</v>
      </c>
      <c r="J111" s="44">
        <v>0.31887370772507673</v>
      </c>
      <c r="K111" s="36">
        <v>149.78799795532225</v>
      </c>
      <c r="L111" s="36">
        <v>70.757000000000005</v>
      </c>
      <c r="M111" s="94">
        <f t="shared" si="20"/>
        <v>0.70741808526214944</v>
      </c>
      <c r="N111" s="36">
        <v>35.809999999999995</v>
      </c>
      <c r="O111" s="36">
        <f t="shared" si="21"/>
        <v>0.16912330746815651</v>
      </c>
      <c r="P111" s="36">
        <v>71.825000000000003</v>
      </c>
      <c r="Q111" s="36">
        <f t="shared" si="22"/>
        <v>0.33921478801732324</v>
      </c>
      <c r="R111" s="36">
        <v>37.470999999999997</v>
      </c>
      <c r="S111" s="36">
        <f t="shared" si="23"/>
        <v>0.176967870822097</v>
      </c>
      <c r="T111" s="36">
        <v>-11.435911392404998</v>
      </c>
      <c r="U111" s="36">
        <v>2.3530000000000002</v>
      </c>
      <c r="V111" s="36">
        <f t="shared" si="24"/>
        <v>-5.4009471058260393E-2</v>
      </c>
      <c r="W111" s="36">
        <v>-22.763379999999998</v>
      </c>
      <c r="X111" s="36">
        <v>-7.5310000000000006</v>
      </c>
      <c r="Y111" s="92">
        <f t="shared" si="25"/>
        <v>-0.10750678901855586</v>
      </c>
    </row>
    <row r="112" spans="1:25" x14ac:dyDescent="0.2">
      <c r="A112" s="1" t="s">
        <v>259</v>
      </c>
      <c r="B112" s="1" t="s">
        <v>260</v>
      </c>
      <c r="C112" s="36" t="s">
        <v>495</v>
      </c>
      <c r="D112" s="36">
        <v>1513.4337</v>
      </c>
      <c r="E112" s="36">
        <v>1346.6967</v>
      </c>
      <c r="F112" s="36"/>
      <c r="G112" s="36">
        <v>128.28899999999999</v>
      </c>
      <c r="H112" s="36">
        <v>156.166</v>
      </c>
      <c r="I112" s="36">
        <f t="shared" si="19"/>
        <v>8.6234948708425652</v>
      </c>
      <c r="J112" s="44">
        <v>0.21729844335835513</v>
      </c>
      <c r="K112" s="36">
        <v>95.234000320434575</v>
      </c>
      <c r="L112" s="36">
        <v>76.150000000000006</v>
      </c>
      <c r="M112" s="94">
        <f t="shared" si="20"/>
        <v>0.74233956395664935</v>
      </c>
      <c r="N112" s="36">
        <v>29.642999999999997</v>
      </c>
      <c r="O112" s="36">
        <f t="shared" si="21"/>
        <v>0.23106423777564716</v>
      </c>
      <c r="P112" s="36">
        <v>28.184999999999999</v>
      </c>
      <c r="Q112" s="36">
        <f t="shared" si="22"/>
        <v>0.21969927273577627</v>
      </c>
      <c r="R112" s="36">
        <v>30.100999999999999</v>
      </c>
      <c r="S112" s="36">
        <f t="shared" si="23"/>
        <v>0.23463430223947496</v>
      </c>
      <c r="T112" s="36">
        <v>4.5019999999999998</v>
      </c>
      <c r="U112" s="36">
        <v>18.233000000000001</v>
      </c>
      <c r="V112" s="36">
        <f t="shared" si="24"/>
        <v>3.5092642393346273E-2</v>
      </c>
      <c r="W112" s="36">
        <v>-4.702</v>
      </c>
      <c r="X112" s="36">
        <v>8.918000000000001</v>
      </c>
      <c r="Y112" s="92">
        <f t="shared" si="25"/>
        <v>-3.6651622508554908E-2</v>
      </c>
    </row>
    <row r="113" spans="1:25" x14ac:dyDescent="0.2">
      <c r="A113" s="1" t="s">
        <v>261</v>
      </c>
      <c r="B113" s="1" t="s">
        <v>262</v>
      </c>
      <c r="C113" s="36" t="s">
        <v>495</v>
      </c>
      <c r="D113" s="36">
        <v>1542.9568999999999</v>
      </c>
      <c r="E113" s="36">
        <v>1407.1201000000001</v>
      </c>
      <c r="F113" s="36"/>
      <c r="G113" s="36">
        <v>268.00934779214469</v>
      </c>
      <c r="H113" s="36">
        <v>275.88499999999999</v>
      </c>
      <c r="I113" s="36">
        <f t="shared" si="19"/>
        <v>5.1003863928810924</v>
      </c>
      <c r="J113" s="44">
        <v>2.9385737000350076E-2</v>
      </c>
      <c r="K113" s="36">
        <v>186.44702180226108</v>
      </c>
      <c r="L113" s="36">
        <v>69.266999999999996</v>
      </c>
      <c r="M113" s="94">
        <f t="shared" si="20"/>
        <v>0.69567357757558712</v>
      </c>
      <c r="N113" s="36">
        <v>34.081785163002429</v>
      </c>
      <c r="O113" s="36">
        <f t="shared" si="21"/>
        <v>0.12716640461897114</v>
      </c>
      <c r="P113" s="36" t="s">
        <v>480</v>
      </c>
      <c r="Q113" s="36" t="e">
        <f t="shared" si="22"/>
        <v>#VALUE!</v>
      </c>
      <c r="R113" s="36" t="s">
        <v>480</v>
      </c>
      <c r="S113" s="36" t="e">
        <f t="shared" si="23"/>
        <v>#VALUE!</v>
      </c>
      <c r="T113" s="36">
        <v>92.270070899827459</v>
      </c>
      <c r="U113" s="36">
        <v>82.138000000000005</v>
      </c>
      <c r="V113" s="36">
        <f t="shared" si="24"/>
        <v>0.34427930092717413</v>
      </c>
      <c r="W113" s="36">
        <v>45.2449786771883</v>
      </c>
      <c r="X113" s="36">
        <v>49.151000000000003</v>
      </c>
      <c r="Y113" s="92">
        <f t="shared" si="25"/>
        <v>0.16881865893826267</v>
      </c>
    </row>
    <row r="114" spans="1:25" x14ac:dyDescent="0.2">
      <c r="A114" s="1" t="s">
        <v>263</v>
      </c>
      <c r="B114" s="1" t="s">
        <v>264</v>
      </c>
      <c r="C114" s="36" t="s">
        <v>505</v>
      </c>
      <c r="D114" s="36">
        <v>1556.6736000000001</v>
      </c>
      <c r="E114" s="36">
        <v>1443.3649</v>
      </c>
      <c r="F114" s="36"/>
      <c r="G114" s="36">
        <v>221.20800000000003</v>
      </c>
      <c r="H114" s="36">
        <v>260.59699999999998</v>
      </c>
      <c r="I114" s="36">
        <f t="shared" si="19"/>
        <v>5.5386857868663117</v>
      </c>
      <c r="J114" s="44">
        <v>0.17806318035514068</v>
      </c>
      <c r="K114" s="36">
        <v>155.65399899291992</v>
      </c>
      <c r="L114" s="36">
        <v>72.808999999999997</v>
      </c>
      <c r="M114" s="94">
        <f t="shared" si="20"/>
        <v>0.70365447448971064</v>
      </c>
      <c r="N114" s="36">
        <v>50.937999999999995</v>
      </c>
      <c r="O114" s="36">
        <f t="shared" si="21"/>
        <v>0.2302719612310585</v>
      </c>
      <c r="P114" s="36">
        <v>111.593</v>
      </c>
      <c r="Q114" s="36">
        <f t="shared" si="22"/>
        <v>0.50447090521138471</v>
      </c>
      <c r="R114" s="36">
        <v>30.292999999999999</v>
      </c>
      <c r="S114" s="36">
        <f t="shared" si="23"/>
        <v>0.13694351018046361</v>
      </c>
      <c r="T114" s="36">
        <v>-47.295392405064</v>
      </c>
      <c r="U114" s="36">
        <v>-2.335</v>
      </c>
      <c r="V114" s="36">
        <f t="shared" si="24"/>
        <v>-0.21380507217218181</v>
      </c>
      <c r="W114" s="36">
        <v>-53.869</v>
      </c>
      <c r="X114" s="36">
        <v>-11.454000000000001</v>
      </c>
      <c r="Y114" s="92">
        <f t="shared" si="25"/>
        <v>-0.24352193410726553</v>
      </c>
    </row>
    <row r="115" spans="1:25" x14ac:dyDescent="0.2">
      <c r="A115" s="1" t="s">
        <v>265</v>
      </c>
      <c r="B115" s="1" t="s">
        <v>266</v>
      </c>
      <c r="C115" s="36" t="s">
        <v>505</v>
      </c>
      <c r="D115" s="36">
        <v>1459.6728000000001</v>
      </c>
      <c r="E115" s="36">
        <v>1409.3098</v>
      </c>
      <c r="F115" s="36"/>
      <c r="G115" s="36">
        <v>206.78900000000002</v>
      </c>
      <c r="H115" s="36">
        <v>220.108</v>
      </c>
      <c r="I115" s="36">
        <f t="shared" si="19"/>
        <v>6.4028104385120033</v>
      </c>
      <c r="J115" s="44">
        <v>6.44086484290749E-2</v>
      </c>
      <c r="K115" s="36">
        <v>128.89599989318847</v>
      </c>
      <c r="L115" s="36">
        <v>64.533000000000001</v>
      </c>
      <c r="M115" s="94">
        <f t="shared" si="20"/>
        <v>0.62332135603532324</v>
      </c>
      <c r="N115" s="36">
        <v>34.835000000000001</v>
      </c>
      <c r="O115" s="36">
        <f t="shared" si="21"/>
        <v>0.16845673609331249</v>
      </c>
      <c r="P115" s="36">
        <v>81.965999999999994</v>
      </c>
      <c r="Q115" s="36">
        <f t="shared" si="22"/>
        <v>0.3963750489629525</v>
      </c>
      <c r="R115" s="36">
        <v>27.15</v>
      </c>
      <c r="S115" s="36">
        <f t="shared" si="23"/>
        <v>0.13129325060810776</v>
      </c>
      <c r="T115" s="36">
        <v>-30.616</v>
      </c>
      <c r="U115" s="36">
        <v>-42.71</v>
      </c>
      <c r="V115" s="36">
        <f t="shared" si="24"/>
        <v>-0.148054296892001</v>
      </c>
      <c r="W115" s="36">
        <v>-33.673000000000002</v>
      </c>
      <c r="X115" s="36">
        <v>-37.93</v>
      </c>
      <c r="Y115" s="92">
        <f t="shared" si="25"/>
        <v>-0.16283748168422885</v>
      </c>
    </row>
    <row r="116" spans="1:25" x14ac:dyDescent="0.2">
      <c r="A116" s="1" t="s">
        <v>267</v>
      </c>
      <c r="B116" s="1" t="s">
        <v>268</v>
      </c>
      <c r="C116" s="36" t="s">
        <v>495</v>
      </c>
      <c r="D116" s="36">
        <v>1457.1904999999999</v>
      </c>
      <c r="E116" s="36">
        <v>1375.7365</v>
      </c>
      <c r="F116" s="36"/>
      <c r="G116" s="36">
        <v>309.411</v>
      </c>
      <c r="H116" s="36">
        <v>376.04599999999999</v>
      </c>
      <c r="I116" s="36">
        <f t="shared" si="19"/>
        <v>3.6584260968073057</v>
      </c>
      <c r="J116" s="44">
        <v>0.21536079842022415</v>
      </c>
      <c r="K116" s="36">
        <v>220.4609998474121</v>
      </c>
      <c r="L116" s="36">
        <v>74.707999999999998</v>
      </c>
      <c r="M116" s="94">
        <f t="shared" si="20"/>
        <v>0.71251830040758768</v>
      </c>
      <c r="N116" s="36">
        <v>101.09399999999999</v>
      </c>
      <c r="O116" s="36">
        <f t="shared" si="21"/>
        <v>0.32673046530343136</v>
      </c>
      <c r="P116" s="36">
        <v>200.18799999999999</v>
      </c>
      <c r="Q116" s="36">
        <f t="shared" si="22"/>
        <v>0.64699703630446226</v>
      </c>
      <c r="R116" s="36">
        <v>78.281999999999996</v>
      </c>
      <c r="S116" s="36">
        <f t="shared" si="23"/>
        <v>0.25300328689025275</v>
      </c>
      <c r="T116" s="36">
        <v>-163.124</v>
      </c>
      <c r="U116" s="36">
        <v>-38.413000000000004</v>
      </c>
      <c r="V116" s="36">
        <f t="shared" si="24"/>
        <v>-0.52720814709237873</v>
      </c>
      <c r="W116" s="36">
        <v>-176.84800000000001</v>
      </c>
      <c r="X116" s="36">
        <v>-41.511000000000003</v>
      </c>
      <c r="Y116" s="92">
        <f t="shared" si="25"/>
        <v>-0.57156338979545007</v>
      </c>
    </row>
    <row r="117" spans="1:25" x14ac:dyDescent="0.2">
      <c r="A117" s="1" t="s">
        <v>269</v>
      </c>
      <c r="B117" s="1" t="s">
        <v>270</v>
      </c>
      <c r="C117" s="36" t="s">
        <v>495</v>
      </c>
      <c r="D117" s="36">
        <v>1469.1429000000001</v>
      </c>
      <c r="E117" s="36">
        <v>1455.3159000000001</v>
      </c>
      <c r="F117" s="36"/>
      <c r="G117" s="36">
        <v>122.828</v>
      </c>
      <c r="H117" s="36">
        <v>163.084</v>
      </c>
      <c r="I117" s="36">
        <f t="shared" si="19"/>
        <v>8.9237196782026444</v>
      </c>
      <c r="J117" s="44">
        <v>0.32774285993421692</v>
      </c>
      <c r="K117" s="36">
        <v>85.026000061035163</v>
      </c>
      <c r="L117" s="36">
        <v>71.689000000000007</v>
      </c>
      <c r="M117" s="94">
        <f t="shared" si="20"/>
        <v>0.69223629840944378</v>
      </c>
      <c r="N117" s="36">
        <v>22.241</v>
      </c>
      <c r="O117" s="36">
        <f t="shared" si="21"/>
        <v>0.18107434786856416</v>
      </c>
      <c r="P117" s="36">
        <v>46.997999999999998</v>
      </c>
      <c r="Q117" s="36">
        <f t="shared" si="22"/>
        <v>0.38263262448301688</v>
      </c>
      <c r="R117" s="36">
        <v>22.895</v>
      </c>
      <c r="S117" s="36">
        <f t="shared" si="23"/>
        <v>0.18639886670791675</v>
      </c>
      <c r="T117" s="36">
        <v>-24.664999999999999</v>
      </c>
      <c r="U117" s="36">
        <v>-0.70599999999999996</v>
      </c>
      <c r="V117" s="36">
        <f t="shared" si="24"/>
        <v>-0.20080926173185265</v>
      </c>
      <c r="W117" s="36">
        <v>-39.188639999999999</v>
      </c>
      <c r="X117" s="36">
        <v>-13.982000000000001</v>
      </c>
      <c r="Y117" s="92">
        <f t="shared" si="25"/>
        <v>-0.3190529846614778</v>
      </c>
    </row>
    <row r="118" spans="1:25" x14ac:dyDescent="0.2">
      <c r="A118" s="1" t="s">
        <v>271</v>
      </c>
      <c r="B118" s="1" t="s">
        <v>272</v>
      </c>
      <c r="C118" s="36" t="s">
        <v>495</v>
      </c>
      <c r="D118" s="36">
        <v>1512.7247</v>
      </c>
      <c r="E118" s="36">
        <v>1335.0657000000001</v>
      </c>
      <c r="F118" s="36"/>
      <c r="G118" s="36">
        <v>234.53299999999999</v>
      </c>
      <c r="H118" s="36">
        <v>255.227</v>
      </c>
      <c r="I118" s="36">
        <f t="shared" si="19"/>
        <v>5.2308952422745243</v>
      </c>
      <c r="J118" s="44">
        <v>8.8234917900679388E-2</v>
      </c>
      <c r="K118" s="36">
        <v>156.26900183105468</v>
      </c>
      <c r="L118" s="36">
        <v>66.875</v>
      </c>
      <c r="M118" s="94">
        <f t="shared" si="20"/>
        <v>0.666298567071818</v>
      </c>
      <c r="N118" s="36">
        <v>23.183</v>
      </c>
      <c r="O118" s="36">
        <f t="shared" si="21"/>
        <v>9.8847496940729029E-2</v>
      </c>
      <c r="P118" s="36">
        <v>73.295000000000002</v>
      </c>
      <c r="Q118" s="36">
        <f t="shared" si="22"/>
        <v>0.31251465678603868</v>
      </c>
      <c r="R118" s="36">
        <v>37.460999999999999</v>
      </c>
      <c r="S118" s="36">
        <f t="shared" si="23"/>
        <v>0.15972592343081785</v>
      </c>
      <c r="T118" s="36">
        <v>24.942</v>
      </c>
      <c r="U118" s="36">
        <v>52.480000000000004</v>
      </c>
      <c r="V118" s="36">
        <f t="shared" si="24"/>
        <v>0.10634750760020978</v>
      </c>
      <c r="W118" s="36">
        <v>10.046000000000001</v>
      </c>
      <c r="X118" s="36">
        <v>29.999000000000002</v>
      </c>
      <c r="Y118" s="92">
        <f t="shared" si="25"/>
        <v>4.2834057467392654E-2</v>
      </c>
    </row>
    <row r="119" spans="1:25" x14ac:dyDescent="0.2">
      <c r="A119" s="1" t="s">
        <v>273</v>
      </c>
      <c r="B119" s="1" t="s">
        <v>274</v>
      </c>
      <c r="C119" s="36" t="s">
        <v>505</v>
      </c>
      <c r="D119" s="36">
        <v>1399.9066</v>
      </c>
      <c r="E119" s="36">
        <v>2032.1335999999999</v>
      </c>
      <c r="F119" s="36"/>
      <c r="G119" s="36">
        <v>774.83100000000002</v>
      </c>
      <c r="H119" s="36">
        <v>685.5</v>
      </c>
      <c r="I119" s="36">
        <f t="shared" si="19"/>
        <v>2.9644545587162652</v>
      </c>
      <c r="J119" s="44">
        <v>-0.11529094731625344</v>
      </c>
      <c r="K119" s="36">
        <v>572.46900695800787</v>
      </c>
      <c r="L119" s="36">
        <v>73.2</v>
      </c>
      <c r="M119" s="94">
        <f t="shared" si="20"/>
        <v>0.73883079917815353</v>
      </c>
      <c r="N119" s="36">
        <v>194.38200000000001</v>
      </c>
      <c r="O119" s="36">
        <f t="shared" si="21"/>
        <v>0.25087018975750841</v>
      </c>
      <c r="P119" s="36" t="s">
        <v>480</v>
      </c>
      <c r="Q119" s="36" t="e">
        <f t="shared" si="22"/>
        <v>#VALUE!</v>
      </c>
      <c r="R119" s="36" t="s">
        <v>480</v>
      </c>
      <c r="S119" s="36" t="e">
        <f t="shared" si="23"/>
        <v>#VALUE!</v>
      </c>
      <c r="T119" s="36">
        <v>202.02800000000002</v>
      </c>
      <c r="U119" s="36">
        <v>206.42500000000001</v>
      </c>
      <c r="V119" s="36">
        <f t="shared" si="24"/>
        <v>0.26073814806067391</v>
      </c>
      <c r="W119" s="36">
        <v>-55.119129999999998</v>
      </c>
      <c r="X119" s="36">
        <v>129.5</v>
      </c>
      <c r="Y119" s="92">
        <f t="shared" si="25"/>
        <v>-7.1136970513570055E-2</v>
      </c>
    </row>
    <row r="120" spans="1:25" x14ac:dyDescent="0.2">
      <c r="A120" s="1" t="s">
        <v>275</v>
      </c>
      <c r="B120" s="1" t="s">
        <v>276</v>
      </c>
      <c r="C120" s="36" t="s">
        <v>495</v>
      </c>
      <c r="D120" s="36">
        <v>1420.0074</v>
      </c>
      <c r="E120" s="36">
        <v>719.44939999999997</v>
      </c>
      <c r="F120" s="36"/>
      <c r="G120" s="36">
        <v>506.92600000000004</v>
      </c>
      <c r="H120" s="36">
        <v>514</v>
      </c>
      <c r="I120" s="36">
        <f t="shared" si="19"/>
        <v>1.3997070038910506</v>
      </c>
      <c r="J120" s="44">
        <v>1.3954699502491508E-2</v>
      </c>
      <c r="K120" s="36">
        <v>407.5589940185547</v>
      </c>
      <c r="L120" s="36" t="s">
        <v>480</v>
      </c>
      <c r="M120" s="94">
        <f t="shared" si="20"/>
        <v>0.803981239901987</v>
      </c>
      <c r="N120" s="36">
        <v>78.765999999999991</v>
      </c>
      <c r="O120" s="36">
        <f t="shared" si="21"/>
        <v>0.15537968066344987</v>
      </c>
      <c r="P120" s="36">
        <v>174.61199999999999</v>
      </c>
      <c r="Q120" s="36">
        <f t="shared" si="22"/>
        <v>0.34445264200297476</v>
      </c>
      <c r="R120" s="36">
        <v>80.161000000000001</v>
      </c>
      <c r="S120" s="36">
        <f t="shared" si="23"/>
        <v>0.1581315616085977</v>
      </c>
      <c r="T120" s="36">
        <v>47.558000000000007</v>
      </c>
      <c r="U120" s="36" t="s">
        <v>480</v>
      </c>
      <c r="V120" s="36">
        <f t="shared" si="24"/>
        <v>9.3816454472644931E-2</v>
      </c>
      <c r="W120" s="36">
        <v>42.201000000000001</v>
      </c>
      <c r="X120" s="36" t="s">
        <v>480</v>
      </c>
      <c r="Y120" s="92">
        <f t="shared" si="25"/>
        <v>8.3248837108374787E-2</v>
      </c>
    </row>
    <row r="121" spans="1:25" x14ac:dyDescent="0.2">
      <c r="A121" s="1" t="s">
        <v>277</v>
      </c>
      <c r="B121" s="1" t="s">
        <v>278</v>
      </c>
      <c r="C121" s="36" t="s">
        <v>505</v>
      </c>
      <c r="D121" s="36">
        <v>1423.8616</v>
      </c>
      <c r="E121" s="36">
        <v>1403.5246</v>
      </c>
      <c r="F121" s="36"/>
      <c r="G121" s="36">
        <v>401.911</v>
      </c>
      <c r="H121" s="36">
        <v>396.25</v>
      </c>
      <c r="I121" s="36">
        <f t="shared" si="19"/>
        <v>3.5420179179810725</v>
      </c>
      <c r="J121" s="44">
        <v>-1.4085207919166232E-2</v>
      </c>
      <c r="K121" s="36">
        <v>333.70999957275393</v>
      </c>
      <c r="L121" s="36">
        <v>89</v>
      </c>
      <c r="M121" s="94">
        <f t="shared" si="20"/>
        <v>0.83030820149922224</v>
      </c>
      <c r="N121" s="36">
        <v>76.988</v>
      </c>
      <c r="O121" s="36">
        <f t="shared" si="21"/>
        <v>0.19155484671979617</v>
      </c>
      <c r="P121" s="36">
        <v>96.344999999999999</v>
      </c>
      <c r="Q121" s="36">
        <f t="shared" si="22"/>
        <v>0.23971725083413989</v>
      </c>
      <c r="R121" s="36">
        <v>45.738999999999997</v>
      </c>
      <c r="S121" s="36">
        <f t="shared" si="23"/>
        <v>0.11380380233434764</v>
      </c>
      <c r="T121" s="36">
        <v>142.37699999999998</v>
      </c>
      <c r="U121" s="36">
        <v>184</v>
      </c>
      <c r="V121" s="36">
        <f t="shared" si="24"/>
        <v>0.35425007028919331</v>
      </c>
      <c r="W121" s="36">
        <v>65.876939999999991</v>
      </c>
      <c r="X121" s="36">
        <v>108.733</v>
      </c>
      <c r="Y121" s="92">
        <f t="shared" si="25"/>
        <v>0.16390927344611117</v>
      </c>
    </row>
    <row r="122" spans="1:25" x14ac:dyDescent="0.2">
      <c r="A122" s="1" t="s">
        <v>279</v>
      </c>
      <c r="B122" s="1" t="s">
        <v>280</v>
      </c>
      <c r="C122" s="36" t="s">
        <v>495</v>
      </c>
      <c r="D122" s="36">
        <v>1422.0752</v>
      </c>
      <c r="E122" s="36">
        <v>1360.3652</v>
      </c>
      <c r="F122" s="36"/>
      <c r="G122" s="36">
        <v>225.61</v>
      </c>
      <c r="H122" s="36">
        <v>255.92000000000002</v>
      </c>
      <c r="I122" s="36">
        <f t="shared" si="19"/>
        <v>5.3155876836511409</v>
      </c>
      <c r="J122" s="44">
        <v>0.13434688178715493</v>
      </c>
      <c r="K122" s="36">
        <v>161.06200064086914</v>
      </c>
      <c r="L122" s="36">
        <v>72.180000000000007</v>
      </c>
      <c r="M122" s="94">
        <f t="shared" si="20"/>
        <v>0.71389566349394595</v>
      </c>
      <c r="N122" s="36">
        <v>68.171999999999997</v>
      </c>
      <c r="O122" s="36">
        <f t="shared" si="21"/>
        <v>0.30216745711626253</v>
      </c>
      <c r="P122" s="36">
        <v>84.161000000000001</v>
      </c>
      <c r="Q122" s="36">
        <f t="shared" si="22"/>
        <v>0.37303754266211603</v>
      </c>
      <c r="R122" s="36">
        <v>39.594000000000001</v>
      </c>
      <c r="S122" s="36">
        <f t="shared" si="23"/>
        <v>0.17549754000265946</v>
      </c>
      <c r="T122" s="36">
        <v>-48.74664556962</v>
      </c>
      <c r="U122" s="36">
        <v>-16.401</v>
      </c>
      <c r="V122" s="36">
        <f t="shared" si="24"/>
        <v>-0.21606597921023002</v>
      </c>
      <c r="W122" s="36">
        <v>-53.88</v>
      </c>
      <c r="X122" s="36">
        <v>-22.204000000000001</v>
      </c>
      <c r="Y122" s="92">
        <f t="shared" si="25"/>
        <v>-0.23881920127653916</v>
      </c>
    </row>
    <row r="123" spans="1:25" x14ac:dyDescent="0.2">
      <c r="A123" s="1" t="s">
        <v>283</v>
      </c>
      <c r="B123" s="1" t="s">
        <v>284</v>
      </c>
      <c r="C123" s="36" t="s">
        <v>506</v>
      </c>
      <c r="D123" s="36">
        <v>1272.5319</v>
      </c>
      <c r="E123" s="36">
        <v>2037.6169</v>
      </c>
      <c r="F123" s="36"/>
      <c r="G123" s="36">
        <v>1442.086</v>
      </c>
      <c r="H123" s="36">
        <v>1299.5</v>
      </c>
      <c r="I123" s="36">
        <f t="shared" si="19"/>
        <v>1.568000692574067</v>
      </c>
      <c r="J123" s="44">
        <v>-9.8874824386340321E-2</v>
      </c>
      <c r="K123" s="36">
        <v>493.43699993896485</v>
      </c>
      <c r="L123" s="36">
        <v>31.833000000000002</v>
      </c>
      <c r="M123" s="94">
        <f t="shared" si="20"/>
        <v>0.34216891360082885</v>
      </c>
      <c r="N123" s="36">
        <v>0</v>
      </c>
      <c r="O123" s="36">
        <f t="shared" si="21"/>
        <v>0</v>
      </c>
      <c r="P123" s="36" t="s">
        <v>480</v>
      </c>
      <c r="Q123" s="36" t="e">
        <f t="shared" si="22"/>
        <v>#VALUE!</v>
      </c>
      <c r="R123" s="36" t="s">
        <v>480</v>
      </c>
      <c r="S123" s="36" t="e">
        <f t="shared" si="23"/>
        <v>#VALUE!</v>
      </c>
      <c r="T123" s="36">
        <v>321.95100000000002</v>
      </c>
      <c r="U123" s="36">
        <v>274.86700000000002</v>
      </c>
      <c r="V123" s="36">
        <f t="shared" si="24"/>
        <v>0.22325367557829423</v>
      </c>
      <c r="W123" s="36">
        <v>65.558989999999994</v>
      </c>
      <c r="X123" s="36">
        <v>81.405000000000001</v>
      </c>
      <c r="Y123" s="92">
        <f t="shared" si="25"/>
        <v>4.546122075937218E-2</v>
      </c>
    </row>
    <row r="124" spans="1:25" x14ac:dyDescent="0.2">
      <c r="A124" s="1" t="s">
        <v>285</v>
      </c>
      <c r="B124" s="1" t="s">
        <v>286</v>
      </c>
      <c r="C124" s="36" t="s">
        <v>506</v>
      </c>
      <c r="D124" s="36">
        <v>1308.6161999999999</v>
      </c>
      <c r="E124" s="36">
        <v>1236.1941999999999</v>
      </c>
      <c r="F124" s="36"/>
      <c r="G124" s="36">
        <v>1637.712</v>
      </c>
      <c r="H124" s="36">
        <v>1656.5</v>
      </c>
      <c r="I124" s="36">
        <f t="shared" si="19"/>
        <v>0.74626875943253845</v>
      </c>
      <c r="J124" s="44">
        <v>1.147210254305997E-2</v>
      </c>
      <c r="K124" s="36">
        <v>553.73400109863292</v>
      </c>
      <c r="L124" s="36">
        <v>34.1</v>
      </c>
      <c r="M124" s="94">
        <f t="shared" si="20"/>
        <v>0.33811439441039259</v>
      </c>
      <c r="N124" s="36">
        <v>0</v>
      </c>
      <c r="O124" s="36">
        <f t="shared" si="21"/>
        <v>0</v>
      </c>
      <c r="P124" s="36" t="s">
        <v>480</v>
      </c>
      <c r="Q124" s="36" t="e">
        <f t="shared" si="22"/>
        <v>#VALUE!</v>
      </c>
      <c r="R124" s="36">
        <v>376.863</v>
      </c>
      <c r="S124" s="36">
        <f t="shared" si="23"/>
        <v>0.23011555145227</v>
      </c>
      <c r="T124" s="36">
        <v>168.06400000000002</v>
      </c>
      <c r="U124" s="36">
        <v>180.32500000000002</v>
      </c>
      <c r="V124" s="36">
        <f t="shared" si="24"/>
        <v>0.10262121789423294</v>
      </c>
      <c r="W124" s="36">
        <v>71.187725335842003</v>
      </c>
      <c r="X124" s="36">
        <v>91.15</v>
      </c>
      <c r="Y124" s="92">
        <f t="shared" si="25"/>
        <v>4.3467792466466634E-2</v>
      </c>
    </row>
    <row r="125" spans="1:25" x14ac:dyDescent="0.2">
      <c r="A125" s="1" t="s">
        <v>287</v>
      </c>
      <c r="B125" s="1" t="s">
        <v>288</v>
      </c>
      <c r="C125" s="36" t="s">
        <v>495</v>
      </c>
      <c r="D125" s="36">
        <v>1284.3643999999999</v>
      </c>
      <c r="E125" s="36">
        <v>1214.4014</v>
      </c>
      <c r="F125" s="36"/>
      <c r="G125" s="36">
        <v>233.78399999999999</v>
      </c>
      <c r="H125" s="36">
        <v>258.85399999999998</v>
      </c>
      <c r="I125" s="36">
        <f t="shared" si="19"/>
        <v>4.6914530971126585</v>
      </c>
      <c r="J125" s="44">
        <v>0.10723573897272698</v>
      </c>
      <c r="K125" s="36">
        <v>174.50399725341796</v>
      </c>
      <c r="L125" s="36">
        <v>75.575000000000003</v>
      </c>
      <c r="M125" s="94">
        <f t="shared" si="20"/>
        <v>0.74643259270702</v>
      </c>
      <c r="N125" s="36">
        <v>40.033999999999999</v>
      </c>
      <c r="O125" s="36">
        <f t="shared" si="21"/>
        <v>0.17124354104643602</v>
      </c>
      <c r="P125" s="36">
        <v>90.905000000000001</v>
      </c>
      <c r="Q125" s="36">
        <f t="shared" si="22"/>
        <v>0.38884183690928381</v>
      </c>
      <c r="R125" s="36">
        <v>43.124000000000002</v>
      </c>
      <c r="S125" s="36">
        <f t="shared" si="23"/>
        <v>0.18446086986277935</v>
      </c>
      <c r="T125" s="36">
        <v>9.7840000000000007</v>
      </c>
      <c r="U125" s="36">
        <v>26.565000000000001</v>
      </c>
      <c r="V125" s="36">
        <f t="shared" si="24"/>
        <v>4.1850597132395723E-2</v>
      </c>
      <c r="W125" s="36">
        <v>-8.9980586626340013</v>
      </c>
      <c r="X125" s="36">
        <v>9.8350000000000009</v>
      </c>
      <c r="Y125" s="92">
        <f t="shared" si="25"/>
        <v>-3.8488770243618048E-2</v>
      </c>
    </row>
    <row r="126" spans="1:25" x14ac:dyDescent="0.2">
      <c r="A126" s="1" t="s">
        <v>289</v>
      </c>
      <c r="B126" s="1" t="s">
        <v>290</v>
      </c>
      <c r="C126" s="36" t="s">
        <v>505</v>
      </c>
      <c r="D126" s="36">
        <v>1208.1090999999999</v>
      </c>
      <c r="E126" s="36">
        <v>1444.5420999999999</v>
      </c>
      <c r="F126" s="36"/>
      <c r="G126" s="36">
        <v>162.01400000000001</v>
      </c>
      <c r="H126" s="36">
        <v>226.63</v>
      </c>
      <c r="I126" s="36">
        <f t="shared" si="19"/>
        <v>6.3740109429466525</v>
      </c>
      <c r="J126" s="44">
        <v>0.39882973076400785</v>
      </c>
      <c r="K126" s="36">
        <v>126.376</v>
      </c>
      <c r="L126" s="36">
        <v>78.225000000000009</v>
      </c>
      <c r="M126" s="94">
        <f t="shared" si="20"/>
        <v>0.78003135531497281</v>
      </c>
      <c r="N126" s="36">
        <v>52.046999999999997</v>
      </c>
      <c r="O126" s="36">
        <f t="shared" si="21"/>
        <v>0.3212500154307652</v>
      </c>
      <c r="P126" s="36">
        <v>107.19</v>
      </c>
      <c r="Q126" s="36">
        <f t="shared" si="22"/>
        <v>0.66160949053785467</v>
      </c>
      <c r="R126" s="36">
        <v>22.337</v>
      </c>
      <c r="S126" s="36">
        <f t="shared" si="23"/>
        <v>0.13787080128877749</v>
      </c>
      <c r="T126" s="36">
        <v>-48.109000000000002</v>
      </c>
      <c r="U126" s="36">
        <v>-55.024999999999999</v>
      </c>
      <c r="V126" s="36">
        <f t="shared" si="24"/>
        <v>-0.29694347402076365</v>
      </c>
      <c r="W126" s="36">
        <v>-55.826999999999998</v>
      </c>
      <c r="X126" s="36">
        <v>-63.1</v>
      </c>
      <c r="Y126" s="92">
        <f t="shared" si="25"/>
        <v>-0.34458133247744022</v>
      </c>
    </row>
    <row r="127" spans="1:25" x14ac:dyDescent="0.2">
      <c r="A127" s="1" t="s">
        <v>291</v>
      </c>
      <c r="B127" s="1" t="s">
        <v>292</v>
      </c>
      <c r="C127" s="36" t="s">
        <v>495</v>
      </c>
      <c r="D127" s="36">
        <v>1266.3698999999999</v>
      </c>
      <c r="E127" s="36">
        <v>1016.1319</v>
      </c>
      <c r="F127" s="36"/>
      <c r="G127" s="36">
        <v>212.47800000000001</v>
      </c>
      <c r="H127" s="36">
        <v>249.06300000000002</v>
      </c>
      <c r="I127" s="36">
        <f t="shared" si="19"/>
        <v>4.0798187607151597</v>
      </c>
      <c r="J127" s="44">
        <v>0.17218253183859034</v>
      </c>
      <c r="K127" s="36">
        <v>147.23399932861327</v>
      </c>
      <c r="L127" s="36">
        <v>72.100000000000009</v>
      </c>
      <c r="M127" s="94">
        <f t="shared" si="20"/>
        <v>0.69293761861751924</v>
      </c>
      <c r="N127" s="36">
        <v>40.549999999999997</v>
      </c>
      <c r="O127" s="36">
        <f t="shared" si="21"/>
        <v>0.19084328730503861</v>
      </c>
      <c r="P127" s="36">
        <v>87.948999999999998</v>
      </c>
      <c r="Q127" s="36">
        <f t="shared" si="22"/>
        <v>0.41392050000470637</v>
      </c>
      <c r="R127" s="36">
        <v>27.706</v>
      </c>
      <c r="S127" s="36">
        <f t="shared" si="23"/>
        <v>0.13039467615470776</v>
      </c>
      <c r="T127" s="36">
        <v>-14.339075949367</v>
      </c>
      <c r="U127" s="36">
        <v>11.973000000000001</v>
      </c>
      <c r="V127" s="36">
        <f t="shared" si="24"/>
        <v>-6.748499114904602E-2</v>
      </c>
      <c r="W127" s="36">
        <v>-23.346969999999999</v>
      </c>
      <c r="X127" s="36">
        <v>5.1749999999999998</v>
      </c>
      <c r="Y127" s="92">
        <f t="shared" si="25"/>
        <v>-0.10987946987452818</v>
      </c>
    </row>
    <row r="128" spans="1:25" x14ac:dyDescent="0.2">
      <c r="A128" s="1" t="s">
        <v>293</v>
      </c>
      <c r="B128" s="1" t="s">
        <v>294</v>
      </c>
      <c r="C128" s="36" t="s">
        <v>505</v>
      </c>
      <c r="D128" s="36">
        <v>1222.0399</v>
      </c>
      <c r="E128" s="36">
        <v>1118.7239</v>
      </c>
      <c r="F128" s="36"/>
      <c r="G128" s="36">
        <v>493.41899999999998</v>
      </c>
      <c r="H128" s="36">
        <v>540.76700000000005</v>
      </c>
      <c r="I128" s="36">
        <f t="shared" si="19"/>
        <v>2.0687725027599684</v>
      </c>
      <c r="J128" s="44">
        <v>9.5959012522825571E-2</v>
      </c>
      <c r="K128" s="36">
        <v>254.20199630737304</v>
      </c>
      <c r="L128" s="36">
        <v>53.95</v>
      </c>
      <c r="M128" s="94">
        <f t="shared" si="20"/>
        <v>0.51518485568527572</v>
      </c>
      <c r="N128" s="36">
        <v>80.164000000000001</v>
      </c>
      <c r="O128" s="36">
        <f t="shared" si="21"/>
        <v>0.162466382526818</v>
      </c>
      <c r="P128" s="36">
        <v>151.34100000000001</v>
      </c>
      <c r="Q128" s="36">
        <f t="shared" si="22"/>
        <v>0.3067190359511896</v>
      </c>
      <c r="R128" s="36">
        <v>92.725999999999999</v>
      </c>
      <c r="S128" s="36">
        <f t="shared" si="23"/>
        <v>0.18792547510330976</v>
      </c>
      <c r="T128" s="36">
        <v>-32.902000000000001</v>
      </c>
      <c r="U128" s="36">
        <v>-0.65700000000000003</v>
      </c>
      <c r="V128" s="36">
        <f t="shared" si="24"/>
        <v>-6.6681664062389165E-2</v>
      </c>
      <c r="W128" s="36">
        <v>-51.781127336844001</v>
      </c>
      <c r="X128" s="36">
        <v>-11.215</v>
      </c>
      <c r="Y128" s="92">
        <f t="shared" si="25"/>
        <v>-0.10494352130105246</v>
      </c>
    </row>
    <row r="129" spans="1:25" x14ac:dyDescent="0.2">
      <c r="A129" s="1" t="s">
        <v>295</v>
      </c>
      <c r="B129" s="1" t="s">
        <v>296</v>
      </c>
      <c r="C129" s="36" t="s">
        <v>506</v>
      </c>
      <c r="D129" s="36">
        <v>1182.72</v>
      </c>
      <c r="E129" s="36">
        <v>1357.76</v>
      </c>
      <c r="F129" s="36"/>
      <c r="G129" s="36">
        <v>819.13599999999997</v>
      </c>
      <c r="H129" s="36">
        <v>876.5</v>
      </c>
      <c r="I129" s="36">
        <f t="shared" si="19"/>
        <v>1.5490701654306902</v>
      </c>
      <c r="J129" s="44">
        <v>7.0029885147277149E-2</v>
      </c>
      <c r="K129" s="36">
        <v>409.10499536132812</v>
      </c>
      <c r="L129" s="36">
        <v>49.300000000000004</v>
      </c>
      <c r="M129" s="94">
        <f t="shared" si="20"/>
        <v>0.49943476463167064</v>
      </c>
      <c r="N129" s="36">
        <v>113.19999999999999</v>
      </c>
      <c r="O129" s="36">
        <f t="shared" si="21"/>
        <v>0.13819439018673332</v>
      </c>
      <c r="P129" s="36" t="s">
        <v>480</v>
      </c>
      <c r="Q129" s="36" t="e">
        <f t="shared" si="22"/>
        <v>#VALUE!</v>
      </c>
      <c r="R129" s="36" t="s">
        <v>480</v>
      </c>
      <c r="S129" s="36" t="e">
        <f t="shared" si="23"/>
        <v>#VALUE!</v>
      </c>
      <c r="T129" s="36">
        <v>168.92100000000002</v>
      </c>
      <c r="U129" s="36">
        <v>182.75</v>
      </c>
      <c r="V129" s="36">
        <f t="shared" si="24"/>
        <v>0.20621850339870307</v>
      </c>
      <c r="W129" s="36">
        <v>64.680810627462009</v>
      </c>
      <c r="X129" s="36">
        <v>97.2</v>
      </c>
      <c r="Y129" s="92">
        <f t="shared" si="25"/>
        <v>7.8962236585209303E-2</v>
      </c>
    </row>
    <row r="130" spans="1:25" x14ac:dyDescent="0.2">
      <c r="A130" s="1" t="s">
        <v>297</v>
      </c>
      <c r="B130" s="1" t="s">
        <v>298</v>
      </c>
      <c r="C130" s="36" t="s">
        <v>506</v>
      </c>
      <c r="D130" s="36">
        <v>1161.232</v>
      </c>
      <c r="E130" s="36">
        <v>1386.7829999999999</v>
      </c>
      <c r="F130" s="36"/>
      <c r="G130" s="36">
        <v>1510.7610000000002</v>
      </c>
      <c r="H130" s="36">
        <v>1523.8330000000001</v>
      </c>
      <c r="I130" s="36">
        <f t="shared" si="19"/>
        <v>0.91006232310233459</v>
      </c>
      <c r="J130" s="44">
        <v>8.6525929647376376E-3</v>
      </c>
      <c r="K130" s="36">
        <v>364.96499401855471</v>
      </c>
      <c r="L130" s="36">
        <v>24.033000000000001</v>
      </c>
      <c r="M130" s="94">
        <f t="shared" ref="M130:M161" si="26">K130/G130</f>
        <v>0.24157692316557991</v>
      </c>
      <c r="N130" s="36">
        <v>0</v>
      </c>
      <c r="O130" s="36">
        <f t="shared" ref="O130:O161" si="27">N130/G130</f>
        <v>0</v>
      </c>
      <c r="P130" s="36" t="s">
        <v>480</v>
      </c>
      <c r="Q130" s="36" t="e">
        <f t="shared" ref="Q130:Q161" si="28">P130/G130</f>
        <v>#VALUE!</v>
      </c>
      <c r="R130" s="36" t="s">
        <v>480</v>
      </c>
      <c r="S130" s="36" t="e">
        <f t="shared" ref="S130:S161" si="29">R130/G130</f>
        <v>#VALUE!</v>
      </c>
      <c r="T130" s="36">
        <v>185.99944985394302</v>
      </c>
      <c r="U130" s="36">
        <v>199.28300000000002</v>
      </c>
      <c r="V130" s="36">
        <f t="shared" ref="V130:V161" si="30">T130/G130</f>
        <v>0.12311639620955465</v>
      </c>
      <c r="W130" s="36">
        <v>69.219760000000008</v>
      </c>
      <c r="X130" s="36">
        <v>81.94</v>
      </c>
      <c r="Y130" s="92">
        <f t="shared" ref="Y130:Y161" si="31">W130/G130</f>
        <v>4.5817809699879732E-2</v>
      </c>
    </row>
    <row r="131" spans="1:25" x14ac:dyDescent="0.2">
      <c r="A131" s="1" t="s">
        <v>299</v>
      </c>
      <c r="B131" s="1" t="s">
        <v>300</v>
      </c>
      <c r="C131" s="36" t="s">
        <v>505</v>
      </c>
      <c r="D131" s="36">
        <v>1151.3871999999999</v>
      </c>
      <c r="E131" s="36">
        <v>949.03020000000004</v>
      </c>
      <c r="F131" s="36"/>
      <c r="G131" s="36">
        <v>257.60300000000001</v>
      </c>
      <c r="H131" s="36">
        <v>302.613</v>
      </c>
      <c r="I131" s="36">
        <f t="shared" ref="I131:I169" si="32">E131/H131</f>
        <v>3.1361184086605665</v>
      </c>
      <c r="J131" s="44">
        <v>0.17472622601444865</v>
      </c>
      <c r="K131" s="36">
        <v>194.42499871826172</v>
      </c>
      <c r="L131" s="36">
        <v>77.725000000000009</v>
      </c>
      <c r="M131" s="94">
        <f t="shared" si="26"/>
        <v>0.75474664005567371</v>
      </c>
      <c r="N131" s="36">
        <v>47.434999999999995</v>
      </c>
      <c r="O131" s="36">
        <f t="shared" si="27"/>
        <v>0.18413993625850628</v>
      </c>
      <c r="P131" s="36">
        <v>151.09299999999999</v>
      </c>
      <c r="Q131" s="36">
        <f t="shared" si="28"/>
        <v>0.58653431831151026</v>
      </c>
      <c r="R131" s="36">
        <v>51.206000000000003</v>
      </c>
      <c r="S131" s="36">
        <f t="shared" si="29"/>
        <v>0.19877874093081216</v>
      </c>
      <c r="T131" s="36">
        <v>-82.965000000000003</v>
      </c>
      <c r="U131" s="36">
        <v>-29.065999999999999</v>
      </c>
      <c r="V131" s="36">
        <f t="shared" si="30"/>
        <v>-0.32206534861783442</v>
      </c>
      <c r="W131" s="36">
        <v>-92.112000000000009</v>
      </c>
      <c r="X131" s="36">
        <v>-39.933</v>
      </c>
      <c r="Y131" s="92">
        <f t="shared" si="31"/>
        <v>-0.35757347546418328</v>
      </c>
    </row>
    <row r="132" spans="1:25" x14ac:dyDescent="0.2">
      <c r="A132" s="1" t="s">
        <v>303</v>
      </c>
      <c r="B132" s="1" t="s">
        <v>304</v>
      </c>
      <c r="C132" s="36" t="s">
        <v>495</v>
      </c>
      <c r="D132" s="36">
        <v>1131.8515</v>
      </c>
      <c r="E132" s="36">
        <v>1209.0925</v>
      </c>
      <c r="F132" s="36"/>
      <c r="G132" s="36">
        <v>183.61700000000002</v>
      </c>
      <c r="H132" s="36">
        <v>205.86799999999999</v>
      </c>
      <c r="I132" s="36">
        <f t="shared" si="32"/>
        <v>5.8731444420696759</v>
      </c>
      <c r="J132" s="44">
        <v>0.12118158993992911</v>
      </c>
      <c r="K132" s="36">
        <v>109.50099978637695</v>
      </c>
      <c r="L132" s="36">
        <v>63.478000000000002</v>
      </c>
      <c r="M132" s="94">
        <f t="shared" si="26"/>
        <v>0.59635545611995044</v>
      </c>
      <c r="N132" s="36">
        <v>56.021000000000001</v>
      </c>
      <c r="O132" s="36">
        <f t="shared" si="27"/>
        <v>0.30509702260683919</v>
      </c>
      <c r="P132" s="36">
        <v>68.116</v>
      </c>
      <c r="Q132" s="36">
        <f t="shared" si="28"/>
        <v>0.37096782977611004</v>
      </c>
      <c r="R132" s="36">
        <v>40.335999999999999</v>
      </c>
      <c r="S132" s="36">
        <f t="shared" si="29"/>
        <v>0.21967464886148882</v>
      </c>
      <c r="T132" s="36">
        <v>-44.247999999999998</v>
      </c>
      <c r="U132" s="36">
        <v>-21.440999999999999</v>
      </c>
      <c r="V132" s="36">
        <f t="shared" si="30"/>
        <v>-0.24097986569870977</v>
      </c>
      <c r="W132" s="36">
        <v>-63.304550127549</v>
      </c>
      <c r="X132" s="36">
        <v>-22.835000000000001</v>
      </c>
      <c r="Y132" s="92">
        <f t="shared" si="31"/>
        <v>-0.3447641020578105</v>
      </c>
    </row>
    <row r="133" spans="1:25" x14ac:dyDescent="0.2">
      <c r="A133" s="1" t="s">
        <v>305</v>
      </c>
      <c r="B133" s="1" t="s">
        <v>306</v>
      </c>
      <c r="C133" s="36" t="s">
        <v>495</v>
      </c>
      <c r="D133" s="36">
        <v>1127.7728999999999</v>
      </c>
      <c r="E133" s="36">
        <v>1011.2338999999999</v>
      </c>
      <c r="F133" s="36"/>
      <c r="G133" s="36">
        <v>184.83700000000002</v>
      </c>
      <c r="H133" s="36">
        <v>231.28900000000002</v>
      </c>
      <c r="I133" s="36">
        <f t="shared" si="32"/>
        <v>4.3721659914652227</v>
      </c>
      <c r="J133" s="44">
        <v>0.25131331930295331</v>
      </c>
      <c r="K133" s="36">
        <v>130.4860018157959</v>
      </c>
      <c r="L133" s="36">
        <v>71.875</v>
      </c>
      <c r="M133" s="94">
        <f t="shared" si="26"/>
        <v>0.70595174026734853</v>
      </c>
      <c r="N133" s="36">
        <v>48.292999999999999</v>
      </c>
      <c r="O133" s="36">
        <f t="shared" si="27"/>
        <v>0.26127344633379679</v>
      </c>
      <c r="P133" s="36">
        <v>83.715999999999994</v>
      </c>
      <c r="Q133" s="36">
        <f t="shared" si="28"/>
        <v>0.45291797637918807</v>
      </c>
      <c r="R133" s="36">
        <v>31.196000000000002</v>
      </c>
      <c r="S133" s="36">
        <f t="shared" si="29"/>
        <v>0.16877573213155375</v>
      </c>
      <c r="T133" s="36">
        <v>-40.238</v>
      </c>
      <c r="U133" s="36">
        <v>-17.818999999999999</v>
      </c>
      <c r="V133" s="36">
        <f t="shared" si="30"/>
        <v>-0.21769450921622832</v>
      </c>
      <c r="W133" s="36">
        <v>-49.079000000000001</v>
      </c>
      <c r="X133" s="36">
        <v>-28.419</v>
      </c>
      <c r="Y133" s="92">
        <f t="shared" si="31"/>
        <v>-0.2655258416875409</v>
      </c>
    </row>
    <row r="134" spans="1:25" x14ac:dyDescent="0.2">
      <c r="A134" s="1" t="s">
        <v>307</v>
      </c>
      <c r="B134" s="1" t="s">
        <v>308</v>
      </c>
      <c r="C134" s="36" t="s">
        <v>495</v>
      </c>
      <c r="D134" s="36">
        <v>1030.893</v>
      </c>
      <c r="E134" s="36">
        <v>1106.0070000000001</v>
      </c>
      <c r="F134" s="36"/>
      <c r="G134" s="36">
        <v>252.16</v>
      </c>
      <c r="H134" s="36">
        <v>269.78399999999999</v>
      </c>
      <c r="I134" s="36">
        <f t="shared" si="32"/>
        <v>4.0996019037452189</v>
      </c>
      <c r="J134" s="44">
        <v>6.989213197969546E-2</v>
      </c>
      <c r="K134" s="36">
        <v>126.30899749755859</v>
      </c>
      <c r="L134" s="36">
        <v>49.975000000000001</v>
      </c>
      <c r="M134" s="94">
        <f t="shared" si="26"/>
        <v>0.50090814362927738</v>
      </c>
      <c r="N134" s="36">
        <v>49.548999999999999</v>
      </c>
      <c r="O134" s="36">
        <f t="shared" si="27"/>
        <v>0.19649825507614213</v>
      </c>
      <c r="P134" s="36">
        <v>69.28</v>
      </c>
      <c r="Q134" s="36">
        <f t="shared" si="28"/>
        <v>0.27474619289340102</v>
      </c>
      <c r="R134" s="36">
        <v>27.268000000000001</v>
      </c>
      <c r="S134" s="36">
        <f t="shared" si="29"/>
        <v>0.10813769035532995</v>
      </c>
      <c r="T134" s="36">
        <v>-11.269886075949</v>
      </c>
      <c r="U134" s="36">
        <v>17.629000000000001</v>
      </c>
      <c r="V134" s="36">
        <f t="shared" si="30"/>
        <v>-4.4693393384950028E-2</v>
      </c>
      <c r="W134" s="36">
        <v>-40.211799999999997</v>
      </c>
      <c r="X134" s="36">
        <v>-13.441000000000001</v>
      </c>
      <c r="Y134" s="92">
        <f t="shared" si="31"/>
        <v>-0.15946938451776649</v>
      </c>
    </row>
    <row r="135" spans="1:25" x14ac:dyDescent="0.2">
      <c r="A135" s="1" t="s">
        <v>309</v>
      </c>
      <c r="B135" s="1" t="s">
        <v>310</v>
      </c>
      <c r="C135" s="36" t="s">
        <v>506</v>
      </c>
      <c r="D135" s="36">
        <v>941.15639999999996</v>
      </c>
      <c r="E135" s="36">
        <v>768.43140000000005</v>
      </c>
      <c r="F135" s="36"/>
      <c r="G135" s="36">
        <v>347.22800000000001</v>
      </c>
      <c r="H135" s="36">
        <v>324.12</v>
      </c>
      <c r="I135" s="36">
        <f t="shared" si="32"/>
        <v>2.370823768974454</v>
      </c>
      <c r="J135" s="44">
        <v>-6.6549932609121343E-2</v>
      </c>
      <c r="K135" s="36">
        <v>141.53299899291994</v>
      </c>
      <c r="L135" s="36">
        <v>38.58</v>
      </c>
      <c r="M135" s="94">
        <f t="shared" si="26"/>
        <v>0.40760825449825455</v>
      </c>
      <c r="N135" s="36">
        <v>0</v>
      </c>
      <c r="O135" s="36">
        <f t="shared" si="27"/>
        <v>0</v>
      </c>
      <c r="P135" s="36" t="s">
        <v>480</v>
      </c>
      <c r="Q135" s="36" t="e">
        <f t="shared" si="28"/>
        <v>#VALUE!</v>
      </c>
      <c r="R135" s="36" t="s">
        <v>480</v>
      </c>
      <c r="S135" s="36" t="e">
        <f t="shared" si="29"/>
        <v>#VALUE!</v>
      </c>
      <c r="T135" s="36">
        <v>88.400999999999996</v>
      </c>
      <c r="U135" s="36">
        <v>68.400000000000006</v>
      </c>
      <c r="V135" s="36">
        <f t="shared" si="30"/>
        <v>0.25459064361169026</v>
      </c>
      <c r="W135" s="36">
        <v>57.685500000000005</v>
      </c>
      <c r="X135" s="36">
        <v>45.496000000000002</v>
      </c>
      <c r="Y135" s="92">
        <f t="shared" si="31"/>
        <v>0.1661314755722465</v>
      </c>
    </row>
    <row r="136" spans="1:25" x14ac:dyDescent="0.2">
      <c r="A136" s="2" t="s">
        <v>313</v>
      </c>
      <c r="B136" s="2" t="s">
        <v>314</v>
      </c>
      <c r="C136" s="87" t="s">
        <v>495</v>
      </c>
      <c r="D136" s="87">
        <v>810.56510000000003</v>
      </c>
      <c r="E136" s="87">
        <v>684.58810000000005</v>
      </c>
      <c r="F136" s="87"/>
      <c r="G136" s="87">
        <v>328.411</v>
      </c>
      <c r="H136" s="87">
        <v>339.733</v>
      </c>
      <c r="I136" s="36">
        <f t="shared" si="32"/>
        <v>2.0150768397535712</v>
      </c>
      <c r="J136" s="87">
        <v>3.4475093708797866E-2</v>
      </c>
      <c r="K136" s="87">
        <v>169.04300082397461</v>
      </c>
      <c r="L136" s="87">
        <v>51.533000000000001</v>
      </c>
      <c r="M136" s="94">
        <f t="shared" si="26"/>
        <v>0.51473002068741491</v>
      </c>
      <c r="N136" s="87">
        <v>47.661000000000001</v>
      </c>
      <c r="O136" s="36">
        <f t="shared" si="27"/>
        <v>0.14512607677574746</v>
      </c>
      <c r="P136" s="87">
        <v>75.367999999999995</v>
      </c>
      <c r="Q136" s="36">
        <f t="shared" si="28"/>
        <v>0.22949292197886184</v>
      </c>
      <c r="R136" s="87">
        <v>35.222000000000001</v>
      </c>
      <c r="S136" s="36">
        <f t="shared" si="29"/>
        <v>0.10724975716404141</v>
      </c>
      <c r="T136" s="87">
        <v>6.7769999999999992</v>
      </c>
      <c r="U136" s="87">
        <v>18.382999999999999</v>
      </c>
      <c r="V136" s="36">
        <f t="shared" si="30"/>
        <v>2.0635727792309023E-2</v>
      </c>
      <c r="W136" s="87">
        <v>-1.2028757999999999</v>
      </c>
      <c r="X136" s="87">
        <v>10.827</v>
      </c>
      <c r="Y136" s="92">
        <f t="shared" si="31"/>
        <v>-3.6627147080944304E-3</v>
      </c>
    </row>
    <row r="137" spans="1:25" x14ac:dyDescent="0.2">
      <c r="A137" s="2" t="s">
        <v>315</v>
      </c>
      <c r="B137" s="2" t="s">
        <v>316</v>
      </c>
      <c r="C137" s="87" t="s">
        <v>506</v>
      </c>
      <c r="D137" s="87">
        <v>783.20150000000001</v>
      </c>
      <c r="E137" s="87">
        <v>386.01310000000001</v>
      </c>
      <c r="F137" s="87"/>
      <c r="G137" s="87">
        <v>421.69007902324608</v>
      </c>
      <c r="H137" s="87">
        <v>255.601</v>
      </c>
      <c r="I137" s="36">
        <f t="shared" si="32"/>
        <v>1.5102174874120211</v>
      </c>
      <c r="J137" s="87">
        <v>-0.39386527519915937</v>
      </c>
      <c r="K137" s="87">
        <v>218.75141071311592</v>
      </c>
      <c r="L137" s="87" t="s">
        <v>480</v>
      </c>
      <c r="M137" s="94">
        <f t="shared" si="26"/>
        <v>0.51874924641292552</v>
      </c>
      <c r="N137" s="87">
        <v>0</v>
      </c>
      <c r="O137" s="36">
        <f t="shared" si="27"/>
        <v>0</v>
      </c>
      <c r="P137" s="87" t="s">
        <v>480</v>
      </c>
      <c r="Q137" s="36" t="e">
        <f t="shared" si="28"/>
        <v>#VALUE!</v>
      </c>
      <c r="R137" s="87" t="s">
        <v>480</v>
      </c>
      <c r="S137" s="36" t="e">
        <f t="shared" si="29"/>
        <v>#VALUE!</v>
      </c>
      <c r="T137" s="87">
        <v>81.622901835776418</v>
      </c>
      <c r="U137" s="87">
        <v>78.579000000000008</v>
      </c>
      <c r="V137" s="36">
        <f t="shared" si="30"/>
        <v>0.19356135203568989</v>
      </c>
      <c r="W137" s="87">
        <v>54.138304797875108</v>
      </c>
      <c r="X137" s="87">
        <v>50.417999999999999</v>
      </c>
      <c r="Y137" s="92">
        <f t="shared" si="31"/>
        <v>0.12838410835577349</v>
      </c>
    </row>
    <row r="138" spans="1:25" x14ac:dyDescent="0.2">
      <c r="A138" s="2" t="s">
        <v>317</v>
      </c>
      <c r="B138" s="2" t="s">
        <v>318</v>
      </c>
      <c r="C138" s="87" t="s">
        <v>495</v>
      </c>
      <c r="D138" s="87">
        <v>759.13250000000005</v>
      </c>
      <c r="E138" s="87">
        <v>759.31349999999998</v>
      </c>
      <c r="F138" s="87"/>
      <c r="G138" s="87">
        <v>242.89300000000003</v>
      </c>
      <c r="H138" s="87">
        <v>247.21700000000001</v>
      </c>
      <c r="I138" s="36">
        <f t="shared" si="32"/>
        <v>3.0714453294069579</v>
      </c>
      <c r="J138" s="87">
        <v>1.7802077457975241E-2</v>
      </c>
      <c r="K138" s="87">
        <v>197.1649987182617</v>
      </c>
      <c r="L138" s="87" t="s">
        <v>480</v>
      </c>
      <c r="M138" s="94">
        <f t="shared" si="26"/>
        <v>0.8117360266383209</v>
      </c>
      <c r="N138" s="87">
        <v>37.662999999999997</v>
      </c>
      <c r="O138" s="36">
        <f t="shared" si="27"/>
        <v>0.15506004701658752</v>
      </c>
      <c r="P138" s="87">
        <v>91.507999999999996</v>
      </c>
      <c r="Q138" s="36">
        <f t="shared" si="28"/>
        <v>0.37674202220730935</v>
      </c>
      <c r="R138" s="87">
        <v>46.557000000000002</v>
      </c>
      <c r="S138" s="36">
        <f t="shared" si="29"/>
        <v>0.19167699357330181</v>
      </c>
      <c r="T138" s="87">
        <v>40.060203810127</v>
      </c>
      <c r="U138" s="87">
        <v>71.650000000000006</v>
      </c>
      <c r="V138" s="36">
        <f t="shared" si="30"/>
        <v>0.16492942904952795</v>
      </c>
      <c r="W138" s="87">
        <v>15.346821010000001</v>
      </c>
      <c r="X138" s="87">
        <v>29.908000000000001</v>
      </c>
      <c r="Y138" s="92">
        <f t="shared" si="31"/>
        <v>6.3183463541559445E-2</v>
      </c>
    </row>
    <row r="139" spans="1:25" x14ac:dyDescent="0.2">
      <c r="A139" s="2" t="s">
        <v>325</v>
      </c>
      <c r="B139" s="2" t="s">
        <v>326</v>
      </c>
      <c r="C139" s="2" t="s">
        <v>505</v>
      </c>
      <c r="D139" s="2">
        <v>700.73019999999997</v>
      </c>
      <c r="E139" s="2">
        <v>599.29819999999995</v>
      </c>
      <c r="F139" s="2"/>
      <c r="G139" s="2">
        <v>200.61800000000002</v>
      </c>
      <c r="H139" s="2">
        <v>222.86700000000002</v>
      </c>
      <c r="I139" s="36">
        <f t="shared" si="32"/>
        <v>2.6890396514513135</v>
      </c>
      <c r="J139" s="2">
        <v>0.1109023118563639</v>
      </c>
      <c r="K139" s="2">
        <v>143.23199945068359</v>
      </c>
      <c r="L139" s="2">
        <v>71.100000000000009</v>
      </c>
      <c r="M139" s="94">
        <f t="shared" si="26"/>
        <v>0.71395387976494418</v>
      </c>
      <c r="N139" s="2">
        <v>23.119</v>
      </c>
      <c r="O139" s="36">
        <f t="shared" si="27"/>
        <v>0.11523891176265338</v>
      </c>
      <c r="P139" s="2">
        <v>58.994</v>
      </c>
      <c r="Q139" s="36">
        <f t="shared" si="28"/>
        <v>0.29406135042717996</v>
      </c>
      <c r="R139" s="2">
        <v>37.4</v>
      </c>
      <c r="S139" s="36">
        <f t="shared" si="29"/>
        <v>0.18642394999451692</v>
      </c>
      <c r="T139" s="2">
        <v>18.504999999999999</v>
      </c>
      <c r="U139" s="2">
        <v>16.056999999999999</v>
      </c>
      <c r="V139" s="36">
        <f t="shared" si="30"/>
        <v>9.2239978466538378E-2</v>
      </c>
      <c r="W139" s="2">
        <v>7.2605520712620004</v>
      </c>
      <c r="X139" s="2">
        <v>12.183</v>
      </c>
      <c r="Y139" s="92">
        <f t="shared" si="31"/>
        <v>3.6190930381431376E-2</v>
      </c>
    </row>
    <row r="140" spans="1:25" x14ac:dyDescent="0.2">
      <c r="A140" s="2" t="s">
        <v>327</v>
      </c>
      <c r="B140" s="2" t="s">
        <v>328</v>
      </c>
      <c r="C140" s="2" t="s">
        <v>506</v>
      </c>
      <c r="D140" s="2">
        <v>717.82820000000004</v>
      </c>
      <c r="E140" s="2">
        <v>2001.8032000000001</v>
      </c>
      <c r="F140" s="2"/>
      <c r="G140" s="2">
        <v>1528.231</v>
      </c>
      <c r="H140" s="2">
        <v>1645</v>
      </c>
      <c r="I140" s="36">
        <f t="shared" si="32"/>
        <v>1.2169016413373861</v>
      </c>
      <c r="J140" s="2">
        <v>7.6407951415721875E-2</v>
      </c>
      <c r="K140" s="2">
        <v>375.46800091552734</v>
      </c>
      <c r="L140" s="2" t="s">
        <v>480</v>
      </c>
      <c r="M140" s="94">
        <f t="shared" si="26"/>
        <v>0.24568798886786575</v>
      </c>
      <c r="N140" s="2">
        <v>0</v>
      </c>
      <c r="O140" s="36">
        <f t="shared" si="27"/>
        <v>0</v>
      </c>
      <c r="P140" s="2" t="s">
        <v>480</v>
      </c>
      <c r="Q140" s="36" t="e">
        <f t="shared" si="28"/>
        <v>#VALUE!</v>
      </c>
      <c r="R140" s="2">
        <v>220.95500000000001</v>
      </c>
      <c r="S140" s="36">
        <f t="shared" si="29"/>
        <v>0.14458219994228622</v>
      </c>
      <c r="T140" s="2">
        <v>275.851</v>
      </c>
      <c r="U140" s="2">
        <v>329.3</v>
      </c>
      <c r="V140" s="36">
        <f t="shared" si="30"/>
        <v>0.18050347100667372</v>
      </c>
      <c r="W140" s="2">
        <v>-52.607639999999996</v>
      </c>
      <c r="X140" s="2">
        <v>31.400000000000002</v>
      </c>
      <c r="Y140" s="92">
        <f t="shared" si="31"/>
        <v>-3.4423879635997433E-2</v>
      </c>
    </row>
    <row r="141" spans="1:25" x14ac:dyDescent="0.2">
      <c r="A141" s="2" t="s">
        <v>329</v>
      </c>
      <c r="B141" s="2" t="s">
        <v>330</v>
      </c>
      <c r="C141" s="87" t="s">
        <v>495</v>
      </c>
      <c r="D141" s="87">
        <v>716.1395</v>
      </c>
      <c r="E141" s="87">
        <v>748.60599999999999</v>
      </c>
      <c r="F141" s="87"/>
      <c r="G141" s="87">
        <v>42.178586942867071</v>
      </c>
      <c r="H141" s="87">
        <v>103.099</v>
      </c>
      <c r="I141" s="36">
        <f t="shared" si="32"/>
        <v>7.2610403592663362</v>
      </c>
      <c r="J141" s="87">
        <v>1.4443445708518534</v>
      </c>
      <c r="K141" s="87">
        <v>10.568609400887199</v>
      </c>
      <c r="L141" s="87">
        <v>27.8</v>
      </c>
      <c r="M141" s="94">
        <f t="shared" si="26"/>
        <v>0.25056812394409728</v>
      </c>
      <c r="N141" s="87">
        <v>10.614831048696628</v>
      </c>
      <c r="O141" s="36">
        <f t="shared" si="27"/>
        <v>0.25166397971261883</v>
      </c>
      <c r="P141" s="87">
        <v>8.8403345824744104</v>
      </c>
      <c r="Q141" s="36">
        <f t="shared" si="28"/>
        <v>0.20959295280444246</v>
      </c>
      <c r="R141" s="87">
        <v>4.8045328849601585</v>
      </c>
      <c r="S141" s="36">
        <f t="shared" si="29"/>
        <v>0.11390928983628897</v>
      </c>
      <c r="T141" s="87">
        <v>-12.381475760643527</v>
      </c>
      <c r="U141" s="87">
        <v>-7.5019999999999998</v>
      </c>
      <c r="V141" s="36">
        <f t="shared" si="30"/>
        <v>-0.29354885163447586</v>
      </c>
      <c r="W141" s="87">
        <v>-13.376278212695807</v>
      </c>
      <c r="X141" s="87">
        <v>-8.7740000000000009</v>
      </c>
      <c r="Y141" s="92">
        <f t="shared" si="31"/>
        <v>-0.31713433716531614</v>
      </c>
    </row>
    <row r="142" spans="1:25" x14ac:dyDescent="0.2">
      <c r="A142" s="2" t="s">
        <v>331</v>
      </c>
      <c r="B142" s="2" t="s">
        <v>332</v>
      </c>
      <c r="C142" s="87" t="s">
        <v>495</v>
      </c>
      <c r="D142" s="87">
        <v>649.96939999999995</v>
      </c>
      <c r="E142" s="87">
        <v>789.97940000000006</v>
      </c>
      <c r="F142" s="87"/>
      <c r="G142" s="87">
        <v>121.47999999999999</v>
      </c>
      <c r="H142" s="87">
        <v>163.429</v>
      </c>
      <c r="I142" s="36">
        <f t="shared" si="32"/>
        <v>4.8337773589754578</v>
      </c>
      <c r="J142" s="87">
        <v>0.34531610141587099</v>
      </c>
      <c r="K142" s="87">
        <v>81.369998809814447</v>
      </c>
      <c r="L142" s="87">
        <v>68.47</v>
      </c>
      <c r="M142" s="94">
        <f t="shared" si="26"/>
        <v>0.66982218315619402</v>
      </c>
      <c r="N142" s="87">
        <v>15.253</v>
      </c>
      <c r="O142" s="36">
        <f t="shared" si="27"/>
        <v>0.12555976292393811</v>
      </c>
      <c r="P142" s="87">
        <v>15.307</v>
      </c>
      <c r="Q142" s="36">
        <f t="shared" si="28"/>
        <v>0.12600428054000659</v>
      </c>
      <c r="R142" s="87">
        <v>23.291</v>
      </c>
      <c r="S142" s="36">
        <f t="shared" si="29"/>
        <v>0.19172703325650314</v>
      </c>
      <c r="T142" s="87">
        <v>25.582999999999998</v>
      </c>
      <c r="U142" s="87">
        <v>59.148000000000003</v>
      </c>
      <c r="V142" s="36">
        <f t="shared" si="30"/>
        <v>0.210594336516299</v>
      </c>
      <c r="W142" s="87">
        <v>-2.0403708767979998</v>
      </c>
      <c r="X142" s="87">
        <v>33.28</v>
      </c>
      <c r="Y142" s="92">
        <f t="shared" si="31"/>
        <v>-1.6795940704626276E-2</v>
      </c>
    </row>
    <row r="143" spans="1:25" x14ac:dyDescent="0.2">
      <c r="A143" s="2" t="s">
        <v>339</v>
      </c>
      <c r="B143" s="2" t="s">
        <v>340</v>
      </c>
      <c r="C143" s="87" t="s">
        <v>495</v>
      </c>
      <c r="D143" s="87">
        <v>470.3193</v>
      </c>
      <c r="E143" s="87">
        <v>471.51530000000002</v>
      </c>
      <c r="F143" s="87"/>
      <c r="G143" s="87">
        <v>155.49099999999999</v>
      </c>
      <c r="H143" s="87">
        <v>150.45000000000002</v>
      </c>
      <c r="I143" s="36">
        <f t="shared" si="32"/>
        <v>3.1340332336324357</v>
      </c>
      <c r="J143" s="87">
        <v>-3.2419882822799839E-2</v>
      </c>
      <c r="K143" s="87">
        <v>91.647999832153317</v>
      </c>
      <c r="L143" s="87">
        <v>61.133000000000003</v>
      </c>
      <c r="M143" s="94">
        <f t="shared" si="26"/>
        <v>0.58941031848887282</v>
      </c>
      <c r="N143" s="87">
        <v>31.064</v>
      </c>
      <c r="O143" s="36">
        <f t="shared" si="27"/>
        <v>0.19978005157854797</v>
      </c>
      <c r="P143" s="87">
        <v>41.338999999999999</v>
      </c>
      <c r="Q143" s="36">
        <f t="shared" si="28"/>
        <v>0.2658610466200616</v>
      </c>
      <c r="R143" s="87">
        <v>36.280999999999999</v>
      </c>
      <c r="S143" s="36">
        <f t="shared" si="29"/>
        <v>0.23333183271057489</v>
      </c>
      <c r="T143" s="87">
        <v>-12.936999999999999</v>
      </c>
      <c r="U143" s="87">
        <v>11.333</v>
      </c>
      <c r="V143" s="36">
        <f t="shared" si="30"/>
        <v>-8.3200956968570536E-2</v>
      </c>
      <c r="W143" s="87">
        <v>-30.891449999999999</v>
      </c>
      <c r="X143" s="87">
        <v>3.8380000000000001</v>
      </c>
      <c r="Y143" s="92">
        <f t="shared" si="31"/>
        <v>-0.19867034104867806</v>
      </c>
    </row>
    <row r="144" spans="1:25" x14ac:dyDescent="0.2">
      <c r="A144" s="2" t="s">
        <v>343</v>
      </c>
      <c r="B144" s="2" t="s">
        <v>344</v>
      </c>
      <c r="C144" s="87" t="s">
        <v>495</v>
      </c>
      <c r="D144" s="87">
        <v>441.25279999999998</v>
      </c>
      <c r="E144" s="87">
        <v>343.18979999999999</v>
      </c>
      <c r="F144" s="87"/>
      <c r="G144" s="87">
        <v>181.369</v>
      </c>
      <c r="H144" s="87">
        <v>204.3</v>
      </c>
      <c r="I144" s="36">
        <f t="shared" si="32"/>
        <v>1.6798325991189427</v>
      </c>
      <c r="J144" s="87">
        <v>0.12643285236175972</v>
      </c>
      <c r="K144" s="87">
        <v>150.5580012512207</v>
      </c>
      <c r="L144" s="87">
        <v>85.167000000000002</v>
      </c>
      <c r="M144" s="94">
        <f t="shared" si="26"/>
        <v>0.83011981789181555</v>
      </c>
      <c r="N144" s="87">
        <v>75.349999999999994</v>
      </c>
      <c r="O144" s="36">
        <f t="shared" si="27"/>
        <v>0.41545137261604792</v>
      </c>
      <c r="P144" s="87">
        <v>96.477000000000004</v>
      </c>
      <c r="Q144" s="36">
        <f t="shared" si="28"/>
        <v>0.53193765196918985</v>
      </c>
      <c r="R144" s="87">
        <v>28.091000000000001</v>
      </c>
      <c r="S144" s="36">
        <f t="shared" si="29"/>
        <v>0.15488313879439156</v>
      </c>
      <c r="T144" s="87">
        <v>-47.040999999999997</v>
      </c>
      <c r="U144" s="87">
        <v>-1.17</v>
      </c>
      <c r="V144" s="36">
        <f t="shared" si="30"/>
        <v>-0.25936626435609172</v>
      </c>
      <c r="W144" s="87">
        <v>-51.76737</v>
      </c>
      <c r="X144" s="87">
        <v>-1.5449999999999999</v>
      </c>
      <c r="Y144" s="92">
        <f t="shared" si="31"/>
        <v>-0.28542567914031614</v>
      </c>
    </row>
    <row r="145" spans="1:25" x14ac:dyDescent="0.2">
      <c r="A145" s="2" t="s">
        <v>345</v>
      </c>
      <c r="B145" s="2" t="s">
        <v>346</v>
      </c>
      <c r="C145" s="87" t="s">
        <v>495</v>
      </c>
      <c r="D145" s="87">
        <v>457.74169999999998</v>
      </c>
      <c r="E145" s="87">
        <v>1157.5277000000001</v>
      </c>
      <c r="F145" s="87"/>
      <c r="G145" s="87">
        <v>108.524</v>
      </c>
      <c r="H145" s="87">
        <v>148.155</v>
      </c>
      <c r="I145" s="36">
        <f t="shared" si="32"/>
        <v>7.8129506260335466</v>
      </c>
      <c r="J145" s="87">
        <v>0.36518189524897715</v>
      </c>
      <c r="K145" s="87">
        <v>63.605000000000004</v>
      </c>
      <c r="L145" s="87">
        <v>63.567</v>
      </c>
      <c r="M145" s="94">
        <f t="shared" si="26"/>
        <v>0.58609155578489558</v>
      </c>
      <c r="N145" s="87">
        <v>78.260999999999996</v>
      </c>
      <c r="O145" s="36">
        <f t="shared" si="27"/>
        <v>0.72114002432641622</v>
      </c>
      <c r="P145" s="87">
        <v>131.80199999999999</v>
      </c>
      <c r="Q145" s="36">
        <f t="shared" si="28"/>
        <v>1.2144963326084552</v>
      </c>
      <c r="R145" s="87">
        <v>29.323</v>
      </c>
      <c r="S145" s="36">
        <f t="shared" si="29"/>
        <v>0.27019829715086063</v>
      </c>
      <c r="T145" s="87">
        <v>-158.636</v>
      </c>
      <c r="U145" s="87">
        <v>-121.8</v>
      </c>
      <c r="V145" s="36">
        <f t="shared" si="30"/>
        <v>-1.4617596107773396</v>
      </c>
      <c r="W145" s="87">
        <v>-176.56200000000001</v>
      </c>
      <c r="X145" s="87">
        <v>-144.13300000000001</v>
      </c>
      <c r="Y145" s="92">
        <f t="shared" si="31"/>
        <v>-1.6269396631159929</v>
      </c>
    </row>
    <row r="146" spans="1:25" x14ac:dyDescent="0.2">
      <c r="A146" s="2" t="s">
        <v>351</v>
      </c>
      <c r="B146" s="2" t="s">
        <v>352</v>
      </c>
      <c r="C146" s="2" t="s">
        <v>505</v>
      </c>
      <c r="D146" s="2">
        <v>418.06700000000001</v>
      </c>
      <c r="E146" s="2">
        <v>290.68</v>
      </c>
      <c r="F146" s="2"/>
      <c r="G146" s="2">
        <v>231.34999999999997</v>
      </c>
      <c r="H146" s="2">
        <v>233.3</v>
      </c>
      <c r="I146" s="36">
        <f t="shared" si="32"/>
        <v>1.2459494213459066</v>
      </c>
      <c r="J146" s="2">
        <v>8.4287875513293642E-3</v>
      </c>
      <c r="K146" s="2">
        <v>179.79799935913087</v>
      </c>
      <c r="L146" s="2">
        <v>76.850000000000009</v>
      </c>
      <c r="M146" s="94">
        <f t="shared" si="26"/>
        <v>0.77716878910365639</v>
      </c>
      <c r="N146" s="2">
        <v>62.991</v>
      </c>
      <c r="O146" s="36">
        <f t="shared" si="27"/>
        <v>0.27227577263885894</v>
      </c>
      <c r="P146" s="2">
        <v>101.36</v>
      </c>
      <c r="Q146" s="36">
        <f t="shared" si="28"/>
        <v>0.43812405446293501</v>
      </c>
      <c r="R146" s="2">
        <v>28.132000000000001</v>
      </c>
      <c r="S146" s="36">
        <f t="shared" si="29"/>
        <v>0.1215993084071753</v>
      </c>
      <c r="T146" s="2">
        <v>-9.2555696202529987</v>
      </c>
      <c r="U146" s="2">
        <v>8.7000000000000011</v>
      </c>
      <c r="V146" s="36">
        <f t="shared" si="30"/>
        <v>-4.0006784613153233E-2</v>
      </c>
      <c r="W146" s="2">
        <v>-19.502000000000002</v>
      </c>
      <c r="X146" s="2">
        <v>-0.72199999999999998</v>
      </c>
      <c r="Y146" s="92">
        <f t="shared" si="31"/>
        <v>-8.4296520423600627E-2</v>
      </c>
    </row>
    <row r="147" spans="1:25" x14ac:dyDescent="0.2">
      <c r="A147" s="2" t="s">
        <v>353</v>
      </c>
      <c r="B147" s="2" t="s">
        <v>354</v>
      </c>
      <c r="C147" s="87" t="s">
        <v>495</v>
      </c>
      <c r="D147" s="87">
        <v>403.09989999999999</v>
      </c>
      <c r="E147" s="87">
        <v>388.22890000000001</v>
      </c>
      <c r="F147" s="87"/>
      <c r="G147" s="87">
        <v>29.199000000000002</v>
      </c>
      <c r="H147" s="87">
        <v>39.658999999999999</v>
      </c>
      <c r="I147" s="36">
        <f t="shared" si="32"/>
        <v>9.7891752187397572</v>
      </c>
      <c r="J147" s="87">
        <v>0.35823144628240677</v>
      </c>
      <c r="K147" s="87">
        <v>15.933999778747559</v>
      </c>
      <c r="L147" s="87">
        <v>56.929000000000002</v>
      </c>
      <c r="M147" s="94">
        <f t="shared" si="26"/>
        <v>0.54570361240958798</v>
      </c>
      <c r="N147" s="87">
        <v>4.1589999999999998</v>
      </c>
      <c r="O147" s="36">
        <f t="shared" si="27"/>
        <v>0.14243638480769888</v>
      </c>
      <c r="P147" s="87">
        <v>6.1790000000000003</v>
      </c>
      <c r="Q147" s="36">
        <f t="shared" si="28"/>
        <v>0.2116168361930203</v>
      </c>
      <c r="R147" s="87">
        <v>5.5949999999999998</v>
      </c>
      <c r="S147" s="36">
        <f t="shared" si="29"/>
        <v>0.19161615123805609</v>
      </c>
      <c r="T147" s="87">
        <v>0.91400000000000003</v>
      </c>
      <c r="U147" s="87">
        <v>6.827</v>
      </c>
      <c r="V147" s="36">
        <f t="shared" si="30"/>
        <v>3.130244186444741E-2</v>
      </c>
      <c r="W147" s="87">
        <v>-4.5880099999999997</v>
      </c>
      <c r="X147" s="87">
        <v>0.89500000000000002</v>
      </c>
      <c r="Y147" s="92">
        <f t="shared" si="31"/>
        <v>-0.15712901126750914</v>
      </c>
    </row>
    <row r="148" spans="1:25" x14ac:dyDescent="0.2">
      <c r="A148" s="2" t="s">
        <v>355</v>
      </c>
      <c r="B148" s="2" t="s">
        <v>356</v>
      </c>
      <c r="C148" s="87" t="s">
        <v>495</v>
      </c>
      <c r="D148" s="87">
        <v>401.76179999999999</v>
      </c>
      <c r="E148" s="87">
        <v>374.9058</v>
      </c>
      <c r="F148" s="87"/>
      <c r="G148" s="87">
        <v>271.697</v>
      </c>
      <c r="H148" s="87">
        <v>301</v>
      </c>
      <c r="I148" s="36">
        <f t="shared" si="32"/>
        <v>1.245534219269103</v>
      </c>
      <c r="J148" s="87">
        <v>0.10785176133707775</v>
      </c>
      <c r="K148" s="87">
        <v>87.58700073242187</v>
      </c>
      <c r="L148" s="87">
        <v>33</v>
      </c>
      <c r="M148" s="94">
        <f t="shared" si="26"/>
        <v>0.32237014296227734</v>
      </c>
      <c r="N148" s="87">
        <v>6.9419999999999993</v>
      </c>
      <c r="O148" s="36">
        <f t="shared" si="27"/>
        <v>2.5550521352830539E-2</v>
      </c>
      <c r="P148" s="87">
        <v>27.244</v>
      </c>
      <c r="Q148" s="36">
        <f t="shared" si="28"/>
        <v>0.10027346639823038</v>
      </c>
      <c r="R148" s="87">
        <v>22.837</v>
      </c>
      <c r="S148" s="36">
        <f t="shared" si="29"/>
        <v>8.4053191606826727E-2</v>
      </c>
      <c r="T148" s="87">
        <v>41.933999999999997</v>
      </c>
      <c r="U148" s="87" t="s">
        <v>480</v>
      </c>
      <c r="V148" s="36">
        <f t="shared" si="30"/>
        <v>0.15434104903624257</v>
      </c>
      <c r="W148" s="87">
        <v>18.194142797403998</v>
      </c>
      <c r="X148" s="87">
        <v>29.25</v>
      </c>
      <c r="Y148" s="92">
        <f t="shared" si="31"/>
        <v>6.6964827721336634E-2</v>
      </c>
    </row>
    <row r="149" spans="1:25" x14ac:dyDescent="0.2">
      <c r="A149" s="2" t="s">
        <v>361</v>
      </c>
      <c r="B149" s="2" t="s">
        <v>362</v>
      </c>
      <c r="C149" s="87" t="s">
        <v>495</v>
      </c>
      <c r="D149" s="87">
        <v>362.9982</v>
      </c>
      <c r="E149" s="87">
        <v>328.06920000000002</v>
      </c>
      <c r="F149" s="87"/>
      <c r="G149" s="87">
        <v>127.502</v>
      </c>
      <c r="H149" s="87">
        <v>144.80000000000001</v>
      </c>
      <c r="I149" s="36">
        <f t="shared" si="32"/>
        <v>2.265671270718232</v>
      </c>
      <c r="J149" s="87">
        <v>0.13566846010258682</v>
      </c>
      <c r="K149" s="87">
        <v>65.636000694274898</v>
      </c>
      <c r="L149" s="87">
        <v>51</v>
      </c>
      <c r="M149" s="94">
        <f t="shared" si="26"/>
        <v>0.51478408726353231</v>
      </c>
      <c r="N149" s="87">
        <v>27.936</v>
      </c>
      <c r="O149" s="36">
        <f t="shared" si="27"/>
        <v>0.21910244545183605</v>
      </c>
      <c r="P149" s="87">
        <v>18.074999999999999</v>
      </c>
      <c r="Q149" s="36">
        <f t="shared" si="28"/>
        <v>0.14176248215714263</v>
      </c>
      <c r="R149" s="87">
        <v>24.027999999999999</v>
      </c>
      <c r="S149" s="36">
        <f t="shared" si="29"/>
        <v>0.18845194585182978</v>
      </c>
      <c r="T149" s="87">
        <v>6.6750000000000007</v>
      </c>
      <c r="U149" s="87">
        <v>4.774</v>
      </c>
      <c r="V149" s="36">
        <f t="shared" si="30"/>
        <v>5.2352119966745631E-2</v>
      </c>
      <c r="W149" s="87">
        <v>-5.3883799999999997</v>
      </c>
      <c r="X149" s="87">
        <v>-19.580000000000002</v>
      </c>
      <c r="Y149" s="92">
        <f t="shared" si="31"/>
        <v>-4.2261141001709773E-2</v>
      </c>
    </row>
    <row r="150" spans="1:25" x14ac:dyDescent="0.2">
      <c r="A150" s="2" t="s">
        <v>363</v>
      </c>
      <c r="B150" s="2" t="s">
        <v>364</v>
      </c>
      <c r="C150" s="87" t="s">
        <v>495</v>
      </c>
      <c r="D150" s="87">
        <v>349.85969999999998</v>
      </c>
      <c r="E150" s="87">
        <v>265.0127</v>
      </c>
      <c r="F150" s="87"/>
      <c r="G150" s="87">
        <v>113.21600000000001</v>
      </c>
      <c r="H150" s="87">
        <v>120.10000000000001</v>
      </c>
      <c r="I150" s="36">
        <f t="shared" si="32"/>
        <v>2.2066003330557868</v>
      </c>
      <c r="J150" s="87">
        <v>6.0804126625211952E-2</v>
      </c>
      <c r="K150" s="87">
        <v>61.229999687194827</v>
      </c>
      <c r="L150" s="87">
        <v>49.4</v>
      </c>
      <c r="M150" s="94">
        <f t="shared" si="26"/>
        <v>0.5408246156655846</v>
      </c>
      <c r="N150" s="87">
        <v>11.876999999999999</v>
      </c>
      <c r="O150" s="36">
        <f t="shared" si="27"/>
        <v>0.1049056670435274</v>
      </c>
      <c r="P150" s="87">
        <v>20.658000000000001</v>
      </c>
      <c r="Q150" s="36">
        <f t="shared" si="28"/>
        <v>0.18246537591859807</v>
      </c>
      <c r="R150" s="87">
        <v>16.056999999999999</v>
      </c>
      <c r="S150" s="36">
        <f t="shared" si="29"/>
        <v>0.14182624364047483</v>
      </c>
      <c r="T150" s="87">
        <v>16.959000000000003</v>
      </c>
      <c r="U150" s="87">
        <v>17.72</v>
      </c>
      <c r="V150" s="36">
        <f t="shared" si="30"/>
        <v>0.14979331543244773</v>
      </c>
      <c r="W150" s="87">
        <v>9.6010000000000009</v>
      </c>
      <c r="X150" s="87">
        <v>9.89</v>
      </c>
      <c r="Y150" s="92">
        <f t="shared" si="31"/>
        <v>8.4802501413227815E-2</v>
      </c>
    </row>
    <row r="151" spans="1:25" x14ac:dyDescent="0.2">
      <c r="A151" s="2" t="s">
        <v>365</v>
      </c>
      <c r="B151" s="2" t="s">
        <v>366</v>
      </c>
      <c r="C151" s="2" t="s">
        <v>505</v>
      </c>
      <c r="D151" s="2">
        <v>319.524</v>
      </c>
      <c r="E151" s="2">
        <v>304.52499999999998</v>
      </c>
      <c r="F151" s="2"/>
      <c r="G151" s="2">
        <v>72.800999999999988</v>
      </c>
      <c r="H151" s="2">
        <v>86.84</v>
      </c>
      <c r="I151" s="36">
        <f t="shared" si="32"/>
        <v>3.5067365269461073</v>
      </c>
      <c r="J151" s="2">
        <v>0.19284075768190023</v>
      </c>
      <c r="K151" s="2">
        <v>62.064999832153319</v>
      </c>
      <c r="L151" s="2">
        <v>86.350000000000009</v>
      </c>
      <c r="M151" s="94">
        <f t="shared" si="26"/>
        <v>0.85252949591562377</v>
      </c>
      <c r="N151" s="2">
        <v>14.01</v>
      </c>
      <c r="O151" s="36">
        <f t="shared" si="27"/>
        <v>0.1924424115053365</v>
      </c>
      <c r="P151" s="2">
        <v>35.893000000000001</v>
      </c>
      <c r="Q151" s="36">
        <f t="shared" si="28"/>
        <v>0.49302894191013868</v>
      </c>
      <c r="R151" s="2">
        <v>5.1959999999999997</v>
      </c>
      <c r="S151" s="36">
        <f t="shared" si="29"/>
        <v>7.137264598013765E-2</v>
      </c>
      <c r="T151" s="2">
        <v>3.6139999999999999</v>
      </c>
      <c r="U151" s="2">
        <v>7.8500000000000005</v>
      </c>
      <c r="V151" s="36">
        <f t="shared" si="30"/>
        <v>4.9642175244845543E-2</v>
      </c>
      <c r="W151" s="2">
        <v>-1.5870000000000002</v>
      </c>
      <c r="X151" s="2">
        <v>5.758</v>
      </c>
      <c r="Y151" s="92">
        <f t="shared" si="31"/>
        <v>-2.1799151110561674E-2</v>
      </c>
    </row>
    <row r="152" spans="1:25" x14ac:dyDescent="0.2">
      <c r="A152" s="2" t="s">
        <v>367</v>
      </c>
      <c r="B152" s="2" t="s">
        <v>368</v>
      </c>
      <c r="C152" s="87" t="s">
        <v>495</v>
      </c>
      <c r="D152" s="87">
        <v>318.11509999999998</v>
      </c>
      <c r="E152" s="87">
        <v>268.75810000000001</v>
      </c>
      <c r="F152" s="87"/>
      <c r="G152" s="87">
        <v>128.30699999999999</v>
      </c>
      <c r="H152" s="87">
        <v>134.50399999999999</v>
      </c>
      <c r="I152" s="36">
        <f t="shared" si="32"/>
        <v>1.9981420626895856</v>
      </c>
      <c r="J152" s="87">
        <v>4.8298222232614041E-2</v>
      </c>
      <c r="K152" s="87">
        <v>101.39099937438965</v>
      </c>
      <c r="L152" s="87">
        <v>79.067000000000007</v>
      </c>
      <c r="M152" s="94">
        <f t="shared" si="26"/>
        <v>0.79022188481056888</v>
      </c>
      <c r="N152" s="87">
        <v>21.867999999999999</v>
      </c>
      <c r="O152" s="36">
        <f t="shared" si="27"/>
        <v>0.17043497237095404</v>
      </c>
      <c r="P152" s="87">
        <v>63.494999999999997</v>
      </c>
      <c r="Q152" s="36">
        <f t="shared" si="28"/>
        <v>0.49486777806355076</v>
      </c>
      <c r="R152" s="87">
        <v>27.8</v>
      </c>
      <c r="S152" s="36">
        <f t="shared" si="29"/>
        <v>0.21666783573772283</v>
      </c>
      <c r="T152" s="87">
        <v>-4.3410000000000002</v>
      </c>
      <c r="U152" s="87">
        <v>8.4990000000000006</v>
      </c>
      <c r="V152" s="36">
        <f t="shared" si="30"/>
        <v>-3.383291636465665E-2</v>
      </c>
      <c r="W152" s="87">
        <v>-10.436999999999999</v>
      </c>
      <c r="X152" s="87">
        <v>1.6480000000000001</v>
      </c>
      <c r="Y152" s="92">
        <f t="shared" si="31"/>
        <v>-8.1343964086137158E-2</v>
      </c>
    </row>
    <row r="153" spans="1:25" x14ac:dyDescent="0.2">
      <c r="A153" s="2" t="s">
        <v>369</v>
      </c>
      <c r="B153" s="2" t="s">
        <v>370</v>
      </c>
      <c r="C153" s="87" t="s">
        <v>495</v>
      </c>
      <c r="D153" s="87">
        <v>323.1626</v>
      </c>
      <c r="E153" s="87">
        <v>305.15159999999997</v>
      </c>
      <c r="F153" s="87"/>
      <c r="G153" s="87">
        <v>55.426000000000002</v>
      </c>
      <c r="H153" s="87">
        <v>77.417000000000002</v>
      </c>
      <c r="I153" s="36">
        <f t="shared" si="32"/>
        <v>3.9416613922006789</v>
      </c>
      <c r="J153" s="87">
        <v>0.39676325190343875</v>
      </c>
      <c r="K153" s="87">
        <v>48.276000267028806</v>
      </c>
      <c r="L153" s="87">
        <v>86.082999999999998</v>
      </c>
      <c r="M153" s="94">
        <f t="shared" si="26"/>
        <v>0.87099917488234413</v>
      </c>
      <c r="N153" s="87">
        <v>10.43</v>
      </c>
      <c r="O153" s="36">
        <f t="shared" si="27"/>
        <v>0.1881788330386461</v>
      </c>
      <c r="P153" s="87">
        <v>14.484</v>
      </c>
      <c r="Q153" s="36">
        <f t="shared" si="28"/>
        <v>0.2613214015083174</v>
      </c>
      <c r="R153" s="87">
        <v>11.31</v>
      </c>
      <c r="S153" s="36">
        <f t="shared" si="29"/>
        <v>0.20405585826146574</v>
      </c>
      <c r="T153" s="87">
        <v>6.4513846153849999</v>
      </c>
      <c r="U153" s="87">
        <v>11.295</v>
      </c>
      <c r="V153" s="36">
        <f t="shared" si="30"/>
        <v>0.11639635938702053</v>
      </c>
      <c r="W153" s="87">
        <v>2.9750000000000001</v>
      </c>
      <c r="X153" s="87">
        <v>12.266</v>
      </c>
      <c r="Y153" s="92">
        <f t="shared" si="31"/>
        <v>5.3675170497600407E-2</v>
      </c>
    </row>
    <row r="154" spans="1:25" x14ac:dyDescent="0.2">
      <c r="A154" s="2" t="s">
        <v>371</v>
      </c>
      <c r="B154" s="2" t="s">
        <v>372</v>
      </c>
      <c r="C154" s="87" t="s">
        <v>495</v>
      </c>
      <c r="D154" s="87">
        <v>311.74180000000001</v>
      </c>
      <c r="E154" s="87">
        <v>255.0078</v>
      </c>
      <c r="F154" s="87"/>
      <c r="G154" s="87">
        <v>24.585999999999999</v>
      </c>
      <c r="H154" s="87">
        <v>25.216999999999999</v>
      </c>
      <c r="I154" s="36">
        <f t="shared" si="32"/>
        <v>10.11253519451164</v>
      </c>
      <c r="J154" s="87">
        <v>2.5665012608801829E-2</v>
      </c>
      <c r="K154" s="87">
        <v>16.067000110626221</v>
      </c>
      <c r="L154" s="87">
        <v>58.783000000000001</v>
      </c>
      <c r="M154" s="94">
        <f t="shared" si="26"/>
        <v>0.6535019975037103</v>
      </c>
      <c r="N154" s="87">
        <v>15.434999999999999</v>
      </c>
      <c r="O154" s="36">
        <f t="shared" si="27"/>
        <v>0.62779630684129173</v>
      </c>
      <c r="P154" s="87">
        <v>16.635999999999999</v>
      </c>
      <c r="Q154" s="36">
        <f t="shared" si="28"/>
        <v>0.67664524526153091</v>
      </c>
      <c r="R154" s="87">
        <v>9.68</v>
      </c>
      <c r="S154" s="36">
        <f t="shared" si="29"/>
        <v>0.39372000325388434</v>
      </c>
      <c r="T154" s="87">
        <v>-27.398</v>
      </c>
      <c r="U154" s="87">
        <v>-25.55</v>
      </c>
      <c r="V154" s="36">
        <f t="shared" si="30"/>
        <v>-1.1143740340030912</v>
      </c>
      <c r="W154" s="87">
        <v>-28.759999999999998</v>
      </c>
      <c r="X154" s="87">
        <v>-32.21</v>
      </c>
      <c r="Y154" s="92">
        <f t="shared" si="31"/>
        <v>-1.1697714146262099</v>
      </c>
    </row>
    <row r="155" spans="1:25" x14ac:dyDescent="0.2">
      <c r="A155" s="2" t="s">
        <v>383</v>
      </c>
      <c r="B155" s="2" t="s">
        <v>384</v>
      </c>
      <c r="C155" s="87" t="s">
        <v>495</v>
      </c>
      <c r="D155" s="87">
        <v>245.4846</v>
      </c>
      <c r="E155" s="87">
        <v>259.96980000000002</v>
      </c>
      <c r="F155" s="87"/>
      <c r="G155" s="87">
        <v>81.967006999999995</v>
      </c>
      <c r="H155" s="87">
        <v>89.275000000000006</v>
      </c>
      <c r="I155" s="36">
        <f t="shared" si="32"/>
        <v>2.9120112013441615</v>
      </c>
      <c r="J155" s="87">
        <v>8.9157738796050046E-2</v>
      </c>
      <c r="K155" s="87">
        <v>44.329346749023436</v>
      </c>
      <c r="L155" s="87">
        <v>55</v>
      </c>
      <c r="M155" s="94">
        <f t="shared" si="26"/>
        <v>0.54081939028252479</v>
      </c>
      <c r="N155" s="87">
        <v>14.941393999999999</v>
      </c>
      <c r="O155" s="36">
        <f t="shared" si="27"/>
        <v>0.18228546517503072</v>
      </c>
      <c r="P155" s="87">
        <v>22.526534999999999</v>
      </c>
      <c r="Q155" s="36">
        <f t="shared" si="28"/>
        <v>0.27482441807348168</v>
      </c>
      <c r="R155" s="87">
        <v>15.263297</v>
      </c>
      <c r="S155" s="36">
        <f t="shared" si="29"/>
        <v>0.18621269165043444</v>
      </c>
      <c r="T155" s="87">
        <v>-4.3256870000000003</v>
      </c>
      <c r="U155" s="87">
        <v>3.93</v>
      </c>
      <c r="V155" s="36">
        <f t="shared" si="30"/>
        <v>-5.2773514104278572E-2</v>
      </c>
      <c r="W155" s="87">
        <v>-10.418129</v>
      </c>
      <c r="X155" s="87">
        <v>-3.863</v>
      </c>
      <c r="Y155" s="92">
        <f t="shared" si="31"/>
        <v>-0.12710149340941534</v>
      </c>
    </row>
    <row r="156" spans="1:25" x14ac:dyDescent="0.2">
      <c r="A156" s="2" t="s">
        <v>385</v>
      </c>
      <c r="B156" s="2" t="s">
        <v>386</v>
      </c>
      <c r="C156" s="2" t="s">
        <v>505</v>
      </c>
      <c r="D156" s="2">
        <v>240.55779999999999</v>
      </c>
      <c r="E156" s="2">
        <v>205.81890000000001</v>
      </c>
      <c r="F156" s="2"/>
      <c r="G156" s="2">
        <v>93.621832000000012</v>
      </c>
      <c r="H156" s="2">
        <v>97.92</v>
      </c>
      <c r="I156" s="36">
        <f t="shared" si="32"/>
        <v>2.1019087009803923</v>
      </c>
      <c r="J156" s="2">
        <v>4.5909889906875501E-2</v>
      </c>
      <c r="K156" s="2">
        <v>79.795185569702141</v>
      </c>
      <c r="L156" s="2">
        <v>84.960000000000008</v>
      </c>
      <c r="M156" s="94">
        <f t="shared" si="26"/>
        <v>0.85231386595492098</v>
      </c>
      <c r="N156" s="2">
        <v>20.054991999999999</v>
      </c>
      <c r="O156" s="36">
        <f t="shared" si="27"/>
        <v>0.21421277037176539</v>
      </c>
      <c r="P156" s="2">
        <v>40.912472999999999</v>
      </c>
      <c r="Q156" s="36">
        <f t="shared" si="28"/>
        <v>0.43699714186323541</v>
      </c>
      <c r="R156" s="2">
        <v>12.358472000000001</v>
      </c>
      <c r="S156" s="36">
        <f t="shared" si="29"/>
        <v>0.13200416757493058</v>
      </c>
      <c r="T156" s="2">
        <v>18.034611999999999</v>
      </c>
      <c r="U156" s="2">
        <v>13.647</v>
      </c>
      <c r="V156" s="36">
        <f t="shared" si="30"/>
        <v>0.19263254750238168</v>
      </c>
      <c r="W156" s="2">
        <v>5.1388267800000005</v>
      </c>
      <c r="X156" s="2">
        <v>4.2549999999999999</v>
      </c>
      <c r="Y156" s="92">
        <f t="shared" si="31"/>
        <v>5.4889192725901793E-2</v>
      </c>
    </row>
    <row r="157" spans="1:25" x14ac:dyDescent="0.2">
      <c r="A157" s="2" t="s">
        <v>391</v>
      </c>
      <c r="B157" s="2" t="s">
        <v>392</v>
      </c>
      <c r="C157" s="2" t="s">
        <v>505</v>
      </c>
      <c r="D157" s="2">
        <v>223.01750000000001</v>
      </c>
      <c r="E157" s="2">
        <v>117.0865</v>
      </c>
      <c r="F157" s="2"/>
      <c r="G157" s="2">
        <v>88.789999999999992</v>
      </c>
      <c r="H157" s="2">
        <v>99.167000000000002</v>
      </c>
      <c r="I157" s="36">
        <f t="shared" si="32"/>
        <v>1.1807002329403935</v>
      </c>
      <c r="J157" s="2">
        <v>0.11687126928708191</v>
      </c>
      <c r="K157" s="2">
        <v>60.490999809265134</v>
      </c>
      <c r="L157" s="2">
        <v>68.5</v>
      </c>
      <c r="M157" s="94">
        <f t="shared" si="26"/>
        <v>0.68128167371624215</v>
      </c>
      <c r="N157" s="2">
        <v>21.852</v>
      </c>
      <c r="O157" s="36">
        <f t="shared" si="27"/>
        <v>0.24610879603558961</v>
      </c>
      <c r="P157" s="2">
        <v>38.316000000000003</v>
      </c>
      <c r="Q157" s="36">
        <f t="shared" si="28"/>
        <v>0.43153508277959235</v>
      </c>
      <c r="R157" s="2">
        <v>10.696</v>
      </c>
      <c r="S157" s="36">
        <f t="shared" si="29"/>
        <v>0.12046401621804258</v>
      </c>
      <c r="T157" s="2">
        <v>-8.6230000000000011</v>
      </c>
      <c r="U157" s="2">
        <v>-3.14</v>
      </c>
      <c r="V157" s="36">
        <f t="shared" si="30"/>
        <v>-9.7116792431580154E-2</v>
      </c>
      <c r="W157" s="2">
        <v>-12.355</v>
      </c>
      <c r="X157" s="2">
        <v>-4.6749999999999998</v>
      </c>
      <c r="Y157" s="92">
        <f t="shared" si="31"/>
        <v>-0.13914855276495103</v>
      </c>
    </row>
    <row r="158" spans="1:25" x14ac:dyDescent="0.2">
      <c r="A158" s="2" t="s">
        <v>393</v>
      </c>
      <c r="B158" s="2" t="s">
        <v>394</v>
      </c>
      <c r="C158" s="2" t="s">
        <v>506</v>
      </c>
      <c r="D158" s="2">
        <v>210.8604</v>
      </c>
      <c r="E158" s="2">
        <v>241.44040000000001</v>
      </c>
      <c r="F158" s="2"/>
      <c r="G158" s="2">
        <v>267.303</v>
      </c>
      <c r="H158" s="2">
        <v>263</v>
      </c>
      <c r="I158" s="36">
        <f t="shared" si="32"/>
        <v>0.91802433460076049</v>
      </c>
      <c r="J158" s="2">
        <v>-1.6097836537562249E-2</v>
      </c>
      <c r="K158" s="2">
        <v>24.043999839782714</v>
      </c>
      <c r="L158" s="2">
        <v>9.1</v>
      </c>
      <c r="M158" s="94">
        <f t="shared" si="26"/>
        <v>8.9950355363698553E-2</v>
      </c>
      <c r="N158" s="2">
        <v>0</v>
      </c>
      <c r="O158" s="36">
        <f t="shared" si="27"/>
        <v>0</v>
      </c>
      <c r="P158" s="2" t="s">
        <v>480</v>
      </c>
      <c r="Q158" s="36" t="e">
        <f t="shared" si="28"/>
        <v>#VALUE!</v>
      </c>
      <c r="R158" s="2" t="s">
        <v>480</v>
      </c>
      <c r="S158" s="36" t="e">
        <f t="shared" si="29"/>
        <v>#VALUE!</v>
      </c>
      <c r="T158" s="2">
        <v>2.218</v>
      </c>
      <c r="U158" s="2">
        <v>2.5300000000000002</v>
      </c>
      <c r="V158" s="36">
        <f t="shared" si="30"/>
        <v>8.2976996142953875E-3</v>
      </c>
      <c r="W158" s="2">
        <v>-11.090780000000002</v>
      </c>
      <c r="X158" s="2">
        <v>-16</v>
      </c>
      <c r="Y158" s="92">
        <f t="shared" si="31"/>
        <v>-4.149141610831155E-2</v>
      </c>
    </row>
    <row r="159" spans="1:25" x14ac:dyDescent="0.2">
      <c r="A159" s="2" t="s">
        <v>395</v>
      </c>
      <c r="B159" s="2" t="s">
        <v>396</v>
      </c>
      <c r="C159" s="87" t="s">
        <v>495</v>
      </c>
      <c r="D159" s="87">
        <v>200.37180000000001</v>
      </c>
      <c r="E159" s="87">
        <v>198.11580000000001</v>
      </c>
      <c r="F159" s="87"/>
      <c r="G159" s="87">
        <v>61.307000000000002</v>
      </c>
      <c r="H159" s="87">
        <v>66.075000000000003</v>
      </c>
      <c r="I159" s="36">
        <f t="shared" si="32"/>
        <v>2.9983473325766177</v>
      </c>
      <c r="J159" s="87">
        <v>7.7772521897988778E-2</v>
      </c>
      <c r="K159" s="87">
        <v>38.971000602722171</v>
      </c>
      <c r="L159" s="87">
        <v>63.690000000000005</v>
      </c>
      <c r="M159" s="94">
        <f t="shared" si="26"/>
        <v>0.63566967234935934</v>
      </c>
      <c r="N159" s="87">
        <v>14.710999999999999</v>
      </c>
      <c r="O159" s="36">
        <f t="shared" si="27"/>
        <v>0.23995628557913448</v>
      </c>
      <c r="P159" s="87">
        <v>17.681000000000001</v>
      </c>
      <c r="Q159" s="36">
        <f t="shared" si="28"/>
        <v>0.28840099825468546</v>
      </c>
      <c r="R159" s="87">
        <v>7.5670000000000002</v>
      </c>
      <c r="S159" s="36">
        <f t="shared" si="29"/>
        <v>0.12342799354070498</v>
      </c>
      <c r="T159" s="87">
        <v>1.6520000000000001</v>
      </c>
      <c r="U159" s="87">
        <v>3.4729999999999999</v>
      </c>
      <c r="V159" s="36">
        <f t="shared" si="30"/>
        <v>2.6946351966333371E-2</v>
      </c>
      <c r="W159" s="87">
        <v>-1.9897</v>
      </c>
      <c r="X159" s="87">
        <v>8.7000000000000008E-2</v>
      </c>
      <c r="Y159" s="92">
        <f t="shared" si="31"/>
        <v>-3.2454695222405273E-2</v>
      </c>
    </row>
    <row r="160" spans="1:25" x14ac:dyDescent="0.2">
      <c r="A160" s="2" t="s">
        <v>397</v>
      </c>
      <c r="B160" s="2" t="s">
        <v>398</v>
      </c>
      <c r="C160" s="87" t="s">
        <v>495</v>
      </c>
      <c r="D160" s="87">
        <v>213.11680000000001</v>
      </c>
      <c r="E160" s="87">
        <v>128.17080000000001</v>
      </c>
      <c r="F160" s="87"/>
      <c r="G160" s="87">
        <v>106.17999999999999</v>
      </c>
      <c r="H160" s="87">
        <v>222.333</v>
      </c>
      <c r="I160" s="36">
        <f t="shared" si="32"/>
        <v>0.57648122410978131</v>
      </c>
      <c r="J160" s="87">
        <v>1.0939254096816726</v>
      </c>
      <c r="K160" s="87">
        <v>43.949999134063717</v>
      </c>
      <c r="L160" s="87">
        <v>44.2</v>
      </c>
      <c r="M160" s="94">
        <f t="shared" si="26"/>
        <v>0.41391975074461967</v>
      </c>
      <c r="N160" s="87">
        <v>87.488</v>
      </c>
      <c r="O160" s="36">
        <f t="shared" si="27"/>
        <v>0.82395931437182146</v>
      </c>
      <c r="P160" s="87">
        <v>20.748000000000001</v>
      </c>
      <c r="Q160" s="36">
        <f t="shared" si="28"/>
        <v>0.19540403089093994</v>
      </c>
      <c r="R160" s="87">
        <v>21.562000000000001</v>
      </c>
      <c r="S160" s="36">
        <f t="shared" si="29"/>
        <v>0.20307025805236392</v>
      </c>
      <c r="T160" s="87">
        <v>-82.265000000000001</v>
      </c>
      <c r="U160" s="87">
        <v>-24.923000000000002</v>
      </c>
      <c r="V160" s="36">
        <f t="shared" si="30"/>
        <v>-0.77476925974759847</v>
      </c>
      <c r="W160" s="87">
        <v>-86.175290000000004</v>
      </c>
      <c r="X160" s="87">
        <v>-33.910000000000004</v>
      </c>
      <c r="Y160" s="92">
        <f t="shared" si="31"/>
        <v>-0.81159625164814475</v>
      </c>
    </row>
    <row r="161" spans="1:25" x14ac:dyDescent="0.2">
      <c r="A161" s="2" t="s">
        <v>399</v>
      </c>
      <c r="B161" s="2" t="s">
        <v>400</v>
      </c>
      <c r="C161" s="87" t="s">
        <v>495</v>
      </c>
      <c r="D161" s="87">
        <v>193.33240000000001</v>
      </c>
      <c r="E161" s="87">
        <v>194.5496</v>
      </c>
      <c r="F161" s="87"/>
      <c r="G161" s="87">
        <v>77.324254925706967</v>
      </c>
      <c r="H161" s="87">
        <v>93.373000000000005</v>
      </c>
      <c r="I161" s="36">
        <f t="shared" si="32"/>
        <v>2.0835744808456407</v>
      </c>
      <c r="J161" s="87">
        <v>0.20755124106546718</v>
      </c>
      <c r="K161" s="87">
        <v>65.752319670119391</v>
      </c>
      <c r="L161" s="87" t="s">
        <v>480</v>
      </c>
      <c r="M161" s="94">
        <f t="shared" si="26"/>
        <v>0.8503453377377399</v>
      </c>
      <c r="N161" s="87">
        <v>23.226824863907463</v>
      </c>
      <c r="O161" s="36">
        <f t="shared" si="27"/>
        <v>0.30038213606097808</v>
      </c>
      <c r="P161" s="87">
        <v>21.908126817776814</v>
      </c>
      <c r="Q161" s="36">
        <f t="shared" si="28"/>
        <v>0.28332800411495862</v>
      </c>
      <c r="R161" s="87">
        <v>12.618812398265399</v>
      </c>
      <c r="S161" s="36">
        <f t="shared" si="29"/>
        <v>0.16319345605579436</v>
      </c>
      <c r="T161" s="87">
        <v>-10.102160110826825</v>
      </c>
      <c r="U161" s="87">
        <v>-7.149</v>
      </c>
      <c r="V161" s="36">
        <f t="shared" si="30"/>
        <v>-0.13064671777998982</v>
      </c>
      <c r="W161" s="87">
        <v>-21.599914824453627</v>
      </c>
      <c r="X161" s="87">
        <v>-13.758000000000001</v>
      </c>
      <c r="Y161" s="92">
        <f t="shared" si="31"/>
        <v>-0.27934203627576876</v>
      </c>
    </row>
    <row r="162" spans="1:25" x14ac:dyDescent="0.2">
      <c r="A162" s="2" t="s">
        <v>401</v>
      </c>
      <c r="B162" s="2" t="s">
        <v>402</v>
      </c>
      <c r="C162" s="87" t="s">
        <v>495</v>
      </c>
      <c r="D162" s="87">
        <v>193.80619999999999</v>
      </c>
      <c r="E162" s="87">
        <v>796.41120000000001</v>
      </c>
      <c r="F162" s="87"/>
      <c r="G162" s="87">
        <v>226.47071799999998</v>
      </c>
      <c r="H162" s="87">
        <v>566</v>
      </c>
      <c r="I162" s="36">
        <f t="shared" si="32"/>
        <v>1.4070869257950531</v>
      </c>
      <c r="J162" s="87">
        <v>1.4992193472005511</v>
      </c>
      <c r="K162" s="87">
        <v>104.50188414001465</v>
      </c>
      <c r="L162" s="87">
        <v>45.067</v>
      </c>
      <c r="M162" s="94">
        <f t="shared" ref="M162:M168" si="33">K162/G162</f>
        <v>0.46143662661066259</v>
      </c>
      <c r="N162" s="87">
        <v>0</v>
      </c>
      <c r="O162" s="36">
        <f t="shared" ref="O162:O168" si="34">N162/G162</f>
        <v>0</v>
      </c>
      <c r="P162" s="87" t="s">
        <v>480</v>
      </c>
      <c r="Q162" s="36" t="e">
        <f t="shared" ref="Q162:Q168" si="35">P162/G162</f>
        <v>#VALUE!</v>
      </c>
      <c r="R162" s="87" t="s">
        <v>480</v>
      </c>
      <c r="S162" s="36" t="e">
        <f t="shared" ref="S162:S168" si="36">R162/G162</f>
        <v>#VALUE!</v>
      </c>
      <c r="T162" s="87">
        <v>45.785221999999997</v>
      </c>
      <c r="U162" s="87">
        <v>127.017</v>
      </c>
      <c r="V162" s="36">
        <f t="shared" ref="V162:V168" si="37">T162/G162</f>
        <v>0.20216839688740687</v>
      </c>
      <c r="W162" s="87">
        <v>-20.271996980000001</v>
      </c>
      <c r="X162" s="87">
        <v>-34.597999999999999</v>
      </c>
      <c r="Y162" s="92">
        <f t="shared" ref="Y162:Y168" si="38">W162/G162</f>
        <v>-8.9512662648069161E-2</v>
      </c>
    </row>
    <row r="163" spans="1:25" x14ac:dyDescent="0.2">
      <c r="A163" s="2" t="s">
        <v>403</v>
      </c>
      <c r="B163" s="2" t="s">
        <v>404</v>
      </c>
      <c r="C163" s="2" t="s">
        <v>506</v>
      </c>
      <c r="D163" s="2">
        <v>192.5958</v>
      </c>
      <c r="E163" s="2">
        <v>200.29679999999999</v>
      </c>
      <c r="F163" s="2"/>
      <c r="G163" s="2">
        <v>168.36399999999998</v>
      </c>
      <c r="H163" s="2">
        <v>181.1</v>
      </c>
      <c r="I163" s="36">
        <f t="shared" si="32"/>
        <v>1.1060011043622309</v>
      </c>
      <c r="J163" s="2">
        <v>7.5645624955453794E-2</v>
      </c>
      <c r="K163" s="2">
        <v>62.756998718261713</v>
      </c>
      <c r="L163" s="2">
        <v>38.65</v>
      </c>
      <c r="M163" s="94">
        <f t="shared" si="33"/>
        <v>0.37274594757942148</v>
      </c>
      <c r="N163" s="2">
        <v>0</v>
      </c>
      <c r="O163" s="36">
        <f t="shared" si="34"/>
        <v>0</v>
      </c>
      <c r="P163" s="2" t="s">
        <v>480</v>
      </c>
      <c r="Q163" s="36" t="e">
        <f t="shared" si="35"/>
        <v>#VALUE!</v>
      </c>
      <c r="R163" s="2" t="s">
        <v>480</v>
      </c>
      <c r="S163" s="36" t="e">
        <f t="shared" si="36"/>
        <v>#VALUE!</v>
      </c>
      <c r="T163" s="2">
        <v>16.504999999999999</v>
      </c>
      <c r="U163" s="2">
        <v>24.42</v>
      </c>
      <c r="V163" s="36">
        <f t="shared" si="37"/>
        <v>9.8031645719987653E-2</v>
      </c>
      <c r="W163" s="2">
        <v>2.1417899999999994</v>
      </c>
      <c r="X163" s="2">
        <v>2.5569999999999999</v>
      </c>
      <c r="Y163" s="92">
        <f t="shared" si="38"/>
        <v>1.2721187427240977E-2</v>
      </c>
    </row>
    <row r="164" spans="1:25" x14ac:dyDescent="0.2">
      <c r="A164" s="2" t="s">
        <v>405</v>
      </c>
      <c r="B164" s="2" t="s">
        <v>406</v>
      </c>
      <c r="C164" s="2" t="s">
        <v>506</v>
      </c>
      <c r="D164" s="2">
        <v>181.02850000000001</v>
      </c>
      <c r="E164" s="2">
        <v>162.81110000000001</v>
      </c>
      <c r="F164" s="2"/>
      <c r="G164" s="2">
        <v>8.5688190662573405</v>
      </c>
      <c r="H164" s="2">
        <v>67.894999999999996</v>
      </c>
      <c r="I164" s="36">
        <f t="shared" si="32"/>
        <v>2.3979836512261583</v>
      </c>
      <c r="J164" s="2">
        <v>6.923495580313956</v>
      </c>
      <c r="K164" s="2">
        <v>2.4821392877652002</v>
      </c>
      <c r="L164" s="2">
        <v>78</v>
      </c>
      <c r="M164" s="94">
        <f t="shared" si="33"/>
        <v>0.2896711050347035</v>
      </c>
      <c r="N164" s="2">
        <v>0</v>
      </c>
      <c r="O164" s="36">
        <f t="shared" si="34"/>
        <v>0</v>
      </c>
      <c r="P164" s="2" t="s">
        <v>480</v>
      </c>
      <c r="Q164" s="36" t="e">
        <f t="shared" si="35"/>
        <v>#VALUE!</v>
      </c>
      <c r="R164" s="2">
        <v>1.0619080464735536E-2</v>
      </c>
      <c r="S164" s="36">
        <f t="shared" si="36"/>
        <v>1.2392700070598761E-3</v>
      </c>
      <c r="T164" s="2">
        <v>4.4655614782134192</v>
      </c>
      <c r="U164" s="2">
        <v>51.715000000000003</v>
      </c>
      <c r="V164" s="36">
        <f t="shared" si="37"/>
        <v>0.52114082975542064</v>
      </c>
      <c r="W164" s="2">
        <v>-3.0786477360037656</v>
      </c>
      <c r="X164" s="2" t="s">
        <v>480</v>
      </c>
      <c r="Y164" s="92">
        <f t="shared" si="38"/>
        <v>-0.35928495072640704</v>
      </c>
    </row>
    <row r="165" spans="1:25" x14ac:dyDescent="0.2">
      <c r="A165" s="2" t="s">
        <v>407</v>
      </c>
      <c r="B165" s="2" t="s">
        <v>408</v>
      </c>
      <c r="C165" s="2" t="s">
        <v>506</v>
      </c>
      <c r="D165" s="2">
        <v>186.72329999999999</v>
      </c>
      <c r="E165" s="2">
        <v>275.41230000000002</v>
      </c>
      <c r="F165" s="2"/>
      <c r="G165" s="2">
        <v>274.86399999999998</v>
      </c>
      <c r="H165" s="2">
        <v>293.875</v>
      </c>
      <c r="I165" s="36">
        <f t="shared" si="32"/>
        <v>0.93717498936622723</v>
      </c>
      <c r="J165" s="2">
        <v>6.9165114383840764E-2</v>
      </c>
      <c r="K165" s="2">
        <v>116.03600010681151</v>
      </c>
      <c r="L165" s="2">
        <v>43.300000000000004</v>
      </c>
      <c r="M165" s="94">
        <f t="shared" si="33"/>
        <v>0.42215786755199491</v>
      </c>
      <c r="N165" s="2">
        <v>0</v>
      </c>
      <c r="O165" s="36">
        <f t="shared" si="34"/>
        <v>0</v>
      </c>
      <c r="P165" s="2" t="s">
        <v>480</v>
      </c>
      <c r="Q165" s="36" t="e">
        <f t="shared" si="35"/>
        <v>#VALUE!</v>
      </c>
      <c r="R165" s="2" t="s">
        <v>480</v>
      </c>
      <c r="S165" s="36" t="e">
        <f t="shared" si="36"/>
        <v>#VALUE!</v>
      </c>
      <c r="T165" s="2">
        <v>25.126000000000001</v>
      </c>
      <c r="U165" s="2">
        <v>36.853000000000002</v>
      </c>
      <c r="V165" s="36">
        <f t="shared" si="37"/>
        <v>9.1412480353920494E-2</v>
      </c>
      <c r="W165" s="2">
        <v>2.5753330869909998</v>
      </c>
      <c r="X165" s="2">
        <v>17.645</v>
      </c>
      <c r="Y165" s="92">
        <f t="shared" si="38"/>
        <v>9.3694812234086673E-3</v>
      </c>
    </row>
    <row r="166" spans="1:25" x14ac:dyDescent="0.2">
      <c r="A166" s="2" t="s">
        <v>409</v>
      </c>
      <c r="B166" s="2" t="s">
        <v>410</v>
      </c>
      <c r="C166" s="87" t="s">
        <v>495</v>
      </c>
      <c r="D166" s="87">
        <v>183.29759999999999</v>
      </c>
      <c r="E166" s="87">
        <v>124.41030000000001</v>
      </c>
      <c r="F166" s="87"/>
      <c r="G166" s="87">
        <v>128.101112</v>
      </c>
      <c r="H166" s="87">
        <v>123</v>
      </c>
      <c r="I166" s="36">
        <f t="shared" si="32"/>
        <v>1.0114658536585366</v>
      </c>
      <c r="J166" s="87">
        <v>-3.982098141349466E-2</v>
      </c>
      <c r="K166" s="87">
        <v>72.534188598388667</v>
      </c>
      <c r="L166" s="87">
        <v>61.300000000000004</v>
      </c>
      <c r="M166" s="94">
        <f t="shared" si="33"/>
        <v>0.56622606522251473</v>
      </c>
      <c r="N166" s="87">
        <v>41.944024999999996</v>
      </c>
      <c r="O166" s="36">
        <f t="shared" si="34"/>
        <v>0.32742904682981983</v>
      </c>
      <c r="P166" s="87">
        <v>19.221935999999999</v>
      </c>
      <c r="Q166" s="36">
        <f t="shared" si="35"/>
        <v>0.15005284263262289</v>
      </c>
      <c r="R166" s="87">
        <v>36.027413000000003</v>
      </c>
      <c r="S166" s="36">
        <f t="shared" si="36"/>
        <v>0.28124200045976183</v>
      </c>
      <c r="T166" s="87">
        <v>-23.433501</v>
      </c>
      <c r="U166" s="87">
        <v>-20.85</v>
      </c>
      <c r="V166" s="36">
        <f t="shared" si="37"/>
        <v>-0.18292972351403164</v>
      </c>
      <c r="W166" s="87">
        <v>-50.694046620000002</v>
      </c>
      <c r="X166" s="87">
        <v>-87.600000000000009</v>
      </c>
      <c r="Y166" s="92">
        <f t="shared" si="38"/>
        <v>-0.39573463359162725</v>
      </c>
    </row>
    <row r="167" spans="1:25" x14ac:dyDescent="0.2">
      <c r="A167" s="2" t="s">
        <v>411</v>
      </c>
      <c r="B167" s="2" t="s">
        <v>412</v>
      </c>
      <c r="C167" s="2" t="s">
        <v>505</v>
      </c>
      <c r="D167" s="2">
        <v>174.07480000000001</v>
      </c>
      <c r="E167" s="2">
        <v>69.755799999999994</v>
      </c>
      <c r="F167" s="2"/>
      <c r="G167" s="2">
        <v>120.13199999999999</v>
      </c>
      <c r="H167" s="2">
        <v>124.5</v>
      </c>
      <c r="I167" s="36">
        <f t="shared" si="32"/>
        <v>0.56028755020080312</v>
      </c>
      <c r="J167" s="2">
        <v>3.6360003995604906E-2</v>
      </c>
      <c r="K167" s="2">
        <v>61.855000404357909</v>
      </c>
      <c r="L167" s="2">
        <v>49</v>
      </c>
      <c r="M167" s="94">
        <f t="shared" si="33"/>
        <v>0.5148919555518755</v>
      </c>
      <c r="N167" s="2">
        <v>47.5</v>
      </c>
      <c r="O167" s="36">
        <f t="shared" si="34"/>
        <v>0.39539839509872476</v>
      </c>
      <c r="P167" s="2">
        <v>51.793999999999997</v>
      </c>
      <c r="Q167" s="36">
        <f t="shared" si="35"/>
        <v>0.43114241001564946</v>
      </c>
      <c r="R167" s="2">
        <v>55.595999999999997</v>
      </c>
      <c r="S167" s="36">
        <f t="shared" si="36"/>
        <v>0.46279092997702526</v>
      </c>
      <c r="T167" s="2">
        <v>-43.578000000000003</v>
      </c>
      <c r="U167" s="2">
        <v>-6.375</v>
      </c>
      <c r="V167" s="36">
        <f t="shared" si="37"/>
        <v>-0.3627509739286785</v>
      </c>
      <c r="W167" s="2">
        <v>-75.318597068339997</v>
      </c>
      <c r="X167" s="2">
        <v>-51.5</v>
      </c>
      <c r="Y167" s="92">
        <f t="shared" si="38"/>
        <v>-0.62696531372440323</v>
      </c>
    </row>
    <row r="168" spans="1:25" x14ac:dyDescent="0.2">
      <c r="A168" s="2" t="s">
        <v>413</v>
      </c>
      <c r="B168" s="2" t="s">
        <v>414</v>
      </c>
      <c r="C168" s="2" t="s">
        <v>505</v>
      </c>
      <c r="D168" s="2">
        <v>168.06610000000001</v>
      </c>
      <c r="E168" s="2">
        <v>151.4391</v>
      </c>
      <c r="F168" s="2"/>
      <c r="G168" s="2">
        <v>31.908999999999999</v>
      </c>
      <c r="H168" s="2">
        <v>38.61</v>
      </c>
      <c r="I168" s="36">
        <f t="shared" si="32"/>
        <v>3.9222766122766122</v>
      </c>
      <c r="J168" s="2">
        <v>0.21000344730326859</v>
      </c>
      <c r="K168" s="2">
        <v>19.025000007629394</v>
      </c>
      <c r="L168" s="2">
        <v>70</v>
      </c>
      <c r="M168" s="94">
        <f t="shared" si="33"/>
        <v>0.59622677011593583</v>
      </c>
      <c r="N168" s="2">
        <v>9.8249999999999993</v>
      </c>
      <c r="O168" s="36">
        <f t="shared" si="34"/>
        <v>0.30790686013350466</v>
      </c>
      <c r="P168" s="2">
        <v>15.551</v>
      </c>
      <c r="Q168" s="36">
        <f t="shared" si="35"/>
        <v>0.48735466482810497</v>
      </c>
      <c r="R168" s="2">
        <v>7.2859999999999996</v>
      </c>
      <c r="S168" s="36">
        <f t="shared" si="36"/>
        <v>0.2283368328684697</v>
      </c>
      <c r="T168" s="2">
        <v>-12.440999999999999</v>
      </c>
      <c r="U168" s="2" t="s">
        <v>480</v>
      </c>
      <c r="V168" s="36">
        <f t="shared" si="37"/>
        <v>-0.38988999968660876</v>
      </c>
      <c r="W168" s="2">
        <v>-20.875574530000002</v>
      </c>
      <c r="X168" s="2">
        <v>-16.77</v>
      </c>
      <c r="Y168" s="92">
        <f t="shared" si="38"/>
        <v>-0.65422214829671888</v>
      </c>
    </row>
    <row r="169" spans="1:25" x14ac:dyDescent="0.2">
      <c r="I169" s="36" t="e">
        <f t="shared" si="32"/>
        <v>#DIV/0!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filterMode="1"/>
  <dimension ref="A2:BL389"/>
  <sheetViews>
    <sheetView showGridLines="0" zoomScale="55" zoomScaleNormal="55" workbookViewId="0">
      <selection activeCell="AF15" sqref="AF15"/>
    </sheetView>
  </sheetViews>
  <sheetFormatPr defaultColWidth="12.5703125" defaultRowHeight="12.75" outlineLevelCol="1" x14ac:dyDescent="0.2"/>
  <cols>
    <col min="1" max="1" width="2.5703125" style="2" customWidth="1"/>
    <col min="2" max="2" width="23.85546875" style="2" customWidth="1"/>
    <col min="3" max="3" width="50.7109375" style="2" customWidth="1"/>
    <col min="4" max="13" width="10.42578125" style="2" customWidth="1"/>
    <col min="14" max="14" width="12.5703125" style="2" customWidth="1"/>
    <col min="15" max="15" width="16.140625" style="2" customWidth="1"/>
    <col min="16" max="16" width="35.42578125" style="2" customWidth="1"/>
    <col min="17" max="17" width="40.7109375" style="2" customWidth="1"/>
    <col min="18" max="18" width="15.5703125" style="2" customWidth="1"/>
    <col min="19" max="29" width="12.5703125" style="2" customWidth="1"/>
    <col min="30" max="30" width="16.140625" style="4" bestFit="1" customWidth="1"/>
    <col min="31" max="31" width="22.85546875" style="2" customWidth="1" outlineLevel="1"/>
    <col min="32" max="35" width="12.5703125" style="2" customWidth="1" outlineLevel="1"/>
    <col min="36" max="36" width="15.85546875" style="2" customWidth="1" outlineLevel="1"/>
    <col min="37" max="38" width="12.5703125" style="2" customWidth="1" outlineLevel="1"/>
    <col min="39" max="39" width="12.28515625" style="2" customWidth="1" outlineLevel="1"/>
    <col min="40" max="46" width="12.5703125" style="2" customWidth="1" outlineLevel="1"/>
    <col min="47" max="16384" width="12.5703125" style="2"/>
  </cols>
  <sheetData>
    <row r="2" spans="1:64" x14ac:dyDescent="0.2">
      <c r="B2" s="3" t="s">
        <v>417</v>
      </c>
    </row>
    <row r="3" spans="1:64" x14ac:dyDescent="0.2">
      <c r="B3" s="2" t="s">
        <v>418</v>
      </c>
      <c r="C3" s="5" t="s">
        <v>419</v>
      </c>
      <c r="D3" s="6" t="s">
        <v>420</v>
      </c>
      <c r="E3" s="7"/>
    </row>
    <row r="4" spans="1:64" x14ac:dyDescent="0.2">
      <c r="B4" s="2" t="s">
        <v>421</v>
      </c>
      <c r="C4" s="8" t="s">
        <v>422</v>
      </c>
    </row>
    <row r="5" spans="1:64" x14ac:dyDescent="0.2">
      <c r="B5" s="8" t="s">
        <v>423</v>
      </c>
      <c r="C5" s="9">
        <v>43397</v>
      </c>
    </row>
    <row r="7" spans="1:64" ht="47.25" x14ac:dyDescent="0.2">
      <c r="B7" s="10" t="s">
        <v>424</v>
      </c>
      <c r="C7" s="10" t="s">
        <v>425</v>
      </c>
      <c r="D7" s="11" t="s">
        <v>426</v>
      </c>
      <c r="E7" s="11" t="s">
        <v>427</v>
      </c>
      <c r="F7" s="12" t="s">
        <v>428</v>
      </c>
      <c r="G7" s="13"/>
      <c r="H7" s="14" t="s">
        <v>429</v>
      </c>
      <c r="I7" s="13"/>
      <c r="J7" s="12" t="s">
        <v>430</v>
      </c>
      <c r="K7" s="12" t="s">
        <v>431</v>
      </c>
      <c r="L7" s="15" t="s">
        <v>432</v>
      </c>
      <c r="M7" s="15" t="s">
        <v>433</v>
      </c>
      <c r="S7" s="16" t="s">
        <v>434</v>
      </c>
      <c r="T7" s="16" t="s">
        <v>435</v>
      </c>
      <c r="U7" s="17" t="s">
        <v>436</v>
      </c>
      <c r="V7" s="17"/>
      <c r="W7" s="17" t="s">
        <v>437</v>
      </c>
      <c r="X7" s="17"/>
      <c r="Y7" s="17" t="s">
        <v>438</v>
      </c>
      <c r="Z7" s="17"/>
      <c r="AA7" s="17" t="s">
        <v>439</v>
      </c>
      <c r="AB7" s="17"/>
    </row>
    <row r="8" spans="1:64" ht="15.75" x14ac:dyDescent="0.2">
      <c r="B8" s="18"/>
      <c r="C8" s="18"/>
      <c r="D8" s="18"/>
      <c r="E8" s="18"/>
      <c r="F8" s="19" t="s">
        <v>440</v>
      </c>
      <c r="G8" s="20" t="s">
        <v>441</v>
      </c>
      <c r="H8" s="19" t="s">
        <v>440</v>
      </c>
      <c r="I8" s="20" t="s">
        <v>441</v>
      </c>
      <c r="J8" s="19" t="s">
        <v>441</v>
      </c>
      <c r="K8" s="19" t="s">
        <v>440</v>
      </c>
      <c r="L8" s="20" t="s">
        <v>440</v>
      </c>
      <c r="M8" s="20" t="s">
        <v>440</v>
      </c>
      <c r="S8" s="21"/>
      <c r="T8" s="21"/>
      <c r="U8" s="22" t="s">
        <v>442</v>
      </c>
      <c r="V8" s="23" t="s">
        <v>441</v>
      </c>
      <c r="W8" s="22" t="s">
        <v>442</v>
      </c>
      <c r="X8" s="23" t="s">
        <v>441</v>
      </c>
      <c r="Y8" s="22" t="s">
        <v>442</v>
      </c>
      <c r="Z8" s="23" t="s">
        <v>441</v>
      </c>
      <c r="AA8" s="22" t="s">
        <v>442</v>
      </c>
      <c r="AB8" s="23" t="s">
        <v>441</v>
      </c>
    </row>
    <row r="9" spans="1:64" ht="15" x14ac:dyDescent="0.2">
      <c r="B9" s="24" t="str">
        <f>P9</f>
        <v>Databricks</v>
      </c>
      <c r="C9" s="25" t="str">
        <f>Q9</f>
        <v>Advanced big data processing company.</v>
      </c>
      <c r="D9" s="26">
        <f>S9</f>
        <v>0</v>
      </c>
      <c r="E9" s="26">
        <f>T9</f>
        <v>0</v>
      </c>
      <c r="F9" s="27">
        <f t="shared" ref="F9:G9" si="0">U9</f>
        <v>0</v>
      </c>
      <c r="G9" s="28">
        <f t="shared" si="0"/>
        <v>0</v>
      </c>
      <c r="H9" s="29" t="e">
        <f>E9/F9</f>
        <v>#DIV/0!</v>
      </c>
      <c r="I9" s="30" t="e">
        <f>E9/G9</f>
        <v>#DIV/0!</v>
      </c>
      <c r="J9" s="31" t="e">
        <f>G9/F9-1</f>
        <v>#DIV/0!</v>
      </c>
      <c r="K9" s="32" t="e">
        <f>W9/F9</f>
        <v>#DIV/0!</v>
      </c>
      <c r="L9" s="33" t="e">
        <f>Y9/F9</f>
        <v>#DIV/0!</v>
      </c>
      <c r="M9" s="33" t="e">
        <f>AA9/F9</f>
        <v>#DIV/0!</v>
      </c>
      <c r="P9" s="34" t="s">
        <v>417</v>
      </c>
      <c r="Q9" s="35" t="s">
        <v>443</v>
      </c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J9" s="2" t="s">
        <v>444</v>
      </c>
      <c r="AM9" s="2" t="s">
        <v>444</v>
      </c>
      <c r="AR9" s="2" t="s">
        <v>444</v>
      </c>
      <c r="AT9" s="2" t="s">
        <v>444</v>
      </c>
    </row>
    <row r="10" spans="1:64" ht="15" x14ac:dyDescent="0.25">
      <c r="O10" s="8" t="s">
        <v>445</v>
      </c>
      <c r="AD10" s="4" t="s">
        <v>446</v>
      </c>
      <c r="AE10" s="2" t="s">
        <v>504</v>
      </c>
      <c r="AF10" s="2" t="s">
        <v>447</v>
      </c>
      <c r="AG10" s="2" t="s">
        <v>950</v>
      </c>
      <c r="AI10" s="3" t="s">
        <v>449</v>
      </c>
      <c r="AJ10" s="2" t="s">
        <v>450</v>
      </c>
      <c r="AL10" s="2" t="s">
        <v>451</v>
      </c>
      <c r="AM10" s="2" t="s">
        <v>452</v>
      </c>
      <c r="AN10" s="90" t="s">
        <v>502</v>
      </c>
      <c r="AO10" s="90" t="s">
        <v>503</v>
      </c>
      <c r="AP10" s="90" t="s">
        <v>501</v>
      </c>
      <c r="AQ10" s="2" t="s">
        <v>453</v>
      </c>
      <c r="AR10" s="2" t="s">
        <v>454</v>
      </c>
      <c r="AS10" s="2" t="s">
        <v>455</v>
      </c>
      <c r="AT10" s="2" t="s">
        <v>456</v>
      </c>
    </row>
    <row r="11" spans="1:64" x14ac:dyDescent="0.2">
      <c r="A11" s="2" t="s">
        <v>457</v>
      </c>
      <c r="B11" s="37" t="s">
        <v>458</v>
      </c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2" t="s">
        <v>457</v>
      </c>
      <c r="O11" s="37" t="s">
        <v>459</v>
      </c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D11" s="38" t="s">
        <v>459</v>
      </c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7"/>
      <c r="AV11" s="38" t="s">
        <v>459</v>
      </c>
      <c r="AW11" s="37"/>
      <c r="AX11" s="37"/>
      <c r="AY11" s="37"/>
      <c r="AZ11" s="37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</row>
    <row r="12" spans="1:64" ht="38.25" x14ac:dyDescent="0.2">
      <c r="B12" s="39" t="s">
        <v>424</v>
      </c>
      <c r="C12" s="39" t="s">
        <v>425</v>
      </c>
      <c r="D12" s="16" t="s">
        <v>426</v>
      </c>
      <c r="E12" s="16" t="s">
        <v>427</v>
      </c>
      <c r="F12" s="40" t="s">
        <v>428</v>
      </c>
      <c r="G12" s="17"/>
      <c r="H12" s="17" t="s">
        <v>429</v>
      </c>
      <c r="I12" s="17"/>
      <c r="J12" s="40" t="s">
        <v>460</v>
      </c>
      <c r="K12" s="40" t="s">
        <v>461</v>
      </c>
      <c r="L12" s="40" t="s">
        <v>432</v>
      </c>
      <c r="M12" s="40" t="s">
        <v>462</v>
      </c>
      <c r="O12" s="41" t="s">
        <v>0</v>
      </c>
      <c r="P12" s="42" t="s">
        <v>424</v>
      </c>
      <c r="Q12" s="42" t="s">
        <v>425</v>
      </c>
      <c r="R12" s="41" t="s">
        <v>463</v>
      </c>
      <c r="S12" s="16" t="s">
        <v>434</v>
      </c>
      <c r="T12" s="16" t="s">
        <v>435</v>
      </c>
      <c r="U12" s="17" t="s">
        <v>436</v>
      </c>
      <c r="V12" s="17"/>
      <c r="W12" s="17" t="s">
        <v>437</v>
      </c>
      <c r="X12" s="17"/>
      <c r="Y12" s="17" t="s">
        <v>438</v>
      </c>
      <c r="Z12" s="17"/>
      <c r="AA12" s="17" t="s">
        <v>439</v>
      </c>
      <c r="AB12" s="17"/>
      <c r="AD12" s="41" t="s">
        <v>0</v>
      </c>
      <c r="AE12" s="41" t="s">
        <v>463</v>
      </c>
      <c r="AF12" s="16" t="s">
        <v>434</v>
      </c>
      <c r="AG12" s="16" t="s">
        <v>435</v>
      </c>
      <c r="AH12" s="16"/>
      <c r="AI12" s="17" t="s">
        <v>436</v>
      </c>
      <c r="AJ12" s="17"/>
      <c r="AK12" s="17" t="s">
        <v>464</v>
      </c>
      <c r="AL12" s="17" t="s">
        <v>437</v>
      </c>
      <c r="AM12" s="17"/>
      <c r="AN12" s="17" t="s">
        <v>498</v>
      </c>
      <c r="AO12" s="17" t="s">
        <v>499</v>
      </c>
      <c r="AP12" s="17" t="s">
        <v>500</v>
      </c>
      <c r="AQ12" s="17" t="s">
        <v>438</v>
      </c>
      <c r="AR12" s="17"/>
      <c r="AS12" s="17" t="s">
        <v>439</v>
      </c>
      <c r="AT12" s="17"/>
      <c r="AV12" s="41" t="s">
        <v>0</v>
      </c>
      <c r="AW12" s="41" t="s">
        <v>463</v>
      </c>
      <c r="AX12" s="16" t="s">
        <v>434</v>
      </c>
      <c r="AY12" s="16" t="s">
        <v>435</v>
      </c>
      <c r="AZ12" s="17" t="s">
        <v>436</v>
      </c>
      <c r="BA12" s="17"/>
      <c r="BB12" s="17" t="s">
        <v>464</v>
      </c>
      <c r="BC12" s="17" t="s">
        <v>437</v>
      </c>
      <c r="BD12" s="17"/>
      <c r="BE12" s="17" t="s">
        <v>498</v>
      </c>
      <c r="BF12" s="17" t="s">
        <v>499</v>
      </c>
      <c r="BG12" s="17" t="s">
        <v>500</v>
      </c>
      <c r="BH12" s="17" t="s">
        <v>438</v>
      </c>
      <c r="BI12" s="17"/>
      <c r="BJ12" s="17" t="s">
        <v>439</v>
      </c>
      <c r="BK12" s="17"/>
      <c r="BL12" s="17"/>
    </row>
    <row r="13" spans="1:64" x14ac:dyDescent="0.2">
      <c r="B13" s="21"/>
      <c r="C13" s="21"/>
      <c r="D13" s="21"/>
      <c r="E13" s="21"/>
      <c r="F13" s="22" t="s">
        <v>440</v>
      </c>
      <c r="G13" s="22" t="s">
        <v>441</v>
      </c>
      <c r="H13" s="22" t="s">
        <v>440</v>
      </c>
      <c r="I13" s="22" t="s">
        <v>441</v>
      </c>
      <c r="J13" s="22" t="s">
        <v>441</v>
      </c>
      <c r="K13" s="22" t="s">
        <v>440</v>
      </c>
      <c r="L13" s="22" t="s">
        <v>440</v>
      </c>
      <c r="M13" s="22" t="s">
        <v>440</v>
      </c>
      <c r="N13" s="43"/>
      <c r="O13" s="21"/>
      <c r="P13" s="21"/>
      <c r="Q13" s="21"/>
      <c r="R13" s="21"/>
      <c r="S13" s="21"/>
      <c r="T13" s="21"/>
      <c r="U13" s="22" t="s">
        <v>440</v>
      </c>
      <c r="V13" s="23" t="s">
        <v>441</v>
      </c>
      <c r="W13" s="22" t="s">
        <v>440</v>
      </c>
      <c r="X13" s="23" t="s">
        <v>441</v>
      </c>
      <c r="Y13" s="22" t="s">
        <v>440</v>
      </c>
      <c r="Z13" s="23" t="s">
        <v>441</v>
      </c>
      <c r="AA13" s="22" t="s">
        <v>440</v>
      </c>
      <c r="AB13" s="23" t="s">
        <v>441</v>
      </c>
      <c r="AC13" s="43"/>
      <c r="AD13" s="22"/>
      <c r="AE13" s="21"/>
      <c r="AF13" s="21"/>
      <c r="AG13" s="21"/>
      <c r="AH13" s="21"/>
      <c r="AI13" s="22" t="s">
        <v>440</v>
      </c>
      <c r="AJ13" s="23" t="s">
        <v>441</v>
      </c>
      <c r="AK13" s="23"/>
      <c r="AL13" s="22" t="s">
        <v>440</v>
      </c>
      <c r="AM13" s="23" t="s">
        <v>441</v>
      </c>
      <c r="AN13" s="23"/>
      <c r="AO13" s="23"/>
      <c r="AP13" s="23"/>
      <c r="AQ13" s="22" t="s">
        <v>440</v>
      </c>
      <c r="AR13" s="23" t="s">
        <v>441</v>
      </c>
      <c r="AS13" s="22" t="s">
        <v>440</v>
      </c>
      <c r="AT13" s="23" t="s">
        <v>441</v>
      </c>
      <c r="AV13" s="22"/>
      <c r="AW13" s="21"/>
      <c r="AX13" s="21"/>
      <c r="AY13" s="21"/>
      <c r="AZ13" s="21"/>
      <c r="BA13" s="22" t="s">
        <v>440</v>
      </c>
      <c r="BB13" s="23" t="s">
        <v>441</v>
      </c>
      <c r="BC13" s="23"/>
      <c r="BD13" s="22" t="s">
        <v>440</v>
      </c>
      <c r="BE13" s="23" t="s">
        <v>441</v>
      </c>
      <c r="BF13" s="23"/>
      <c r="BG13" s="23"/>
      <c r="BH13" s="23"/>
      <c r="BI13" s="22" t="s">
        <v>440</v>
      </c>
      <c r="BJ13" s="23" t="s">
        <v>441</v>
      </c>
      <c r="BK13" s="22" t="s">
        <v>440</v>
      </c>
      <c r="BL13" s="23" t="s">
        <v>441</v>
      </c>
    </row>
    <row r="14" spans="1:64" ht="15.75" x14ac:dyDescent="0.2">
      <c r="B14" s="18"/>
      <c r="C14" s="18"/>
      <c r="D14" s="18"/>
      <c r="E14" s="18"/>
      <c r="F14" s="19" t="s">
        <v>440</v>
      </c>
      <c r="G14" s="20" t="s">
        <v>441</v>
      </c>
      <c r="H14" s="19" t="s">
        <v>440</v>
      </c>
      <c r="I14" s="20" t="s">
        <v>441</v>
      </c>
      <c r="J14" s="19" t="s">
        <v>441</v>
      </c>
      <c r="K14" s="19" t="s">
        <v>440</v>
      </c>
      <c r="L14" s="20" t="s">
        <v>440</v>
      </c>
      <c r="M14" s="20" t="s">
        <v>440</v>
      </c>
      <c r="AD14" s="113" t="s">
        <v>201</v>
      </c>
      <c r="AE14" s="36" t="e">
        <f ca="1">_xll.BDP($AD14,AE$10)</f>
        <v>#NAME?</v>
      </c>
      <c r="AF14" s="36" t="e">
        <f ca="1">_xll.BDH($AD14,AF$10,$C$5,$C$5,"EQY_FUND_CRNCY=USD")</f>
        <v>#NAME?</v>
      </c>
      <c r="AG14" s="36" t="e">
        <f ca="1">_xll.BDH($AD14,AG$10,$C$5,$C$5,"EQY_FUND_CRNCY=USD")</f>
        <v>#NAME?</v>
      </c>
      <c r="AH14" s="36" t="e">
        <f ca="1">_xll.BDP($AD14,AI$10,$C$5,$C$5,"EQY_FUND_CRNCY=USD")</f>
        <v>#NAME?</v>
      </c>
      <c r="AI14" s="36" t="e">
        <f ca="1">_xll.BDP($AD14,AI$10,"EQY_FUND_CRNCY=USD","FA_ADJUSTED=Y")</f>
        <v>#NAME?</v>
      </c>
      <c r="AJ14" s="36" t="e">
        <f ca="1">_xll.BDP($AD14,AJ$10,"BEST_FPERIOD_OVERRIDE=1TY","EQY_FUND_CRNCY=USD","FA_ADJUSTED=Y")</f>
        <v>#NAME?</v>
      </c>
      <c r="AK14" s="44" t="e">
        <f t="shared" ref="AK14:AK77" ca="1" si="1">(AJ14/AI14)-1</f>
        <v>#NAME?</v>
      </c>
      <c r="AL14" s="36" t="e">
        <f ca="1">_xll.BDP($AD14,AL$10,"EQY_FUND_CRNCY=USD","FA_ADJUSTED=Y")</f>
        <v>#NAME?</v>
      </c>
      <c r="AM14" s="36" t="e">
        <f ca="1">_xll.BDP($AD14,AM$10,"BEST_FPERIOD_OVERRIDE=1TY","EQY_FUND_CRNCY=USD","FA_ADJUSTED=Y")</f>
        <v>#NAME?</v>
      </c>
      <c r="AN14" s="36" t="e">
        <f ca="1">_xll.BDP($AD14,AN$10,"BEST_FPERIOD_OVERRIDE=1TY","EQY_FUND_CRNCY=USD","FA_ADJUSTED=Y")</f>
        <v>#NAME?</v>
      </c>
      <c r="AO14" s="36" t="e">
        <f ca="1">_xll.BDP($AD14,AO$10,"BEST_FPERIOD_OVERRIDE=1TY","EQY_FUND_CRNCY=USD","FA_ADJUSTED=Y")</f>
        <v>#NAME?</v>
      </c>
      <c r="AP14" s="36" t="e">
        <f ca="1">_xll.BDP($AD14,AP$10,"BEST_FPERIOD_OVERRIDE=1TY","EQY_FUND_CRNCY=USD","FA_ADJUSTED=Y")</f>
        <v>#NAME?</v>
      </c>
      <c r="AQ14" s="36" t="e">
        <f ca="1">_xll.BDP($AD14,AQ$10,"EQY_FUND_CRNCY=USD","FA_ADJUSTED=Y")</f>
        <v>#NAME?</v>
      </c>
      <c r="AR14" s="36" t="e">
        <f ca="1">_xll.BDP($AD14,AR$10,"BEST_FPERIOD_OVERRIDE=1TY","EQY_FUND_CRNCY=USD","FA_ADJUSTED=Y")</f>
        <v>#NAME?</v>
      </c>
      <c r="AS14" s="36" t="e">
        <f ca="1">_xll.BDP($AD14,AS$10,"EQY_FUND_CRNCY=USD","FA_ADJUSTED=Y")</f>
        <v>#NAME?</v>
      </c>
      <c r="AT14" s="36" t="e">
        <f ca="1">_xll.BDP($AD14,AT$10,"BEST_FPERIOD_OVERRIDE=1TY","EQY_FUND_CRNCY=USD","FA_ADJUSTED=Y")</f>
        <v>#NAME?</v>
      </c>
      <c r="AV14" s="1" t="s">
        <v>201</v>
      </c>
      <c r="AW14" s="1" t="s">
        <v>495</v>
      </c>
      <c r="AX14" s="36">
        <v>2444.6810999999998</v>
      </c>
      <c r="AY14" s="36">
        <v>2506.2860999999998</v>
      </c>
      <c r="AZ14" s="36">
        <v>111.253</v>
      </c>
      <c r="BA14" s="36">
        <v>195.833</v>
      </c>
      <c r="BB14" s="36">
        <v>0.76024916182035529</v>
      </c>
      <c r="BC14" s="114">
        <v>89.570999999999998</v>
      </c>
      <c r="BD14" s="36">
        <v>79.174999999999997</v>
      </c>
      <c r="BE14" s="36">
        <v>37.589999999999996</v>
      </c>
      <c r="BF14" s="36">
        <v>72.924999999999997</v>
      </c>
      <c r="BG14" s="36">
        <v>28.033999999999999</v>
      </c>
      <c r="BH14" s="36">
        <v>-44.902000000000001</v>
      </c>
      <c r="BI14" s="36">
        <v>-45.95</v>
      </c>
      <c r="BJ14" s="36">
        <v>-49.106000000000002</v>
      </c>
      <c r="BK14" s="36">
        <v>-63.59</v>
      </c>
      <c r="BL14" s="36">
        <v>33168.381000000001</v>
      </c>
    </row>
    <row r="15" spans="1:64" ht="15" x14ac:dyDescent="0.2">
      <c r="B15" s="46" t="str">
        <f t="shared" ref="B15:M15" si="2">B$9</f>
        <v>Databricks</v>
      </c>
      <c r="C15" s="46" t="str">
        <f t="shared" si="2"/>
        <v>Advanced big data processing company.</v>
      </c>
      <c r="D15" s="47">
        <f t="shared" si="2"/>
        <v>0</v>
      </c>
      <c r="E15" s="47">
        <f t="shared" si="2"/>
        <v>0</v>
      </c>
      <c r="F15" s="48">
        <f t="shared" si="2"/>
        <v>0</v>
      </c>
      <c r="G15" s="49">
        <f t="shared" si="2"/>
        <v>0</v>
      </c>
      <c r="H15" s="50" t="e">
        <f t="shared" si="2"/>
        <v>#DIV/0!</v>
      </c>
      <c r="I15" s="51" t="e">
        <f t="shared" si="2"/>
        <v>#DIV/0!</v>
      </c>
      <c r="J15" s="52" t="e">
        <f t="shared" si="2"/>
        <v>#DIV/0!</v>
      </c>
      <c r="K15" s="52" t="e">
        <f t="shared" si="2"/>
        <v>#DIV/0!</v>
      </c>
      <c r="L15" s="53" t="e">
        <f t="shared" si="2"/>
        <v>#DIV/0!</v>
      </c>
      <c r="M15" s="53" t="e">
        <f t="shared" si="2"/>
        <v>#DIV/0!</v>
      </c>
      <c r="AD15" s="113" t="s">
        <v>556</v>
      </c>
      <c r="AE15" s="36" t="e">
        <f ca="1">_xll.BDP($AD15,AE$10)</f>
        <v>#NAME?</v>
      </c>
      <c r="AF15" s="36" t="e">
        <f ca="1">_xll.BDH($AD15,AF$10,$C$5,$C$5,"EQY_FUND_CRNCY=USD")</f>
        <v>#NAME?</v>
      </c>
      <c r="AG15" s="36" t="e">
        <f ca="1">_xll.BDH($AD15,AG$10,$C$5,$C$5,"EQY_FUND_CRNCY=USD")</f>
        <v>#NAME?</v>
      </c>
      <c r="AH15" s="36"/>
      <c r="AI15" s="36" t="e">
        <f ca="1">_xll.BDP($AD15,AI$10,"EQY_FUND_CRNCY=USD","FA_ADJUSTED=Y")</f>
        <v>#NAME?</v>
      </c>
      <c r="AJ15" s="36" t="e">
        <f ca="1">_xll.BDP($AD15,AJ$10,"BEST_FPERIOD_OVERRIDE=1TY","EQY_FUND_CRNCY=USD","FA_ADJUSTED=Y")</f>
        <v>#NAME?</v>
      </c>
      <c r="AK15" s="44" t="e">
        <f t="shared" ca="1" si="1"/>
        <v>#NAME?</v>
      </c>
      <c r="AL15" s="36" t="e">
        <f ca="1">_xll.BDP($AD15,AL$10,"EQY_FUND_CRNCY=USD","FA_ADJUSTED=Y")</f>
        <v>#NAME?</v>
      </c>
      <c r="AM15" s="36" t="e">
        <f ca="1">_xll.BDP($AD15,AM$10,"BEST_FPERIOD_OVERRIDE=1TY","EQY_FUND_CRNCY=USD","FA_ADJUSTED=Y")</f>
        <v>#NAME?</v>
      </c>
      <c r="AN15" s="36" t="e">
        <f ca="1">_xll.BDP($AD15,AN$10,"BEST_FPERIOD_OVERRIDE=1TY","EQY_FUND_CRNCY=USD","FA_ADJUSTED=Y")</f>
        <v>#NAME?</v>
      </c>
      <c r="AO15" s="36" t="e">
        <f ca="1">_xll.BDP($AD15,AO$10,"BEST_FPERIOD_OVERRIDE=1TY","EQY_FUND_CRNCY=USD","FA_ADJUSTED=Y")</f>
        <v>#NAME?</v>
      </c>
      <c r="AP15" s="36" t="e">
        <f ca="1">_xll.BDP($AD15,AP$10,"BEST_FPERIOD_OVERRIDE=1TY","EQY_FUND_CRNCY=USD","FA_ADJUSTED=Y")</f>
        <v>#NAME?</v>
      </c>
      <c r="AQ15" s="36" t="e">
        <f ca="1">_xll.BDP($AD15,AQ$10,"EQY_FUND_CRNCY=USD","FA_ADJUSTED=Y")</f>
        <v>#NAME?</v>
      </c>
      <c r="AR15" s="36" t="e">
        <f ca="1">_xll.BDP($AD15,AR$10,"BEST_FPERIOD_OVERRIDE=1TY","EQY_FUND_CRNCY=USD","FA_ADJUSTED=Y")</f>
        <v>#NAME?</v>
      </c>
      <c r="AS15" s="36" t="e">
        <f ca="1">_xll.BDP($AD15,AS$10,"EQY_FUND_CRNCY=USD","FA_ADJUSTED=Y")</f>
        <v>#NAME?</v>
      </c>
      <c r="AT15" s="36" t="e">
        <f ca="1">_xll.BDP($AD15,AT$10,"BEST_FPERIOD_OVERRIDE=1TY","EQY_FUND_CRNCY=USD","FA_ADJUSTED=Y")</f>
        <v>#NAME?</v>
      </c>
      <c r="AV15" s="1" t="s">
        <v>556</v>
      </c>
      <c r="AW15" s="1" t="s">
        <v>505</v>
      </c>
      <c r="AX15" s="36">
        <v>1965.8695</v>
      </c>
      <c r="AY15" s="36">
        <v>2181.2215000000001</v>
      </c>
      <c r="AZ15" s="36">
        <v>167.92599999999999</v>
      </c>
      <c r="BA15" s="36">
        <v>255.9</v>
      </c>
      <c r="BB15" s="36">
        <v>0.52388552100329933</v>
      </c>
      <c r="BC15" s="114">
        <v>88.019999999999982</v>
      </c>
      <c r="BD15" s="36">
        <v>55.325000000000003</v>
      </c>
      <c r="BE15" s="36">
        <v>38.638999999999996</v>
      </c>
      <c r="BF15" s="36">
        <v>73.087000000000003</v>
      </c>
      <c r="BG15" s="36">
        <v>22.571999999999999</v>
      </c>
      <c r="BH15" s="36">
        <v>-39.728000000000002</v>
      </c>
      <c r="BI15" s="36">
        <v>-51.800000000000004</v>
      </c>
      <c r="BJ15" s="36">
        <v>-47.155000000000001</v>
      </c>
      <c r="BK15" s="36">
        <v>-54.15</v>
      </c>
      <c r="BL15" s="36">
        <v>11534.403</v>
      </c>
    </row>
    <row r="16" spans="1:64" ht="15" x14ac:dyDescent="0.2">
      <c r="B16" s="54" t="s">
        <v>465</v>
      </c>
      <c r="C16" s="54" t="e">
        <f>VLOOKUP($B16,#REF!,COLUMNS($B16:C16),0)</f>
        <v>#REF!</v>
      </c>
      <c r="D16" s="55" t="e">
        <f>VLOOKUP($B16,#REF!,COLUMNS($B16:D16),0)</f>
        <v>#REF!</v>
      </c>
      <c r="E16" s="55" t="e">
        <f>VLOOKUP($B16,#REF!,COLUMNS($B16:E16),0)</f>
        <v>#REF!</v>
      </c>
      <c r="F16" s="56" t="e">
        <f>VLOOKUP($B16,#REF!,COLUMNS($B16:F16),0)</f>
        <v>#REF!</v>
      </c>
      <c r="G16" s="57" t="e">
        <f>VLOOKUP($B16,#REF!,COLUMNS($B16:G16),0)</f>
        <v>#REF!</v>
      </c>
      <c r="H16" s="58" t="e">
        <f>VLOOKUP($B16,#REF!,COLUMNS($B16:H16),0)</f>
        <v>#REF!</v>
      </c>
      <c r="I16" s="59" t="e">
        <f>VLOOKUP($B16,#REF!,COLUMNS($B16:I16),0)</f>
        <v>#REF!</v>
      </c>
      <c r="J16" s="60" t="e">
        <f>VLOOKUP($B16,#REF!,COLUMNS($B16:J16),0)</f>
        <v>#REF!</v>
      </c>
      <c r="K16" s="60" t="e">
        <f>VLOOKUP($B16,#REF!,COLUMNS($B16:K16),0)</f>
        <v>#REF!</v>
      </c>
      <c r="L16" s="61" t="e">
        <f>VLOOKUP($B16,#REF!,COLUMNS($B16:L16),0)</f>
        <v>#REF!</v>
      </c>
      <c r="M16" s="61" t="e">
        <f>VLOOKUP($B16,#REF!,COLUMNS($B16:M16),0)</f>
        <v>#REF!</v>
      </c>
      <c r="AD16" s="97" t="s">
        <v>557</v>
      </c>
      <c r="AE16" s="36" t="e">
        <f ca="1">_xll.BDP($AD16,AE$10)</f>
        <v>#NAME?</v>
      </c>
      <c r="AF16" s="36" t="e">
        <f ca="1">_xll.BDH($AD16,AF$10,$C$5,$C$5,"EQY_FUND_CRNCY=USD")</f>
        <v>#NAME?</v>
      </c>
      <c r="AG16" s="36" t="e">
        <f ca="1">_xll.BDH($AD16,AG$10,$C$5,$C$5,"EQY_FUND_CRNCY=USD")</f>
        <v>#NAME?</v>
      </c>
      <c r="AH16" s="36"/>
      <c r="AI16" s="36" t="e">
        <f ca="1">_xll.BDP($AD16,AI$10,"EQY_FUND_CRNCY=USD","FA_ADJUSTED=Y")</f>
        <v>#NAME?</v>
      </c>
      <c r="AJ16" s="36" t="e">
        <f ca="1">_xll.BDP($AD16,AJ$10,"BEST_FPERIOD_OVERRIDE=1TY","EQY_FUND_CRNCY=USD","FA_ADJUSTED=Y")</f>
        <v>#NAME?</v>
      </c>
      <c r="AK16" s="44" t="e">
        <f t="shared" ca="1" si="1"/>
        <v>#NAME?</v>
      </c>
      <c r="AL16" s="36" t="e">
        <f ca="1">_xll.BDP($AD16,AL$10,"EQY_FUND_CRNCY=USD","FA_ADJUSTED=Y")</f>
        <v>#NAME?</v>
      </c>
      <c r="AM16" s="36" t="e">
        <f ca="1">_xll.BDP($AD16,AM$10,"BEST_FPERIOD_OVERRIDE=1TY","EQY_FUND_CRNCY=USD","FA_ADJUSTED=Y")</f>
        <v>#NAME?</v>
      </c>
      <c r="AN16" s="36" t="e">
        <f ca="1">_xll.BDP($AD16,AN$10,"BEST_FPERIOD_OVERRIDE=1TY","EQY_FUND_CRNCY=USD","FA_ADJUSTED=Y")</f>
        <v>#NAME?</v>
      </c>
      <c r="AO16" s="36" t="e">
        <f ca="1">_xll.BDP($AD16,AO$10,"BEST_FPERIOD_OVERRIDE=1TY","EQY_FUND_CRNCY=USD","FA_ADJUSTED=Y")</f>
        <v>#NAME?</v>
      </c>
      <c r="AP16" s="36" t="e">
        <f ca="1">_xll.BDP($AD16,AP$10,"BEST_FPERIOD_OVERRIDE=1TY","EQY_FUND_CRNCY=USD","FA_ADJUSTED=Y")</f>
        <v>#NAME?</v>
      </c>
      <c r="AQ16" s="36" t="e">
        <f ca="1">_xll.BDP($AD16,AQ$10,"EQY_FUND_CRNCY=USD","FA_ADJUSTED=Y")</f>
        <v>#NAME?</v>
      </c>
      <c r="AR16" s="36" t="e">
        <f ca="1">_xll.BDP($AD16,AR$10,"BEST_FPERIOD_OVERRIDE=1TY","EQY_FUND_CRNCY=USD","FA_ADJUSTED=Y")</f>
        <v>#NAME?</v>
      </c>
      <c r="AS16" s="36" t="e">
        <f ca="1">_xll.BDP($AD16,AS$10,"EQY_FUND_CRNCY=USD","FA_ADJUSTED=Y")</f>
        <v>#NAME?</v>
      </c>
      <c r="AT16" s="36" t="e">
        <f ca="1">_xll.BDP($AD16,AT$10,"BEST_FPERIOD_OVERRIDE=1TY","EQY_FUND_CRNCY=USD","FA_ADJUSTED=Y")</f>
        <v>#NAME?</v>
      </c>
      <c r="AV16" s="1" t="s">
        <v>557</v>
      </c>
      <c r="AW16" s="1" t="s">
        <v>614</v>
      </c>
      <c r="AX16" s="36">
        <v>13337.6859</v>
      </c>
      <c r="AY16" s="36">
        <v>11763.517900000001</v>
      </c>
      <c r="AZ16" s="36">
        <v>853.57299999999998</v>
      </c>
      <c r="BA16" s="36">
        <v>1210.8910000000001</v>
      </c>
      <c r="BB16" s="36">
        <v>0.41861445945455178</v>
      </c>
      <c r="BC16" s="114">
        <v>481.96899993896483</v>
      </c>
      <c r="BD16" s="36">
        <v>56.483000000000004</v>
      </c>
      <c r="BE16" s="36">
        <v>135.99699999999999</v>
      </c>
      <c r="BF16" s="36">
        <v>225.69399999999999</v>
      </c>
      <c r="BG16" s="36">
        <v>67.718999999999994</v>
      </c>
      <c r="BH16" s="36">
        <v>-41.38</v>
      </c>
      <c r="BI16" s="36">
        <v>53.762999999999998</v>
      </c>
      <c r="BJ16" s="36">
        <v>-52.222000000000001</v>
      </c>
      <c r="BK16" s="36">
        <v>37.39</v>
      </c>
      <c r="BL16" s="36">
        <v>7070.2359999999999</v>
      </c>
    </row>
    <row r="17" spans="2:64" ht="15" x14ac:dyDescent="0.2">
      <c r="B17" s="62" t="s">
        <v>466</v>
      </c>
      <c r="C17" s="54" t="e">
        <f>VLOOKUP($B17,#REF!,COLUMNS($B17:C17),0)</f>
        <v>#REF!</v>
      </c>
      <c r="D17" s="55" t="e">
        <f>VLOOKUP($B17,#REF!,COLUMNS($B17:D17),0)</f>
        <v>#REF!</v>
      </c>
      <c r="E17" s="55" t="e">
        <f>VLOOKUP($B17,#REF!,COLUMNS($B17:E17),0)</f>
        <v>#REF!</v>
      </c>
      <c r="F17" s="56" t="e">
        <f>VLOOKUP($B17,#REF!,COLUMNS($B17:F17),0)</f>
        <v>#REF!</v>
      </c>
      <c r="G17" s="57" t="e">
        <f>VLOOKUP($B17,#REF!,COLUMNS($B17:G17),0)</f>
        <v>#REF!</v>
      </c>
      <c r="H17" s="58" t="e">
        <f>VLOOKUP($B17,#REF!,COLUMNS($B17:H17),0)</f>
        <v>#REF!</v>
      </c>
      <c r="I17" s="59" t="e">
        <f>VLOOKUP($B17,#REF!,COLUMNS($B17:I17),0)</f>
        <v>#REF!</v>
      </c>
      <c r="J17" s="60" t="e">
        <f>VLOOKUP($B17,#REF!,COLUMNS($B17:J17),0)</f>
        <v>#REF!</v>
      </c>
      <c r="K17" s="60" t="e">
        <f>VLOOKUP($B17,#REF!,COLUMNS($B17:K17),0)</f>
        <v>#REF!</v>
      </c>
      <c r="L17" s="61" t="e">
        <f>VLOOKUP($B17,#REF!,COLUMNS($B17:L17),0)</f>
        <v>#REF!</v>
      </c>
      <c r="M17" s="61" t="e">
        <f>VLOOKUP($B17,#REF!,COLUMNS($B17:M17),0)</f>
        <v>#REF!</v>
      </c>
      <c r="AD17" s="113" t="s">
        <v>558</v>
      </c>
      <c r="AE17" s="36" t="e">
        <f ca="1">_xll.BDP($AD17,AE$10)</f>
        <v>#NAME?</v>
      </c>
      <c r="AF17" s="36" t="e">
        <f ca="1">_xll.BDH($AD17,AF$10,$C$5,$C$5,"EQY_FUND_CRNCY=USD")</f>
        <v>#NAME?</v>
      </c>
      <c r="AG17" s="36" t="e">
        <f ca="1">_xll.BDH($AD17,AG$10,$C$5,$C$5,"EQY_FUND_CRNCY=USD")</f>
        <v>#NAME?</v>
      </c>
      <c r="AH17" s="36"/>
      <c r="AI17" s="36" t="e">
        <f ca="1">_xll.BDP($AD17,AI$10,"EQY_FUND_CRNCY=USD","FA_ADJUSTED=Y")</f>
        <v>#NAME?</v>
      </c>
      <c r="AJ17" s="36" t="e">
        <f ca="1">_xll.BDP($AD17,AJ$10,"BEST_FPERIOD_OVERRIDE=1TY","EQY_FUND_CRNCY=USD","FA_ADJUSTED=Y")</f>
        <v>#NAME?</v>
      </c>
      <c r="AK17" s="44" t="e">
        <f t="shared" ca="1" si="1"/>
        <v>#NAME?</v>
      </c>
      <c r="AL17" s="36" t="e">
        <f ca="1">_xll.BDP($AD17,AL$10,"EQY_FUND_CRNCY=USD","FA_ADJUSTED=Y")</f>
        <v>#NAME?</v>
      </c>
      <c r="AM17" s="36" t="e">
        <f ca="1">_xll.BDP($AD17,AM$10,"BEST_FPERIOD_OVERRIDE=1TY","EQY_FUND_CRNCY=USD","FA_ADJUSTED=Y")</f>
        <v>#NAME?</v>
      </c>
      <c r="AN17" s="36" t="e">
        <f ca="1">_xll.BDP($AD17,AN$10,"BEST_FPERIOD_OVERRIDE=1TY","EQY_FUND_CRNCY=USD","FA_ADJUSTED=Y")</f>
        <v>#NAME?</v>
      </c>
      <c r="AO17" s="36" t="e">
        <f ca="1">_xll.BDP($AD17,AO$10,"BEST_FPERIOD_OVERRIDE=1TY","EQY_FUND_CRNCY=USD","FA_ADJUSTED=Y")</f>
        <v>#NAME?</v>
      </c>
      <c r="AP17" s="36" t="e">
        <f ca="1">_xll.BDP($AD17,AP$10,"BEST_FPERIOD_OVERRIDE=1TY","EQY_FUND_CRNCY=USD","FA_ADJUSTED=Y")</f>
        <v>#NAME?</v>
      </c>
      <c r="AQ17" s="36" t="e">
        <f ca="1">_xll.BDP($AD17,AQ$10,"EQY_FUND_CRNCY=USD","FA_ADJUSTED=Y")</f>
        <v>#NAME?</v>
      </c>
      <c r="AR17" s="36" t="e">
        <f ca="1">_xll.BDP($AD17,AR$10,"BEST_FPERIOD_OVERRIDE=1TY","EQY_FUND_CRNCY=USD","FA_ADJUSTED=Y")</f>
        <v>#NAME?</v>
      </c>
      <c r="AS17" s="36" t="e">
        <f ca="1">_xll.BDP($AD17,AS$10,"EQY_FUND_CRNCY=USD","FA_ADJUSTED=Y")</f>
        <v>#NAME?</v>
      </c>
      <c r="AT17" s="36" t="e">
        <f ca="1">_xll.BDP($AD17,AT$10,"BEST_FPERIOD_OVERRIDE=1TY","EQY_FUND_CRNCY=USD","FA_ADJUSTED=Y")</f>
        <v>#NAME?</v>
      </c>
      <c r="AV17" s="1" t="s">
        <v>558</v>
      </c>
      <c r="AW17" s="1" t="s">
        <v>614</v>
      </c>
      <c r="AX17" s="36">
        <v>3532.4050000000002</v>
      </c>
      <c r="AY17" s="36">
        <v>3220.2809999999999</v>
      </c>
      <c r="AZ17" s="36">
        <v>192.24099999999999</v>
      </c>
      <c r="BA17" s="36">
        <v>271.53800000000001</v>
      </c>
      <c r="BB17" s="36">
        <v>0.41248745064788483</v>
      </c>
      <c r="BC17" s="114">
        <v>138.52599877929688</v>
      </c>
      <c r="BD17" s="36">
        <v>72.95</v>
      </c>
      <c r="BE17" s="36">
        <v>62.201999999999998</v>
      </c>
      <c r="BF17" s="36">
        <v>109.95</v>
      </c>
      <c r="BG17" s="36">
        <v>36.774999999999999</v>
      </c>
      <c r="BH17" s="36">
        <v>-107.69300000000001</v>
      </c>
      <c r="BI17" s="36">
        <v>-56.895000000000003</v>
      </c>
      <c r="BJ17" s="36">
        <v>-111</v>
      </c>
      <c r="BK17" s="36">
        <v>-78.929000000000002</v>
      </c>
      <c r="BL17" s="36">
        <v>13494.148999999999</v>
      </c>
    </row>
    <row r="18" spans="2:64" ht="15" x14ac:dyDescent="0.2">
      <c r="B18" s="62" t="s">
        <v>467</v>
      </c>
      <c r="C18" s="54" t="e">
        <f>VLOOKUP($B18,#REF!,COLUMNS($B18:C18),0)</f>
        <v>#REF!</v>
      </c>
      <c r="D18" s="55" t="e">
        <f>VLOOKUP($B18,#REF!,COLUMNS($B18:D18),0)</f>
        <v>#REF!</v>
      </c>
      <c r="E18" s="55" t="e">
        <f>VLOOKUP($B18,#REF!,COLUMNS($B18:E18),0)</f>
        <v>#REF!</v>
      </c>
      <c r="F18" s="56" t="e">
        <f>VLOOKUP($B18,#REF!,COLUMNS($B18:F18),0)</f>
        <v>#REF!</v>
      </c>
      <c r="G18" s="57" t="e">
        <f>VLOOKUP($B18,#REF!,COLUMNS($B18:G18),0)</f>
        <v>#REF!</v>
      </c>
      <c r="H18" s="58" t="e">
        <f>VLOOKUP($B18,#REF!,COLUMNS($B18:H18),0)</f>
        <v>#REF!</v>
      </c>
      <c r="I18" s="59" t="e">
        <f>VLOOKUP($B18,#REF!,COLUMNS($B18:I18),0)</f>
        <v>#REF!</v>
      </c>
      <c r="J18" s="60" t="e">
        <f>VLOOKUP($B18,#REF!,COLUMNS($B18:J18),0)</f>
        <v>#REF!</v>
      </c>
      <c r="K18" s="60" t="e">
        <f>VLOOKUP($B18,#REF!,COLUMNS($B18:K18),0)</f>
        <v>#REF!</v>
      </c>
      <c r="L18" s="61" t="e">
        <f>VLOOKUP($B18,#REF!,COLUMNS($B18:L18),0)</f>
        <v>#REF!</v>
      </c>
      <c r="M18" s="61" t="e">
        <f>VLOOKUP($B18,#REF!,COLUMNS($B18:M18),0)</f>
        <v>#REF!</v>
      </c>
      <c r="AD18" s="113" t="s">
        <v>189</v>
      </c>
      <c r="AE18" s="36" t="e">
        <f ca="1">_xll.BDP($AD18,AE$10)</f>
        <v>#NAME?</v>
      </c>
      <c r="AF18" s="36" t="e">
        <f ca="1">_xll.BDH($AD18,AF$10,$C$5,$C$5,"EQY_FUND_CRNCY=USD")</f>
        <v>#NAME?</v>
      </c>
      <c r="AG18" s="36" t="e">
        <f ca="1">_xll.BDH($AD18,AG$10,$C$5,$C$5,"EQY_FUND_CRNCY=USD")</f>
        <v>#NAME?</v>
      </c>
      <c r="AH18" s="36"/>
      <c r="AI18" s="36" t="e">
        <f ca="1">_xll.BDP($AD18,AI$10,"EQY_FUND_CRNCY=USD","FA_ADJUSTED=Y")</f>
        <v>#NAME?</v>
      </c>
      <c r="AJ18" s="36" t="e">
        <f ca="1">_xll.BDP($AD18,AJ$10,"BEST_FPERIOD_OVERRIDE=1TY","EQY_FUND_CRNCY=USD","FA_ADJUSTED=Y")</f>
        <v>#NAME?</v>
      </c>
      <c r="AK18" s="44" t="e">
        <f t="shared" ca="1" si="1"/>
        <v>#NAME?</v>
      </c>
      <c r="AL18" s="36" t="e">
        <f ca="1">_xll.BDP($AD18,AL$10,"EQY_FUND_CRNCY=USD","FA_ADJUSTED=Y")</f>
        <v>#NAME?</v>
      </c>
      <c r="AM18" s="36" t="e">
        <f ca="1">_xll.BDP($AD18,AM$10,"BEST_FPERIOD_OVERRIDE=1TY","EQY_FUND_CRNCY=USD","FA_ADJUSTED=Y")</f>
        <v>#NAME?</v>
      </c>
      <c r="AN18" s="36" t="e">
        <f ca="1">_xll.BDP($AD18,AN$10,"BEST_FPERIOD_OVERRIDE=1TY","EQY_FUND_CRNCY=USD","FA_ADJUSTED=Y")</f>
        <v>#NAME?</v>
      </c>
      <c r="AO18" s="36" t="e">
        <f ca="1">_xll.BDP($AD18,AO$10,"BEST_FPERIOD_OVERRIDE=1TY","EQY_FUND_CRNCY=USD","FA_ADJUSTED=Y")</f>
        <v>#NAME?</v>
      </c>
      <c r="AP18" s="36" t="e">
        <f ca="1">_xll.BDP($AD18,AP$10,"BEST_FPERIOD_OVERRIDE=1TY","EQY_FUND_CRNCY=USD","FA_ADJUSTED=Y")</f>
        <v>#NAME?</v>
      </c>
      <c r="AQ18" s="36" t="e">
        <f ca="1">_xll.BDP($AD18,AQ$10,"EQY_FUND_CRNCY=USD","FA_ADJUSTED=Y")</f>
        <v>#NAME?</v>
      </c>
      <c r="AR18" s="36" t="e">
        <f ca="1">_xll.BDP($AD18,AR$10,"BEST_FPERIOD_OVERRIDE=1TY","EQY_FUND_CRNCY=USD","FA_ADJUSTED=Y")</f>
        <v>#NAME?</v>
      </c>
      <c r="AS18" s="36" t="e">
        <f ca="1">_xll.BDP($AD18,AS$10,"EQY_FUND_CRNCY=USD","FA_ADJUSTED=Y")</f>
        <v>#NAME?</v>
      </c>
      <c r="AT18" s="36" t="e">
        <f ca="1">_xll.BDP($AD18,AT$10,"BEST_FPERIOD_OVERRIDE=1TY","EQY_FUND_CRNCY=USD","FA_ADJUSTED=Y")</f>
        <v>#NAME?</v>
      </c>
      <c r="AV18" s="1" t="s">
        <v>189</v>
      </c>
      <c r="AW18" s="1" t="s">
        <v>495</v>
      </c>
      <c r="AX18" s="36">
        <v>2635.9009999999998</v>
      </c>
      <c r="AY18" s="36">
        <v>2305.2860000000001</v>
      </c>
      <c r="AZ18" s="36">
        <v>162.35999999999999</v>
      </c>
      <c r="BA18" s="36">
        <v>224.28800000000001</v>
      </c>
      <c r="BB18" s="36">
        <v>0.3814239960581427</v>
      </c>
      <c r="BC18" s="114">
        <v>140.40400271606444</v>
      </c>
      <c r="BD18" s="36">
        <v>87.478000000000009</v>
      </c>
      <c r="BE18" s="36">
        <v>29.341999999999999</v>
      </c>
      <c r="BF18" s="36">
        <v>66.42</v>
      </c>
      <c r="BG18" s="36">
        <v>32.241</v>
      </c>
      <c r="BH18" s="36">
        <v>-13.546000000000001</v>
      </c>
      <c r="BI18" s="36">
        <v>-7.2229999999999999</v>
      </c>
      <c r="BJ18" s="36">
        <v>-19.666589999999999</v>
      </c>
      <c r="BK18" s="36">
        <v>-15.01</v>
      </c>
      <c r="BL18" s="36">
        <v>3792.5219999999999</v>
      </c>
    </row>
    <row r="19" spans="2:64" ht="15" x14ac:dyDescent="0.2">
      <c r="B19" s="62" t="s">
        <v>468</v>
      </c>
      <c r="C19" s="54" t="e">
        <f>VLOOKUP($B19,#REF!,COLUMNS($B19:C19),0)</f>
        <v>#REF!</v>
      </c>
      <c r="D19" s="55" t="e">
        <f>VLOOKUP($B19,#REF!,COLUMNS($B19:D19),0)</f>
        <v>#REF!</v>
      </c>
      <c r="E19" s="55" t="e">
        <f>VLOOKUP($B19,#REF!,COLUMNS($B19:E19),0)</f>
        <v>#REF!</v>
      </c>
      <c r="F19" s="56" t="e">
        <f>VLOOKUP($B19,#REF!,COLUMNS($B19:F19),0)</f>
        <v>#REF!</v>
      </c>
      <c r="G19" s="57" t="e">
        <f>VLOOKUP($B19,#REF!,COLUMNS($B19:G19),0)</f>
        <v>#REF!</v>
      </c>
      <c r="H19" s="58" t="e">
        <f>VLOOKUP($B19,#REF!,COLUMNS($B19:H19),0)</f>
        <v>#REF!</v>
      </c>
      <c r="I19" s="59" t="e">
        <f>VLOOKUP($B19,#REF!,COLUMNS($B19:I19),0)</f>
        <v>#REF!</v>
      </c>
      <c r="J19" s="60" t="e">
        <f>VLOOKUP($B19,#REF!,COLUMNS($B19:J19),0)</f>
        <v>#REF!</v>
      </c>
      <c r="K19" s="60" t="e">
        <f>VLOOKUP($B19,#REF!,COLUMNS($B19:K19),0)</f>
        <v>#REF!</v>
      </c>
      <c r="L19" s="61" t="e">
        <f>VLOOKUP($B19,#REF!,COLUMNS($B19:L19),0)</f>
        <v>#REF!</v>
      </c>
      <c r="M19" s="61" t="e">
        <f>VLOOKUP($B19,#REF!,COLUMNS($B19:M19),0)</f>
        <v>#REF!</v>
      </c>
      <c r="AD19" s="113" t="s">
        <v>161</v>
      </c>
      <c r="AE19" s="36" t="e">
        <f ca="1">_xll.BDP($AD19,AE$10)</f>
        <v>#NAME?</v>
      </c>
      <c r="AF19" s="36" t="e">
        <f ca="1">_xll.BDH($AD19,AF$10,$C$5,$C$5,"EQY_FUND_CRNCY=USD")</f>
        <v>#NAME?</v>
      </c>
      <c r="AG19" s="36" t="e">
        <f ca="1">_xll.BDH($AD19,AG$10,$C$5,$C$5,"EQY_FUND_CRNCY=USD")</f>
        <v>#NAME?</v>
      </c>
      <c r="AH19" s="36"/>
      <c r="AI19" s="36" t="e">
        <f ca="1">_xll.BDP($AD19,AI$10,"EQY_FUND_CRNCY=USD","FA_ADJUSTED=Y")</f>
        <v>#NAME?</v>
      </c>
      <c r="AJ19" s="36" t="e">
        <f ca="1">_xll.BDP($AD19,AJ$10,"BEST_FPERIOD_OVERRIDE=1TY","EQY_FUND_CRNCY=USD","FA_ADJUSTED=Y")</f>
        <v>#NAME?</v>
      </c>
      <c r="AK19" s="44" t="e">
        <f t="shared" ca="1" si="1"/>
        <v>#NAME?</v>
      </c>
      <c r="AL19" s="36" t="e">
        <f ca="1">_xll.BDP($AD19,AL$10,"EQY_FUND_CRNCY=USD","FA_ADJUSTED=Y")</f>
        <v>#NAME?</v>
      </c>
      <c r="AM19" s="36" t="e">
        <f ca="1">_xll.BDP($AD19,AM$10,"BEST_FPERIOD_OVERRIDE=1TY","EQY_FUND_CRNCY=USD","FA_ADJUSTED=Y")</f>
        <v>#NAME?</v>
      </c>
      <c r="AN19" s="36" t="e">
        <f ca="1">_xll.BDP($AD19,AN$10,"BEST_FPERIOD_OVERRIDE=1TY","EQY_FUND_CRNCY=USD","FA_ADJUSTED=Y")</f>
        <v>#NAME?</v>
      </c>
      <c r="AO19" s="36" t="e">
        <f ca="1">_xll.BDP($AD19,AO$10,"BEST_FPERIOD_OVERRIDE=1TY","EQY_FUND_CRNCY=USD","FA_ADJUSTED=Y")</f>
        <v>#NAME?</v>
      </c>
      <c r="AP19" s="36" t="e">
        <f ca="1">_xll.BDP($AD19,AP$10,"BEST_FPERIOD_OVERRIDE=1TY","EQY_FUND_CRNCY=USD","FA_ADJUSTED=Y")</f>
        <v>#NAME?</v>
      </c>
      <c r="AQ19" s="36" t="e">
        <f ca="1">_xll.BDP($AD19,AQ$10,"EQY_FUND_CRNCY=USD","FA_ADJUSTED=Y")</f>
        <v>#NAME?</v>
      </c>
      <c r="AR19" s="36" t="e">
        <f ca="1">_xll.BDP($AD19,AR$10,"BEST_FPERIOD_OVERRIDE=1TY","EQY_FUND_CRNCY=USD","FA_ADJUSTED=Y")</f>
        <v>#NAME?</v>
      </c>
      <c r="AS19" s="36" t="e">
        <f ca="1">_xll.BDP($AD19,AS$10,"EQY_FUND_CRNCY=USD","FA_ADJUSTED=Y")</f>
        <v>#NAME?</v>
      </c>
      <c r="AT19" s="36" t="e">
        <f ca="1">_xll.BDP($AD19,AT$10,"BEST_FPERIOD_OVERRIDE=1TY","EQY_FUND_CRNCY=USD","FA_ADJUSTED=Y")</f>
        <v>#NAME?</v>
      </c>
      <c r="AV19" s="1" t="s">
        <v>161</v>
      </c>
      <c r="AW19" s="1" t="s">
        <v>495</v>
      </c>
      <c r="AX19" s="36">
        <v>3601.6867000000002</v>
      </c>
      <c r="AY19" s="36">
        <v>3112.8526999999999</v>
      </c>
      <c r="AZ19" s="36">
        <v>346.63900000000001</v>
      </c>
      <c r="BA19" s="36">
        <v>473.83300000000003</v>
      </c>
      <c r="BB19" s="36">
        <v>0.3669350534706135</v>
      </c>
      <c r="BC19" s="114">
        <v>287.72500283813474</v>
      </c>
      <c r="BD19" s="36">
        <v>78.55</v>
      </c>
      <c r="BE19" s="36">
        <v>45.925999999999995</v>
      </c>
      <c r="BF19" s="36">
        <v>150.923</v>
      </c>
      <c r="BG19" s="36">
        <v>62.664999999999999</v>
      </c>
      <c r="BH19" s="36">
        <v>-26.742999999999999</v>
      </c>
      <c r="BI19" s="36">
        <v>23.045000000000002</v>
      </c>
      <c r="BJ19" s="36">
        <v>-47.448000000000008</v>
      </c>
      <c r="BK19" s="36">
        <v>-2.9330000000000003</v>
      </c>
      <c r="BL19" s="36">
        <v>1884.8969999999999</v>
      </c>
    </row>
    <row r="20" spans="2:64" ht="15" x14ac:dyDescent="0.2">
      <c r="B20" s="62" t="s">
        <v>469</v>
      </c>
      <c r="C20" s="54" t="e">
        <f>VLOOKUP($B20,#REF!,COLUMNS($B20:C20),0)</f>
        <v>#REF!</v>
      </c>
      <c r="D20" s="55" t="e">
        <f>VLOOKUP($B20,#REF!,COLUMNS($B20:D20),0)</f>
        <v>#REF!</v>
      </c>
      <c r="E20" s="55" t="e">
        <f>VLOOKUP($B20,#REF!,COLUMNS($B20:E20),0)</f>
        <v>#REF!</v>
      </c>
      <c r="F20" s="56" t="e">
        <f>VLOOKUP($B20,#REF!,COLUMNS($B20:F20),0)</f>
        <v>#REF!</v>
      </c>
      <c r="G20" s="57" t="e">
        <f>VLOOKUP($B20,#REF!,COLUMNS($B20:G20),0)</f>
        <v>#REF!</v>
      </c>
      <c r="H20" s="58" t="e">
        <f>VLOOKUP($B20,#REF!,COLUMNS($B20:H20),0)</f>
        <v>#REF!</v>
      </c>
      <c r="I20" s="59" t="e">
        <f>VLOOKUP($B20,#REF!,COLUMNS($B20:I20),0)</f>
        <v>#REF!</v>
      </c>
      <c r="J20" s="60" t="e">
        <f>VLOOKUP($B20,#REF!,COLUMNS($B20:J20),0)</f>
        <v>#REF!</v>
      </c>
      <c r="K20" s="60" t="e">
        <f>VLOOKUP($B20,#REF!,COLUMNS($B20:K20),0)</f>
        <v>#REF!</v>
      </c>
      <c r="L20" s="61" t="e">
        <f>VLOOKUP($B20,#REF!,COLUMNS($B20:L20),0)</f>
        <v>#REF!</v>
      </c>
      <c r="M20" s="61" t="e">
        <f>VLOOKUP($B20,#REF!,COLUMNS($B20:M20),0)</f>
        <v>#REF!</v>
      </c>
      <c r="AD20" s="113" t="s">
        <v>145</v>
      </c>
      <c r="AE20" s="36" t="e">
        <f ca="1">_xll.BDP($AD20,AE$10)</f>
        <v>#NAME?</v>
      </c>
      <c r="AF20" s="36" t="e">
        <f ca="1">_xll.BDH($AD20,AF$10,$C$5,$C$5,"EQY_FUND_CRNCY=USD")</f>
        <v>#NAME?</v>
      </c>
      <c r="AG20" s="36" t="e">
        <f ca="1">_xll.BDH($AD20,AG$10,$C$5,$C$5,"EQY_FUND_CRNCY=USD")</f>
        <v>#NAME?</v>
      </c>
      <c r="AH20" s="36"/>
      <c r="AI20" s="36" t="e">
        <f ca="1">_xll.BDP($AD20,AI$10,"EQY_FUND_CRNCY=USD","FA_ADJUSTED=Y")</f>
        <v>#NAME?</v>
      </c>
      <c r="AJ20" s="36" t="e">
        <f ca="1">_xll.BDP($AD20,AJ$10,"BEST_FPERIOD_OVERRIDE=1TY","EQY_FUND_CRNCY=USD","FA_ADJUSTED=Y")</f>
        <v>#NAME?</v>
      </c>
      <c r="AK20" s="44" t="e">
        <f t="shared" ca="1" si="1"/>
        <v>#NAME?</v>
      </c>
      <c r="AL20" s="36" t="e">
        <f ca="1">_xll.BDP($AD20,AL$10,"EQY_FUND_CRNCY=USD","FA_ADJUSTED=Y")</f>
        <v>#NAME?</v>
      </c>
      <c r="AM20" s="36" t="e">
        <f ca="1">_xll.BDP($AD20,AM$10,"BEST_FPERIOD_OVERRIDE=1TY","EQY_FUND_CRNCY=USD","FA_ADJUSTED=Y")</f>
        <v>#NAME?</v>
      </c>
      <c r="AN20" s="36" t="e">
        <f ca="1">_xll.BDP($AD20,AN$10,"BEST_FPERIOD_OVERRIDE=1TY","EQY_FUND_CRNCY=USD","FA_ADJUSTED=Y")</f>
        <v>#NAME?</v>
      </c>
      <c r="AO20" s="36" t="e">
        <f ca="1">_xll.BDP($AD20,AO$10,"BEST_FPERIOD_OVERRIDE=1TY","EQY_FUND_CRNCY=USD","FA_ADJUSTED=Y")</f>
        <v>#NAME?</v>
      </c>
      <c r="AP20" s="36" t="e">
        <f ca="1">_xll.BDP($AD20,AP$10,"BEST_FPERIOD_OVERRIDE=1TY","EQY_FUND_CRNCY=USD","FA_ADJUSTED=Y")</f>
        <v>#NAME?</v>
      </c>
      <c r="AQ20" s="36" t="e">
        <f ca="1">_xll.BDP($AD20,AQ$10,"EQY_FUND_CRNCY=USD","FA_ADJUSTED=Y")</f>
        <v>#NAME?</v>
      </c>
      <c r="AR20" s="36" t="e">
        <f ca="1">_xll.BDP($AD20,AR$10,"BEST_FPERIOD_OVERRIDE=1TY","EQY_FUND_CRNCY=USD","FA_ADJUSTED=Y")</f>
        <v>#NAME?</v>
      </c>
      <c r="AS20" s="36" t="e">
        <f ca="1">_xll.BDP($AD20,AS$10,"EQY_FUND_CRNCY=USD","FA_ADJUSTED=Y")</f>
        <v>#NAME?</v>
      </c>
      <c r="AT20" s="36" t="e">
        <f ca="1">_xll.BDP($AD20,AT$10,"BEST_FPERIOD_OVERRIDE=1TY","EQY_FUND_CRNCY=USD","FA_ADJUSTED=Y")</f>
        <v>#NAME?</v>
      </c>
      <c r="AV20" s="1" t="s">
        <v>145</v>
      </c>
      <c r="AW20" s="1" t="s">
        <v>505</v>
      </c>
      <c r="AX20" s="36">
        <v>4098.0376999999999</v>
      </c>
      <c r="AY20" s="36">
        <v>3799.4987000000001</v>
      </c>
      <c r="AZ20" s="36">
        <v>190.17399999999998</v>
      </c>
      <c r="BA20" s="36">
        <v>258.79000000000002</v>
      </c>
      <c r="BB20" s="36">
        <v>0.36080641938435365</v>
      </c>
      <c r="BC20" s="114">
        <v>152.2989994506836</v>
      </c>
      <c r="BD20" s="36">
        <v>80.317000000000007</v>
      </c>
      <c r="BE20" s="36">
        <v>39.378999999999998</v>
      </c>
      <c r="BF20" s="36">
        <v>116.40900000000001</v>
      </c>
      <c r="BG20" s="36">
        <v>31.135000000000002</v>
      </c>
      <c r="BH20" s="36" t="s">
        <v>480</v>
      </c>
      <c r="BI20" s="36">
        <v>-7.476</v>
      </c>
      <c r="BJ20" s="36">
        <v>-29.382999999999999</v>
      </c>
      <c r="BK20" s="36">
        <v>-14.838000000000001</v>
      </c>
      <c r="BL20" s="36">
        <v>3236.7510000000002</v>
      </c>
    </row>
    <row r="21" spans="2:64" ht="15" x14ac:dyDescent="0.2">
      <c r="B21" s="62" t="s">
        <v>470</v>
      </c>
      <c r="C21" s="54" t="e">
        <f>VLOOKUP($B21,#REF!,COLUMNS($B21:C21),0)</f>
        <v>#REF!</v>
      </c>
      <c r="D21" s="55" t="e">
        <f>VLOOKUP($B21,#REF!,COLUMNS($B21:D21),0)</f>
        <v>#REF!</v>
      </c>
      <c r="E21" s="55" t="e">
        <f>VLOOKUP($B21,#REF!,COLUMNS($B21:E21),0)</f>
        <v>#REF!</v>
      </c>
      <c r="F21" s="56" t="e">
        <f>VLOOKUP($B21,#REF!,COLUMNS($B21:F21),0)</f>
        <v>#REF!</v>
      </c>
      <c r="G21" s="57" t="e">
        <f>VLOOKUP($B21,#REF!,COLUMNS($B21:G21),0)</f>
        <v>#REF!</v>
      </c>
      <c r="H21" s="58" t="e">
        <f>VLOOKUP($B21,#REF!,COLUMNS($B21:H21),0)</f>
        <v>#REF!</v>
      </c>
      <c r="I21" s="59" t="e">
        <f>VLOOKUP($B21,#REF!,COLUMNS($B21:I21),0)</f>
        <v>#REF!</v>
      </c>
      <c r="J21" s="60" t="e">
        <f>VLOOKUP($B21,#REF!,COLUMNS($B21:J21),0)</f>
        <v>#REF!</v>
      </c>
      <c r="K21" s="60" t="e">
        <f>VLOOKUP($B21,#REF!,COLUMNS($B21:K21),0)</f>
        <v>#REF!</v>
      </c>
      <c r="L21" s="61" t="e">
        <f>VLOOKUP($B21,#REF!,COLUMNS($B21:L21),0)</f>
        <v>#REF!</v>
      </c>
      <c r="M21" s="61" t="e">
        <f>VLOOKUP($B21,#REF!,COLUMNS($B21:M21),0)</f>
        <v>#REF!</v>
      </c>
      <c r="AD21" s="97" t="s">
        <v>559</v>
      </c>
      <c r="AE21" s="36" t="e">
        <f ca="1">_xll.BDP($AD21,AE$10)</f>
        <v>#NAME?</v>
      </c>
      <c r="AF21" s="36" t="e">
        <f ca="1">_xll.BDH($AD21,AF$10,$C$5,$C$5,"EQY_FUND_CRNCY=USD")</f>
        <v>#NAME?</v>
      </c>
      <c r="AG21" s="36" t="e">
        <f ca="1">_xll.BDH($AD21,AG$10,$C$5,$C$5,"EQY_FUND_CRNCY=USD")</f>
        <v>#NAME?</v>
      </c>
      <c r="AH21" s="36"/>
      <c r="AI21" s="36" t="e">
        <f ca="1">_xll.BDP($AD21,AI$10,"EQY_FUND_CRNCY=USD","FA_ADJUSTED=Y")</f>
        <v>#NAME?</v>
      </c>
      <c r="AJ21" s="36" t="e">
        <f ca="1">_xll.BDP($AD21,AJ$10,"BEST_FPERIOD_OVERRIDE=1TY","EQY_FUND_CRNCY=USD","FA_ADJUSTED=Y")</f>
        <v>#NAME?</v>
      </c>
      <c r="AK21" s="44" t="e">
        <f t="shared" ca="1" si="1"/>
        <v>#NAME?</v>
      </c>
      <c r="AL21" s="36" t="e">
        <f ca="1">_xll.BDP($AD21,AL$10,"EQY_FUND_CRNCY=USD","FA_ADJUSTED=Y")</f>
        <v>#NAME?</v>
      </c>
      <c r="AM21" s="36" t="e">
        <f ca="1">_xll.BDP($AD21,AM$10,"BEST_FPERIOD_OVERRIDE=1TY","EQY_FUND_CRNCY=USD","FA_ADJUSTED=Y")</f>
        <v>#NAME?</v>
      </c>
      <c r="AN21" s="36" t="e">
        <f ca="1">_xll.BDP($AD21,AN$10,"BEST_FPERIOD_OVERRIDE=1TY","EQY_FUND_CRNCY=USD","FA_ADJUSTED=Y")</f>
        <v>#NAME?</v>
      </c>
      <c r="AO21" s="36" t="e">
        <f ca="1">_xll.BDP($AD21,AO$10,"BEST_FPERIOD_OVERRIDE=1TY","EQY_FUND_CRNCY=USD","FA_ADJUSTED=Y")</f>
        <v>#NAME?</v>
      </c>
      <c r="AP21" s="36" t="e">
        <f ca="1">_xll.BDP($AD21,AP$10,"BEST_FPERIOD_OVERRIDE=1TY","EQY_FUND_CRNCY=USD","FA_ADJUSTED=Y")</f>
        <v>#NAME?</v>
      </c>
      <c r="AQ21" s="36" t="e">
        <f ca="1">_xll.BDP($AD21,AQ$10,"EQY_FUND_CRNCY=USD","FA_ADJUSTED=Y")</f>
        <v>#NAME?</v>
      </c>
      <c r="AR21" s="36" t="e">
        <f ca="1">_xll.BDP($AD21,AR$10,"BEST_FPERIOD_OVERRIDE=1TY","EQY_FUND_CRNCY=USD","FA_ADJUSTED=Y")</f>
        <v>#NAME?</v>
      </c>
      <c r="AS21" s="36" t="e">
        <f ca="1">_xll.BDP($AD21,AS$10,"EQY_FUND_CRNCY=USD","FA_ADJUSTED=Y")</f>
        <v>#NAME?</v>
      </c>
      <c r="AT21" s="36" t="e">
        <f ca="1">_xll.BDP($AD21,AT$10,"BEST_FPERIOD_OVERRIDE=1TY","EQY_FUND_CRNCY=USD","FA_ADJUSTED=Y")</f>
        <v>#NAME?</v>
      </c>
      <c r="AV21" s="1" t="s">
        <v>559</v>
      </c>
      <c r="AW21" s="1" t="s">
        <v>614</v>
      </c>
      <c r="AX21" s="36">
        <v>6456.8224</v>
      </c>
      <c r="AY21" s="36">
        <v>6079.7704000000003</v>
      </c>
      <c r="AZ21" s="36">
        <v>492.64800000000002</v>
      </c>
      <c r="BA21" s="36">
        <v>667.76099999999997</v>
      </c>
      <c r="BB21" s="36">
        <v>0.35545257465776769</v>
      </c>
      <c r="BC21" s="114">
        <v>261.8499954833984</v>
      </c>
      <c r="BD21" s="36">
        <v>54.591999999999999</v>
      </c>
      <c r="BE21" s="36">
        <v>120.73899999999999</v>
      </c>
      <c r="BF21" s="36">
        <v>100.669</v>
      </c>
      <c r="BG21" s="36">
        <v>59.619</v>
      </c>
      <c r="BH21" s="36">
        <v>-68.85692307692301</v>
      </c>
      <c r="BI21" s="36">
        <v>30.88</v>
      </c>
      <c r="BJ21" s="36">
        <v>-90.092929999999996</v>
      </c>
      <c r="BK21" s="36">
        <v>10.531000000000001</v>
      </c>
      <c r="BL21" s="36">
        <v>2265.875</v>
      </c>
    </row>
    <row r="22" spans="2:64" ht="15" x14ac:dyDescent="0.2">
      <c r="B22" s="62" t="s">
        <v>471</v>
      </c>
      <c r="C22" s="54" t="e">
        <f>VLOOKUP($B22,#REF!,COLUMNS($B22:C22),0)</f>
        <v>#REF!</v>
      </c>
      <c r="D22" s="55" t="e">
        <f>VLOOKUP($B22,#REF!,COLUMNS($B22:D22),0)</f>
        <v>#REF!</v>
      </c>
      <c r="E22" s="55" t="e">
        <f>VLOOKUP($B22,#REF!,COLUMNS($B22:E22),0)</f>
        <v>#REF!</v>
      </c>
      <c r="F22" s="56" t="e">
        <f>VLOOKUP($B22,#REF!,COLUMNS($B22:F22),0)</f>
        <v>#REF!</v>
      </c>
      <c r="G22" s="57" t="e">
        <f>VLOOKUP($B22,#REF!,COLUMNS($B22:G22),0)</f>
        <v>#REF!</v>
      </c>
      <c r="H22" s="58" t="e">
        <f>VLOOKUP($B22,#REF!,COLUMNS($B22:H22),0)</f>
        <v>#REF!</v>
      </c>
      <c r="I22" s="59" t="e">
        <f>VLOOKUP($B22,#REF!,COLUMNS($B22:I22),0)</f>
        <v>#REF!</v>
      </c>
      <c r="J22" s="60" t="e">
        <f>VLOOKUP($B22,#REF!,COLUMNS($B22:J22),0)</f>
        <v>#REF!</v>
      </c>
      <c r="K22" s="60" t="e">
        <f>VLOOKUP($B22,#REF!,COLUMNS($B22:K22),0)</f>
        <v>#REF!</v>
      </c>
      <c r="L22" s="61" t="e">
        <f>VLOOKUP($B22,#REF!,COLUMNS($B22:L22),0)</f>
        <v>#REF!</v>
      </c>
      <c r="M22" s="61" t="e">
        <f>VLOOKUP($B22,#REF!,COLUMNS($B22:M22),0)</f>
        <v>#REF!</v>
      </c>
      <c r="AD22" s="97" t="s">
        <v>560</v>
      </c>
      <c r="AE22" s="36" t="e">
        <f ca="1">_xll.BDP($AD22,AE$10)</f>
        <v>#NAME?</v>
      </c>
      <c r="AF22" s="36" t="e">
        <f ca="1">_xll.BDH($AD22,AF$10,$C$5,$C$5,"EQY_FUND_CRNCY=USD")</f>
        <v>#NAME?</v>
      </c>
      <c r="AG22" s="36" t="e">
        <f ca="1">_xll.BDH($AD22,AG$10,$C$5,$C$5,"EQY_FUND_CRNCY=USD")</f>
        <v>#NAME?</v>
      </c>
      <c r="AH22" s="36"/>
      <c r="AI22" s="36" t="e">
        <f ca="1">_xll.BDP($AD22,AI$10,"EQY_FUND_CRNCY=USD","FA_ADJUSTED=Y")</f>
        <v>#NAME?</v>
      </c>
      <c r="AJ22" s="36" t="e">
        <f ca="1">_xll.BDP($AD22,AJ$10,"BEST_FPERIOD_OVERRIDE=1TY","EQY_FUND_CRNCY=USD","FA_ADJUSTED=Y")</f>
        <v>#NAME?</v>
      </c>
      <c r="AK22" s="44" t="e">
        <f t="shared" ca="1" si="1"/>
        <v>#NAME?</v>
      </c>
      <c r="AL22" s="36" t="e">
        <f ca="1">_xll.BDP($AD22,AL$10,"EQY_FUND_CRNCY=USD","FA_ADJUSTED=Y")</f>
        <v>#NAME?</v>
      </c>
      <c r="AM22" s="36" t="e">
        <f ca="1">_xll.BDP($AD22,AM$10,"BEST_FPERIOD_OVERRIDE=1TY","EQY_FUND_CRNCY=USD","FA_ADJUSTED=Y")</f>
        <v>#NAME?</v>
      </c>
      <c r="AN22" s="36" t="e">
        <f ca="1">_xll.BDP($AD22,AN$10,"BEST_FPERIOD_OVERRIDE=1TY","EQY_FUND_CRNCY=USD","FA_ADJUSTED=Y")</f>
        <v>#NAME?</v>
      </c>
      <c r="AO22" s="36" t="e">
        <f ca="1">_xll.BDP($AD22,AO$10,"BEST_FPERIOD_OVERRIDE=1TY","EQY_FUND_CRNCY=USD","FA_ADJUSTED=Y")</f>
        <v>#NAME?</v>
      </c>
      <c r="AP22" s="36" t="e">
        <f ca="1">_xll.BDP($AD22,AP$10,"BEST_FPERIOD_OVERRIDE=1TY","EQY_FUND_CRNCY=USD","FA_ADJUSTED=Y")</f>
        <v>#NAME?</v>
      </c>
      <c r="AQ22" s="36" t="e">
        <f ca="1">_xll.BDP($AD22,AQ$10,"EQY_FUND_CRNCY=USD","FA_ADJUSTED=Y")</f>
        <v>#NAME?</v>
      </c>
      <c r="AR22" s="36" t="e">
        <f ca="1">_xll.BDP($AD22,AR$10,"BEST_FPERIOD_OVERRIDE=1TY","EQY_FUND_CRNCY=USD","FA_ADJUSTED=Y")</f>
        <v>#NAME?</v>
      </c>
      <c r="AS22" s="36" t="e">
        <f ca="1">_xll.BDP($AD22,AS$10,"EQY_FUND_CRNCY=USD","FA_ADJUSTED=Y")</f>
        <v>#NAME?</v>
      </c>
      <c r="AT22" s="36" t="e">
        <f ca="1">_xll.BDP($AD22,AT$10,"BEST_FPERIOD_OVERRIDE=1TY","EQY_FUND_CRNCY=USD","FA_ADJUSTED=Y")</f>
        <v>#NAME?</v>
      </c>
      <c r="AV22" s="1" t="s">
        <v>560</v>
      </c>
      <c r="AW22" s="1" t="s">
        <v>495</v>
      </c>
      <c r="AX22" s="36">
        <v>9092.1262999999999</v>
      </c>
      <c r="AY22" s="36">
        <v>9461.1262999999999</v>
      </c>
      <c r="AZ22" s="36">
        <v>1106.8</v>
      </c>
      <c r="BA22" s="36">
        <v>1480.6469999999999</v>
      </c>
      <c r="BB22" s="36">
        <v>0.33777285869172391</v>
      </c>
      <c r="BC22" s="114">
        <v>737.9</v>
      </c>
      <c r="BD22" s="36">
        <v>74.016999999999996</v>
      </c>
      <c r="BE22" s="36">
        <v>380.29999999999995</v>
      </c>
      <c r="BF22" s="36">
        <v>314</v>
      </c>
      <c r="BG22" s="36">
        <v>157.30000000000001</v>
      </c>
      <c r="BH22" s="36">
        <v>68.100000000000009</v>
      </c>
      <c r="BI22" s="36">
        <v>323.16000000000003</v>
      </c>
      <c r="BJ22" s="36">
        <v>-50</v>
      </c>
      <c r="BK22" s="36">
        <v>133.304</v>
      </c>
      <c r="BL22" s="36">
        <v>2533.7220000000002</v>
      </c>
    </row>
    <row r="23" spans="2:64" ht="15" x14ac:dyDescent="0.2">
      <c r="B23" s="62" t="s">
        <v>472</v>
      </c>
      <c r="C23" s="54" t="e">
        <f>VLOOKUP($B23,#REF!,COLUMNS($B23:C23),0)</f>
        <v>#REF!</v>
      </c>
      <c r="D23" s="55" t="e">
        <f>VLOOKUP($B23,#REF!,COLUMNS($B23:D23),0)</f>
        <v>#REF!</v>
      </c>
      <c r="E23" s="55" t="e">
        <f>VLOOKUP($B23,#REF!,COLUMNS($B23:E23),0)</f>
        <v>#REF!</v>
      </c>
      <c r="F23" s="56" t="e">
        <f>VLOOKUP($B23,#REF!,COLUMNS($B23:F23),0)</f>
        <v>#REF!</v>
      </c>
      <c r="G23" s="57" t="e">
        <f>VLOOKUP($B23,#REF!,COLUMNS($B23:G23),0)</f>
        <v>#REF!</v>
      </c>
      <c r="H23" s="58" t="e">
        <f>VLOOKUP($B23,#REF!,COLUMNS($B23:H23),0)</f>
        <v>#REF!</v>
      </c>
      <c r="I23" s="59" t="e">
        <f>VLOOKUP($B23,#REF!,COLUMNS($B23:I23),0)</f>
        <v>#REF!</v>
      </c>
      <c r="J23" s="60" t="e">
        <f>VLOOKUP($B23,#REF!,COLUMNS($B23:J23),0)</f>
        <v>#REF!</v>
      </c>
      <c r="K23" s="60" t="e">
        <f>VLOOKUP($B23,#REF!,COLUMNS($B23:K23),0)</f>
        <v>#REF!</v>
      </c>
      <c r="L23" s="61" t="e">
        <f>VLOOKUP($B23,#REF!,COLUMNS($B23:L23),0)</f>
        <v>#REF!</v>
      </c>
      <c r="M23" s="61" t="e">
        <f>VLOOKUP($B23,#REF!,COLUMNS($B23:M23),0)</f>
        <v>#REF!</v>
      </c>
      <c r="AD23" s="113" t="s">
        <v>561</v>
      </c>
      <c r="AE23" s="36" t="e">
        <f ca="1">_xll.BDP($AD23,AE$10)</f>
        <v>#NAME?</v>
      </c>
      <c r="AF23" s="36" t="e">
        <f ca="1">_xll.BDH($AD23,AF$10,$C$5,$C$5,"EQY_FUND_CRNCY=USD")</f>
        <v>#NAME?</v>
      </c>
      <c r="AG23" s="36" t="e">
        <f ca="1">_xll.BDH($AD23,AG$10,$C$5,$C$5,"EQY_FUND_CRNCY=USD")</f>
        <v>#NAME?</v>
      </c>
      <c r="AH23" s="36"/>
      <c r="AI23" s="36" t="e">
        <f ca="1">_xll.BDP($AD23,AI$10,"EQY_FUND_CRNCY=USD","FA_ADJUSTED=Y")</f>
        <v>#NAME?</v>
      </c>
      <c r="AJ23" s="36" t="e">
        <f ca="1">_xll.BDP($AD23,AJ$10,"BEST_FPERIOD_OVERRIDE=1TY","EQY_FUND_CRNCY=USD","FA_ADJUSTED=Y")</f>
        <v>#NAME?</v>
      </c>
      <c r="AK23" s="44" t="e">
        <f t="shared" ca="1" si="1"/>
        <v>#NAME?</v>
      </c>
      <c r="AL23" s="36" t="e">
        <f ca="1">_xll.BDP($AD23,AL$10,"EQY_FUND_CRNCY=USD","FA_ADJUSTED=Y")</f>
        <v>#NAME?</v>
      </c>
      <c r="AM23" s="36" t="e">
        <f ca="1">_xll.BDP($AD23,AM$10,"BEST_FPERIOD_OVERRIDE=1TY","EQY_FUND_CRNCY=USD","FA_ADJUSTED=Y")</f>
        <v>#NAME?</v>
      </c>
      <c r="AN23" s="36" t="e">
        <f ca="1">_xll.BDP($AD23,AN$10,"BEST_FPERIOD_OVERRIDE=1TY","EQY_FUND_CRNCY=USD","FA_ADJUSTED=Y")</f>
        <v>#NAME?</v>
      </c>
      <c r="AO23" s="36" t="e">
        <f ca="1">_xll.BDP($AD23,AO$10,"BEST_FPERIOD_OVERRIDE=1TY","EQY_FUND_CRNCY=USD","FA_ADJUSTED=Y")</f>
        <v>#NAME?</v>
      </c>
      <c r="AP23" s="36" t="e">
        <f ca="1">_xll.BDP($AD23,AP$10,"BEST_FPERIOD_OVERRIDE=1TY","EQY_FUND_CRNCY=USD","FA_ADJUSTED=Y")</f>
        <v>#NAME?</v>
      </c>
      <c r="AQ23" s="36" t="e">
        <f ca="1">_xll.BDP($AD23,AQ$10,"EQY_FUND_CRNCY=USD","FA_ADJUSTED=Y")</f>
        <v>#NAME?</v>
      </c>
      <c r="AR23" s="36" t="e">
        <f ca="1">_xll.BDP($AD23,AR$10,"BEST_FPERIOD_OVERRIDE=1TY","EQY_FUND_CRNCY=USD","FA_ADJUSTED=Y")</f>
        <v>#NAME?</v>
      </c>
      <c r="AS23" s="36" t="e">
        <f ca="1">_xll.BDP($AD23,AS$10,"EQY_FUND_CRNCY=USD","FA_ADJUSTED=Y")</f>
        <v>#NAME?</v>
      </c>
      <c r="AT23" s="36" t="e">
        <f ca="1">_xll.BDP($AD23,AT$10,"BEST_FPERIOD_OVERRIDE=1TY","EQY_FUND_CRNCY=USD","FA_ADJUSTED=Y")</f>
        <v>#NAME?</v>
      </c>
      <c r="AV23" s="1" t="s">
        <v>561</v>
      </c>
      <c r="AW23" s="1" t="s">
        <v>615</v>
      </c>
      <c r="AX23" s="36">
        <v>1522.0586000000001</v>
      </c>
      <c r="AY23" s="36">
        <v>2404.9515999999999</v>
      </c>
      <c r="AZ23" s="36">
        <v>476.02700000000004</v>
      </c>
      <c r="BA23" s="36">
        <v>635.75</v>
      </c>
      <c r="BB23" s="36">
        <v>0.33553348864665233</v>
      </c>
      <c r="BC23" s="114">
        <v>327.95800305175783</v>
      </c>
      <c r="BD23" s="36">
        <v>72</v>
      </c>
      <c r="BE23" s="36">
        <v>27.382999999999999</v>
      </c>
      <c r="BF23" s="36">
        <v>34.103000000000002</v>
      </c>
      <c r="BG23" s="36">
        <v>149.94800000000001</v>
      </c>
      <c r="BH23" s="36">
        <v>100.64099999999999</v>
      </c>
      <c r="BI23" s="36">
        <v>195.3</v>
      </c>
      <c r="BJ23" s="36">
        <v>7.2179362649929981</v>
      </c>
      <c r="BK23" s="36">
        <v>52.832999999999998</v>
      </c>
      <c r="BL23" s="36">
        <v>1695.9180000000001</v>
      </c>
    </row>
    <row r="24" spans="2:64" ht="15" x14ac:dyDescent="0.2">
      <c r="B24" s="62" t="s">
        <v>473</v>
      </c>
      <c r="C24" s="54" t="e">
        <f>VLOOKUP($B24,#REF!,COLUMNS($B24:C24),0)</f>
        <v>#REF!</v>
      </c>
      <c r="D24" s="55" t="e">
        <f>VLOOKUP($B24,#REF!,COLUMNS($B24:D24),0)</f>
        <v>#REF!</v>
      </c>
      <c r="E24" s="55" t="e">
        <f>VLOOKUP($B24,#REF!,COLUMNS($B24:E24),0)</f>
        <v>#REF!</v>
      </c>
      <c r="F24" s="56" t="e">
        <f>VLOOKUP($B24,#REF!,COLUMNS($B24:F24),0)</f>
        <v>#REF!</v>
      </c>
      <c r="G24" s="57" t="e">
        <f>VLOOKUP($B24,#REF!,COLUMNS($B24:G24),0)</f>
        <v>#REF!</v>
      </c>
      <c r="H24" s="58" t="e">
        <f>VLOOKUP($B24,#REF!,COLUMNS($B24:H24),0)</f>
        <v>#REF!</v>
      </c>
      <c r="I24" s="59" t="e">
        <f>VLOOKUP($B24,#REF!,COLUMNS($B24:I24),0)</f>
        <v>#REF!</v>
      </c>
      <c r="J24" s="60" t="e">
        <f>VLOOKUP($B24,#REF!,COLUMNS($B24:J24),0)</f>
        <v>#REF!</v>
      </c>
      <c r="K24" s="60" t="e">
        <f>VLOOKUP($B24,#REF!,COLUMNS($B24:K24),0)</f>
        <v>#REF!</v>
      </c>
      <c r="L24" s="61" t="e">
        <f>VLOOKUP($B24,#REF!,COLUMNS($B24:L24),0)</f>
        <v>#REF!</v>
      </c>
      <c r="M24" s="61" t="e">
        <f>VLOOKUP($B24,#REF!,COLUMNS($B24:M24),0)</f>
        <v>#REF!</v>
      </c>
      <c r="AD24" s="113" t="s">
        <v>169</v>
      </c>
      <c r="AE24" s="36" t="e">
        <f ca="1">_xll.BDP($AD24,AE$10)</f>
        <v>#NAME?</v>
      </c>
      <c r="AF24" s="36" t="e">
        <f ca="1">_xll.BDH($AD24,AF$10,$C$5,$C$5,"EQY_FUND_CRNCY=USD")</f>
        <v>#NAME?</v>
      </c>
      <c r="AG24" s="36" t="e">
        <f ca="1">_xll.BDH($AD24,AG$10,$C$5,$C$5,"EQY_FUND_CRNCY=USD")</f>
        <v>#NAME?</v>
      </c>
      <c r="AH24" s="36"/>
      <c r="AI24" s="36" t="e">
        <f ca="1">_xll.BDP($AD24,AI$10,"EQY_FUND_CRNCY=USD","FA_ADJUSTED=Y")</f>
        <v>#NAME?</v>
      </c>
      <c r="AJ24" s="36" t="e">
        <f ca="1">_xll.BDP($AD24,AJ$10,"BEST_FPERIOD_OVERRIDE=1TY","EQY_FUND_CRNCY=USD","FA_ADJUSTED=Y")</f>
        <v>#NAME?</v>
      </c>
      <c r="AK24" s="44" t="e">
        <f t="shared" ca="1" si="1"/>
        <v>#NAME?</v>
      </c>
      <c r="AL24" s="36" t="e">
        <f ca="1">_xll.BDP($AD24,AL$10,"EQY_FUND_CRNCY=USD","FA_ADJUSTED=Y")</f>
        <v>#NAME?</v>
      </c>
      <c r="AM24" s="36" t="e">
        <f ca="1">_xll.BDP($AD24,AM$10,"BEST_FPERIOD_OVERRIDE=1TY","EQY_FUND_CRNCY=USD","FA_ADJUSTED=Y")</f>
        <v>#NAME?</v>
      </c>
      <c r="AN24" s="36" t="e">
        <f ca="1">_xll.BDP($AD24,AN$10,"BEST_FPERIOD_OVERRIDE=1TY","EQY_FUND_CRNCY=USD","FA_ADJUSTED=Y")</f>
        <v>#NAME?</v>
      </c>
      <c r="AO24" s="36" t="e">
        <f ca="1">_xll.BDP($AD24,AO$10,"BEST_FPERIOD_OVERRIDE=1TY","EQY_FUND_CRNCY=USD","FA_ADJUSTED=Y")</f>
        <v>#NAME?</v>
      </c>
      <c r="AP24" s="36" t="e">
        <f ca="1">_xll.BDP($AD24,AP$10,"BEST_FPERIOD_OVERRIDE=1TY","EQY_FUND_CRNCY=USD","FA_ADJUSTED=Y")</f>
        <v>#NAME?</v>
      </c>
      <c r="AQ24" s="36" t="e">
        <f ca="1">_xll.BDP($AD24,AQ$10,"EQY_FUND_CRNCY=USD","FA_ADJUSTED=Y")</f>
        <v>#NAME?</v>
      </c>
      <c r="AR24" s="36" t="e">
        <f ca="1">_xll.BDP($AD24,AR$10,"BEST_FPERIOD_OVERRIDE=1TY","EQY_FUND_CRNCY=USD","FA_ADJUSTED=Y")</f>
        <v>#NAME?</v>
      </c>
      <c r="AS24" s="36" t="e">
        <f ca="1">_xll.BDP($AD24,AS$10,"EQY_FUND_CRNCY=USD","FA_ADJUSTED=Y")</f>
        <v>#NAME?</v>
      </c>
      <c r="AT24" s="36" t="e">
        <f ca="1">_xll.BDP($AD24,AT$10,"BEST_FPERIOD_OVERRIDE=1TY","EQY_FUND_CRNCY=USD","FA_ADJUSTED=Y")</f>
        <v>#NAME?</v>
      </c>
      <c r="AV24" s="1" t="s">
        <v>169</v>
      </c>
      <c r="AW24" s="1" t="s">
        <v>495</v>
      </c>
      <c r="AX24" s="36">
        <v>3307.9958000000001</v>
      </c>
      <c r="AY24" s="36">
        <v>3592.9578000000001</v>
      </c>
      <c r="AZ24" s="36">
        <v>166.82400000000001</v>
      </c>
      <c r="BA24" s="36">
        <v>257.7</v>
      </c>
      <c r="BB24" s="36">
        <v>0.54474176377499628</v>
      </c>
      <c r="BC24" s="114">
        <v>116.99600000000001</v>
      </c>
      <c r="BD24" s="36">
        <v>75.674999999999997</v>
      </c>
      <c r="BE24" s="36">
        <v>0</v>
      </c>
      <c r="BF24" s="36">
        <v>103.47799999999999</v>
      </c>
      <c r="BG24" s="36">
        <v>46.970999999999997</v>
      </c>
      <c r="BH24" s="36">
        <v>-66.082999999999998</v>
      </c>
      <c r="BI24" s="36">
        <v>-48.283000000000001</v>
      </c>
      <c r="BJ24" s="36">
        <v>-95.293880000000001</v>
      </c>
      <c r="BK24" s="36">
        <v>-59.25</v>
      </c>
      <c r="BL24" s="36">
        <v>1801.5989999999999</v>
      </c>
    </row>
    <row r="25" spans="2:64" ht="15" x14ac:dyDescent="0.2">
      <c r="B25" s="62" t="s">
        <v>474</v>
      </c>
      <c r="C25" s="54" t="e">
        <f>VLOOKUP($B25,#REF!,COLUMNS($B25:C25),0)</f>
        <v>#REF!</v>
      </c>
      <c r="D25" s="55" t="e">
        <f>VLOOKUP($B25,#REF!,COLUMNS($B25:D25),0)</f>
        <v>#REF!</v>
      </c>
      <c r="E25" s="55" t="e">
        <f>VLOOKUP($B25,#REF!,COLUMNS($B25:E25),0)</f>
        <v>#REF!</v>
      </c>
      <c r="F25" s="56" t="e">
        <f>VLOOKUP($B25,#REF!,COLUMNS($B25:F25),0)</f>
        <v>#REF!</v>
      </c>
      <c r="G25" s="57" t="e">
        <f>VLOOKUP($B25,#REF!,COLUMNS($B25:G25),0)</f>
        <v>#REF!</v>
      </c>
      <c r="H25" s="58" t="e">
        <f>VLOOKUP($B25,#REF!,COLUMNS($B25:H25),0)</f>
        <v>#REF!</v>
      </c>
      <c r="I25" s="59" t="e">
        <f>VLOOKUP($B25,#REF!,COLUMNS($B25:I25),0)</f>
        <v>#REF!</v>
      </c>
      <c r="J25" s="60" t="e">
        <f>VLOOKUP($B25,#REF!,COLUMNS($B25:J25),0)</f>
        <v>#REF!</v>
      </c>
      <c r="K25" s="60" t="e">
        <f>VLOOKUP($B25,#REF!,COLUMNS($B25:K25),0)</f>
        <v>#REF!</v>
      </c>
      <c r="L25" s="61" t="e">
        <f>VLOOKUP($B25,#REF!,COLUMNS($B25:L25),0)</f>
        <v>#REF!</v>
      </c>
      <c r="M25" s="61" t="e">
        <f>VLOOKUP($B25,#REF!,COLUMNS($B25:M25),0)</f>
        <v>#REF!</v>
      </c>
      <c r="AD25" s="113" t="s">
        <v>269</v>
      </c>
      <c r="AE25" s="36" t="e">
        <f ca="1">_xll.BDP($AD25,AE$10)</f>
        <v>#NAME?</v>
      </c>
      <c r="AF25" s="36" t="e">
        <f ca="1">_xll.BDH($AD25,AF$10,$C$5,$C$5,"EQY_FUND_CRNCY=USD")</f>
        <v>#NAME?</v>
      </c>
      <c r="AG25" s="36" t="e">
        <f ca="1">_xll.BDH($AD25,AG$10,$C$5,$C$5,"EQY_FUND_CRNCY=USD")</f>
        <v>#NAME?</v>
      </c>
      <c r="AH25" s="36"/>
      <c r="AI25" s="36" t="e">
        <f ca="1">_xll.BDP($AD25,AI$10,"EQY_FUND_CRNCY=USD","FA_ADJUSTED=Y")</f>
        <v>#NAME?</v>
      </c>
      <c r="AJ25" s="36" t="e">
        <f ca="1">_xll.BDP($AD25,AJ$10,"BEST_FPERIOD_OVERRIDE=1TY","EQY_FUND_CRNCY=USD","FA_ADJUSTED=Y")</f>
        <v>#NAME?</v>
      </c>
      <c r="AK25" s="44" t="e">
        <f t="shared" ca="1" si="1"/>
        <v>#NAME?</v>
      </c>
      <c r="AL25" s="36" t="e">
        <f ca="1">_xll.BDP($AD25,AL$10,"EQY_FUND_CRNCY=USD","FA_ADJUSTED=Y")</f>
        <v>#NAME?</v>
      </c>
      <c r="AM25" s="36" t="e">
        <f ca="1">_xll.BDP($AD25,AM$10,"BEST_FPERIOD_OVERRIDE=1TY","EQY_FUND_CRNCY=USD","FA_ADJUSTED=Y")</f>
        <v>#NAME?</v>
      </c>
      <c r="AN25" s="36" t="e">
        <f ca="1">_xll.BDP($AD25,AN$10,"BEST_FPERIOD_OVERRIDE=1TY","EQY_FUND_CRNCY=USD","FA_ADJUSTED=Y")</f>
        <v>#NAME?</v>
      </c>
      <c r="AO25" s="36" t="e">
        <f ca="1">_xll.BDP($AD25,AO$10,"BEST_FPERIOD_OVERRIDE=1TY","EQY_FUND_CRNCY=USD","FA_ADJUSTED=Y")</f>
        <v>#NAME?</v>
      </c>
      <c r="AP25" s="36" t="e">
        <f ca="1">_xll.BDP($AD25,AP$10,"BEST_FPERIOD_OVERRIDE=1TY","EQY_FUND_CRNCY=USD","FA_ADJUSTED=Y")</f>
        <v>#NAME?</v>
      </c>
      <c r="AQ25" s="36" t="e">
        <f ca="1">_xll.BDP($AD25,AQ$10,"EQY_FUND_CRNCY=USD","FA_ADJUSTED=Y")</f>
        <v>#NAME?</v>
      </c>
      <c r="AR25" s="36" t="e">
        <f ca="1">_xll.BDP($AD25,AR$10,"BEST_FPERIOD_OVERRIDE=1TY","EQY_FUND_CRNCY=USD","FA_ADJUSTED=Y")</f>
        <v>#NAME?</v>
      </c>
      <c r="AS25" s="36" t="e">
        <f ca="1">_xll.BDP($AD25,AS$10,"EQY_FUND_CRNCY=USD","FA_ADJUSTED=Y")</f>
        <v>#NAME?</v>
      </c>
      <c r="AT25" s="36" t="e">
        <f ca="1">_xll.BDP($AD25,AT$10,"BEST_FPERIOD_OVERRIDE=1TY","EQY_FUND_CRNCY=USD","FA_ADJUSTED=Y")</f>
        <v>#NAME?</v>
      </c>
      <c r="AV25" s="1" t="s">
        <v>269</v>
      </c>
      <c r="AW25" s="1" t="s">
        <v>495</v>
      </c>
      <c r="AX25" s="36">
        <v>1454.8907999999999</v>
      </c>
      <c r="AY25" s="36">
        <v>1441.0637999999999</v>
      </c>
      <c r="AZ25" s="36">
        <v>122.828</v>
      </c>
      <c r="BA25" s="36">
        <v>163.084</v>
      </c>
      <c r="BB25" s="36">
        <v>0.32774285993421692</v>
      </c>
      <c r="BC25" s="114">
        <v>85.026000061035163</v>
      </c>
      <c r="BD25" s="36">
        <v>71.689000000000007</v>
      </c>
      <c r="BE25" s="36">
        <v>22.241</v>
      </c>
      <c r="BF25" s="36">
        <v>46.997999999999998</v>
      </c>
      <c r="BG25" s="36">
        <v>22.895</v>
      </c>
      <c r="BH25" s="36">
        <v>-24.664999999999999</v>
      </c>
      <c r="BI25" s="36">
        <v>-0.70599999999999996</v>
      </c>
      <c r="BJ25" s="36">
        <v>-39.188639999999999</v>
      </c>
      <c r="BK25" s="36">
        <v>-13.982000000000001</v>
      </c>
      <c r="BL25" s="36">
        <v>496.71600000000001</v>
      </c>
    </row>
    <row r="26" spans="2:64" ht="15" x14ac:dyDescent="0.2">
      <c r="B26" s="62" t="s">
        <v>475</v>
      </c>
      <c r="C26" s="54" t="e">
        <f>VLOOKUP($B26,#REF!,COLUMNS($B26:C26),0)</f>
        <v>#REF!</v>
      </c>
      <c r="D26" s="55" t="e">
        <f>VLOOKUP($B26,#REF!,COLUMNS($B26:D26),0)</f>
        <v>#REF!</v>
      </c>
      <c r="E26" s="55" t="e">
        <f>VLOOKUP($B26,#REF!,COLUMNS($B26:E26),0)</f>
        <v>#REF!</v>
      </c>
      <c r="F26" s="56" t="e">
        <f>VLOOKUP($B26,#REF!,COLUMNS($B26:F26),0)</f>
        <v>#REF!</v>
      </c>
      <c r="G26" s="57" t="e">
        <f>VLOOKUP($B26,#REF!,COLUMNS($B26:G26),0)</f>
        <v>#REF!</v>
      </c>
      <c r="H26" s="58" t="e">
        <f>VLOOKUP($B26,#REF!,COLUMNS($B26:H26),0)</f>
        <v>#REF!</v>
      </c>
      <c r="I26" s="59" t="e">
        <f>VLOOKUP($B26,#REF!,COLUMNS($B26:I26),0)</f>
        <v>#REF!</v>
      </c>
      <c r="J26" s="60" t="e">
        <f>VLOOKUP($B26,#REF!,COLUMNS($B26:J26),0)</f>
        <v>#REF!</v>
      </c>
      <c r="K26" s="60" t="e">
        <f>VLOOKUP($B26,#REF!,COLUMNS($B26:K26),0)</f>
        <v>#REF!</v>
      </c>
      <c r="L26" s="61" t="e">
        <f>VLOOKUP($B26,#REF!,COLUMNS($B26:L26),0)</f>
        <v>#REF!</v>
      </c>
      <c r="M26" s="61" t="e">
        <f>VLOOKUP($B26,#REF!,COLUMNS($B26:M26),0)</f>
        <v>#REF!</v>
      </c>
      <c r="AD26" s="113" t="s">
        <v>211</v>
      </c>
      <c r="AE26" s="36" t="e">
        <f ca="1">_xll.BDP($AD26,AE$10)</f>
        <v>#NAME?</v>
      </c>
      <c r="AF26" s="36" t="e">
        <f ca="1">_xll.BDH($AD26,AF$10,$C$5,$C$5,"EQY_FUND_CRNCY=USD")</f>
        <v>#NAME?</v>
      </c>
      <c r="AG26" s="36" t="e">
        <f ca="1">_xll.BDH($AD26,AG$10,$C$5,$C$5,"EQY_FUND_CRNCY=USD")</f>
        <v>#NAME?</v>
      </c>
      <c r="AH26" s="36"/>
      <c r="AI26" s="36" t="e">
        <f ca="1">_xll.BDP($AD26,AI$10,"EQY_FUND_CRNCY=USD","FA_ADJUSTED=Y")</f>
        <v>#NAME?</v>
      </c>
      <c r="AJ26" s="36" t="e">
        <f ca="1">_xll.BDP($AD26,AJ$10,"BEST_FPERIOD_OVERRIDE=1TY","EQY_FUND_CRNCY=USD","FA_ADJUSTED=Y")</f>
        <v>#NAME?</v>
      </c>
      <c r="AK26" s="44" t="e">
        <f t="shared" ca="1" si="1"/>
        <v>#NAME?</v>
      </c>
      <c r="AL26" s="36" t="e">
        <f ca="1">_xll.BDP($AD26,AL$10,"EQY_FUND_CRNCY=USD","FA_ADJUSTED=Y")</f>
        <v>#NAME?</v>
      </c>
      <c r="AM26" s="36" t="e">
        <f ca="1">_xll.BDP($AD26,AM$10,"BEST_FPERIOD_OVERRIDE=1TY","EQY_FUND_CRNCY=USD","FA_ADJUSTED=Y")</f>
        <v>#NAME?</v>
      </c>
      <c r="AN26" s="36" t="e">
        <f ca="1">_xll.BDP($AD26,AN$10,"BEST_FPERIOD_OVERRIDE=1TY","EQY_FUND_CRNCY=USD","FA_ADJUSTED=Y")</f>
        <v>#NAME?</v>
      </c>
      <c r="AO26" s="36" t="e">
        <f ca="1">_xll.BDP($AD26,AO$10,"BEST_FPERIOD_OVERRIDE=1TY","EQY_FUND_CRNCY=USD","FA_ADJUSTED=Y")</f>
        <v>#NAME?</v>
      </c>
      <c r="AP26" s="36" t="e">
        <f ca="1">_xll.BDP($AD26,AP$10,"BEST_FPERIOD_OVERRIDE=1TY","EQY_FUND_CRNCY=USD","FA_ADJUSTED=Y")</f>
        <v>#NAME?</v>
      </c>
      <c r="AQ26" s="36" t="e">
        <f ca="1">_xll.BDP($AD26,AQ$10,"EQY_FUND_CRNCY=USD","FA_ADJUSTED=Y")</f>
        <v>#NAME?</v>
      </c>
      <c r="AR26" s="36" t="e">
        <f ca="1">_xll.BDP($AD26,AR$10,"BEST_FPERIOD_OVERRIDE=1TY","EQY_FUND_CRNCY=USD","FA_ADJUSTED=Y")</f>
        <v>#NAME?</v>
      </c>
      <c r="AS26" s="36" t="e">
        <f ca="1">_xll.BDP($AD26,AS$10,"EQY_FUND_CRNCY=USD","FA_ADJUSTED=Y")</f>
        <v>#NAME?</v>
      </c>
      <c r="AT26" s="36" t="e">
        <f ca="1">_xll.BDP($AD26,AT$10,"BEST_FPERIOD_OVERRIDE=1TY","EQY_FUND_CRNCY=USD","FA_ADJUSTED=Y")</f>
        <v>#NAME?</v>
      </c>
      <c r="AV26" s="1" t="s">
        <v>211</v>
      </c>
      <c r="AW26" s="1" t="s">
        <v>495</v>
      </c>
      <c r="AX26" s="36">
        <v>2147.0536999999999</v>
      </c>
      <c r="AY26" s="36">
        <v>2529.5556999999999</v>
      </c>
      <c r="AZ26" s="36">
        <v>213.15899999999999</v>
      </c>
      <c r="BA26" s="36">
        <v>282.81</v>
      </c>
      <c r="BB26" s="36">
        <v>0.32675608348697449</v>
      </c>
      <c r="BC26" s="114">
        <v>155.18199999999999</v>
      </c>
      <c r="BD26" s="36">
        <v>73.067000000000007</v>
      </c>
      <c r="BE26" s="36">
        <v>41.263999999999996</v>
      </c>
      <c r="BF26" s="36">
        <v>133.79400000000001</v>
      </c>
      <c r="BG26" s="36">
        <v>34.286000000000001</v>
      </c>
      <c r="BH26" s="36">
        <v>-43.302999999999997</v>
      </c>
      <c r="BI26" s="36">
        <v>-23.48</v>
      </c>
      <c r="BJ26" s="36">
        <v>-55.233550000000001</v>
      </c>
      <c r="BK26" s="36">
        <v>-39.237000000000002</v>
      </c>
      <c r="BL26" s="36">
        <v>1344.9670000000001</v>
      </c>
    </row>
    <row r="27" spans="2:64" ht="15" x14ac:dyDescent="0.2">
      <c r="B27" s="62" t="s">
        <v>476</v>
      </c>
      <c r="C27" s="54" t="e">
        <f>VLOOKUP($B27,#REF!,COLUMNS($B27:C27),0)</f>
        <v>#REF!</v>
      </c>
      <c r="D27" s="55" t="e">
        <f>VLOOKUP($B27,#REF!,COLUMNS($B27:D27),0)</f>
        <v>#REF!</v>
      </c>
      <c r="E27" s="55" t="e">
        <f>VLOOKUP($B27,#REF!,COLUMNS($B27:E27),0)</f>
        <v>#REF!</v>
      </c>
      <c r="F27" s="56" t="e">
        <f>VLOOKUP($B27,#REF!,COLUMNS($B27:F27),0)</f>
        <v>#REF!</v>
      </c>
      <c r="G27" s="57" t="e">
        <f>VLOOKUP($B27,#REF!,COLUMNS($B27:G27),0)</f>
        <v>#REF!</v>
      </c>
      <c r="H27" s="58" t="e">
        <f>VLOOKUP($B27,#REF!,COLUMNS($B27:H27),0)</f>
        <v>#REF!</v>
      </c>
      <c r="I27" s="59" t="e">
        <f>VLOOKUP($B27,#REF!,COLUMNS($B27:I27),0)</f>
        <v>#REF!</v>
      </c>
      <c r="J27" s="60" t="e">
        <f>VLOOKUP($B27,#REF!,COLUMNS($B27:J27),0)</f>
        <v>#REF!</v>
      </c>
      <c r="K27" s="60" t="e">
        <f>VLOOKUP($B27,#REF!,COLUMNS($B27:K27),0)</f>
        <v>#REF!</v>
      </c>
      <c r="L27" s="61" t="e">
        <f>VLOOKUP($B27,#REF!,COLUMNS($B27:L27),0)</f>
        <v>#REF!</v>
      </c>
      <c r="M27" s="61" t="e">
        <f>VLOOKUP($B27,#REF!,COLUMNS($B27:M27),0)</f>
        <v>#REF!</v>
      </c>
      <c r="AD27" s="113" t="s">
        <v>257</v>
      </c>
      <c r="AE27" s="36" t="e">
        <f ca="1">_xll.BDP($AD27,AE$10)</f>
        <v>#NAME?</v>
      </c>
      <c r="AF27" s="36" t="e">
        <f ca="1">_xll.BDH($AD27,AF$10,$C$5,$C$5,"EQY_FUND_CRNCY=USD")</f>
        <v>#NAME?</v>
      </c>
      <c r="AG27" s="36" t="e">
        <f ca="1">_xll.BDH($AD27,AG$10,$C$5,$C$5,"EQY_FUND_CRNCY=USD")</f>
        <v>#NAME?</v>
      </c>
      <c r="AH27" s="36"/>
      <c r="AI27" s="36" t="e">
        <f ca="1">_xll.BDP($AD27,AI$10,"EQY_FUND_CRNCY=USD","FA_ADJUSTED=Y")</f>
        <v>#NAME?</v>
      </c>
      <c r="AJ27" s="36" t="e">
        <f ca="1">_xll.BDP($AD27,AJ$10,"BEST_FPERIOD_OVERRIDE=1TY","EQY_FUND_CRNCY=USD","FA_ADJUSTED=Y")</f>
        <v>#NAME?</v>
      </c>
      <c r="AK27" s="44" t="e">
        <f t="shared" ca="1" si="1"/>
        <v>#NAME?</v>
      </c>
      <c r="AL27" s="36" t="e">
        <f ca="1">_xll.BDP($AD27,AL$10,"EQY_FUND_CRNCY=USD","FA_ADJUSTED=Y")</f>
        <v>#NAME?</v>
      </c>
      <c r="AM27" s="36" t="e">
        <f ca="1">_xll.BDP($AD27,AM$10,"BEST_FPERIOD_OVERRIDE=1TY","EQY_FUND_CRNCY=USD","FA_ADJUSTED=Y")</f>
        <v>#NAME?</v>
      </c>
      <c r="AN27" s="36" t="e">
        <f ca="1">_xll.BDP($AD27,AN$10,"BEST_FPERIOD_OVERRIDE=1TY","EQY_FUND_CRNCY=USD","FA_ADJUSTED=Y")</f>
        <v>#NAME?</v>
      </c>
      <c r="AO27" s="36" t="e">
        <f ca="1">_xll.BDP($AD27,AO$10,"BEST_FPERIOD_OVERRIDE=1TY","EQY_FUND_CRNCY=USD","FA_ADJUSTED=Y")</f>
        <v>#NAME?</v>
      </c>
      <c r="AP27" s="36" t="e">
        <f ca="1">_xll.BDP($AD27,AP$10,"BEST_FPERIOD_OVERRIDE=1TY","EQY_FUND_CRNCY=USD","FA_ADJUSTED=Y")</f>
        <v>#NAME?</v>
      </c>
      <c r="AQ27" s="36" t="e">
        <f ca="1">_xll.BDP($AD27,AQ$10,"EQY_FUND_CRNCY=USD","FA_ADJUSTED=Y")</f>
        <v>#NAME?</v>
      </c>
      <c r="AR27" s="36" t="e">
        <f ca="1">_xll.BDP($AD27,AR$10,"BEST_FPERIOD_OVERRIDE=1TY","EQY_FUND_CRNCY=USD","FA_ADJUSTED=Y")</f>
        <v>#NAME?</v>
      </c>
      <c r="AS27" s="36" t="e">
        <f ca="1">_xll.BDP($AD27,AS$10,"EQY_FUND_CRNCY=USD","FA_ADJUSTED=Y")</f>
        <v>#NAME?</v>
      </c>
      <c r="AT27" s="36" t="e">
        <f ca="1">_xll.BDP($AD27,AT$10,"BEST_FPERIOD_OVERRIDE=1TY","EQY_FUND_CRNCY=USD","FA_ADJUSTED=Y")</f>
        <v>#NAME?</v>
      </c>
      <c r="AV27" s="1" t="s">
        <v>257</v>
      </c>
      <c r="AW27" s="1" t="s">
        <v>495</v>
      </c>
      <c r="AX27" s="36">
        <v>1515.9951000000001</v>
      </c>
      <c r="AY27" s="36">
        <v>1436.3831</v>
      </c>
      <c r="AZ27" s="36">
        <v>211.739</v>
      </c>
      <c r="BA27" s="36">
        <v>279.25700000000001</v>
      </c>
      <c r="BB27" s="36">
        <v>0.31887370772507673</v>
      </c>
      <c r="BC27" s="114">
        <v>149.78799795532225</v>
      </c>
      <c r="BD27" s="36">
        <v>70.757000000000005</v>
      </c>
      <c r="BE27" s="36">
        <v>35.809999999999995</v>
      </c>
      <c r="BF27" s="36">
        <v>71.825000000000003</v>
      </c>
      <c r="BG27" s="36">
        <v>37.470999999999997</v>
      </c>
      <c r="BH27" s="36">
        <v>-11.435911392404998</v>
      </c>
      <c r="BI27" s="36">
        <v>2.3530000000000002</v>
      </c>
      <c r="BJ27" s="36">
        <v>-22.763379999999998</v>
      </c>
      <c r="BK27" s="36">
        <v>-7.5310000000000006</v>
      </c>
      <c r="BL27" s="36">
        <v>298.54700000000003</v>
      </c>
    </row>
    <row r="28" spans="2:64" ht="15" x14ac:dyDescent="0.2">
      <c r="B28" s="62" t="s">
        <v>477</v>
      </c>
      <c r="C28" s="54" t="e">
        <f>VLOOKUP($B28,#REF!,COLUMNS($B28:C28),0)</f>
        <v>#REF!</v>
      </c>
      <c r="D28" s="55" t="e">
        <f>VLOOKUP($B28,#REF!,COLUMNS($B28:D28),0)</f>
        <v>#REF!</v>
      </c>
      <c r="E28" s="55" t="e">
        <f>VLOOKUP($B28,#REF!,COLUMNS($B28:E28),0)</f>
        <v>#REF!</v>
      </c>
      <c r="F28" s="56" t="e">
        <f>VLOOKUP($B28,#REF!,COLUMNS($B28:F28),0)</f>
        <v>#REF!</v>
      </c>
      <c r="G28" s="57" t="e">
        <f>VLOOKUP($B28,#REF!,COLUMNS($B28:G28),0)</f>
        <v>#REF!</v>
      </c>
      <c r="H28" s="58" t="e">
        <f>VLOOKUP($B28,#REF!,COLUMNS($B28:H28),0)</f>
        <v>#REF!</v>
      </c>
      <c r="I28" s="59" t="e">
        <f>VLOOKUP($B28,#REF!,COLUMNS($B28:I28),0)</f>
        <v>#REF!</v>
      </c>
      <c r="J28" s="60" t="e">
        <f>VLOOKUP($B28,#REF!,COLUMNS($B28:J28),0)</f>
        <v>#REF!</v>
      </c>
      <c r="K28" s="60" t="e">
        <f>VLOOKUP($B28,#REF!,COLUMNS($B28:K28),0)</f>
        <v>#REF!</v>
      </c>
      <c r="L28" s="61" t="e">
        <f>VLOOKUP($B28,#REF!,COLUMNS($B28:L28),0)</f>
        <v>#REF!</v>
      </c>
      <c r="M28" s="61" t="e">
        <f>VLOOKUP($B28,#REF!,COLUMNS($B28:M28),0)</f>
        <v>#REF!</v>
      </c>
      <c r="AD28" s="113" t="s">
        <v>245</v>
      </c>
      <c r="AE28" s="36" t="e">
        <f ca="1">_xll.BDP($AD28,AE$10)</f>
        <v>#NAME?</v>
      </c>
      <c r="AF28" s="36" t="e">
        <f ca="1">_xll.BDH($AD28,AF$10,$C$5,$C$5,"EQY_FUND_CRNCY=USD")</f>
        <v>#NAME?</v>
      </c>
      <c r="AG28" s="36" t="e">
        <f ca="1">_xll.BDH($AD28,AG$10,$C$5,$C$5,"EQY_FUND_CRNCY=USD")</f>
        <v>#NAME?</v>
      </c>
      <c r="AH28" s="36"/>
      <c r="AI28" s="36" t="e">
        <f ca="1">_xll.BDP($AD28,AI$10,"EQY_FUND_CRNCY=USD","FA_ADJUSTED=Y")</f>
        <v>#NAME?</v>
      </c>
      <c r="AJ28" s="36" t="e">
        <f ca="1">_xll.BDP($AD28,AJ$10,"BEST_FPERIOD_OVERRIDE=1TY","EQY_FUND_CRNCY=USD","FA_ADJUSTED=Y")</f>
        <v>#NAME?</v>
      </c>
      <c r="AK28" s="44" t="e">
        <f t="shared" ca="1" si="1"/>
        <v>#NAME?</v>
      </c>
      <c r="AL28" s="36" t="e">
        <f ca="1">_xll.BDP($AD28,AL$10,"EQY_FUND_CRNCY=USD","FA_ADJUSTED=Y")</f>
        <v>#NAME?</v>
      </c>
      <c r="AM28" s="36" t="e">
        <f ca="1">_xll.BDP($AD28,AM$10,"BEST_FPERIOD_OVERRIDE=1TY","EQY_FUND_CRNCY=USD","FA_ADJUSTED=Y")</f>
        <v>#NAME?</v>
      </c>
      <c r="AN28" s="36" t="e">
        <f ca="1">_xll.BDP($AD28,AN$10,"BEST_FPERIOD_OVERRIDE=1TY","EQY_FUND_CRNCY=USD","FA_ADJUSTED=Y")</f>
        <v>#NAME?</v>
      </c>
      <c r="AO28" s="36" t="e">
        <f ca="1">_xll.BDP($AD28,AO$10,"BEST_FPERIOD_OVERRIDE=1TY","EQY_FUND_CRNCY=USD","FA_ADJUSTED=Y")</f>
        <v>#NAME?</v>
      </c>
      <c r="AP28" s="36" t="e">
        <f ca="1">_xll.BDP($AD28,AP$10,"BEST_FPERIOD_OVERRIDE=1TY","EQY_FUND_CRNCY=USD","FA_ADJUSTED=Y")</f>
        <v>#NAME?</v>
      </c>
      <c r="AQ28" s="36" t="e">
        <f ca="1">_xll.BDP($AD28,AQ$10,"EQY_FUND_CRNCY=USD","FA_ADJUSTED=Y")</f>
        <v>#NAME?</v>
      </c>
      <c r="AR28" s="36" t="e">
        <f ca="1">_xll.BDP($AD28,AR$10,"BEST_FPERIOD_OVERRIDE=1TY","EQY_FUND_CRNCY=USD","FA_ADJUSTED=Y")</f>
        <v>#NAME?</v>
      </c>
      <c r="AS28" s="36" t="e">
        <f ca="1">_xll.BDP($AD28,AS$10,"EQY_FUND_CRNCY=USD","FA_ADJUSTED=Y")</f>
        <v>#NAME?</v>
      </c>
      <c r="AT28" s="36" t="e">
        <f ca="1">_xll.BDP($AD28,AT$10,"BEST_FPERIOD_OVERRIDE=1TY","EQY_FUND_CRNCY=USD","FA_ADJUSTED=Y")</f>
        <v>#NAME?</v>
      </c>
      <c r="AV28" s="1" t="s">
        <v>245</v>
      </c>
      <c r="AW28" s="1" t="s">
        <v>505</v>
      </c>
      <c r="AX28" s="36">
        <v>1794.6714999999999</v>
      </c>
      <c r="AY28" s="36">
        <v>1702.6285</v>
      </c>
      <c r="AZ28" s="36">
        <v>176.48500000000001</v>
      </c>
      <c r="BA28" s="36">
        <v>232.17500000000001</v>
      </c>
      <c r="BB28" s="36">
        <v>0.31555089667677128</v>
      </c>
      <c r="BC28" s="114">
        <v>135.33699801635743</v>
      </c>
      <c r="BD28" s="36">
        <v>78.02</v>
      </c>
      <c r="BE28" s="36">
        <v>26.834999999999997</v>
      </c>
      <c r="BF28" s="36">
        <v>86.891999999999996</v>
      </c>
      <c r="BG28" s="36">
        <v>29.446000000000002</v>
      </c>
      <c r="BH28" s="36">
        <v>-30.723999999999997</v>
      </c>
      <c r="BI28" s="36">
        <v>-31</v>
      </c>
      <c r="BJ28" s="36">
        <v>-34.695</v>
      </c>
      <c r="BK28" s="36">
        <v>-11.468</v>
      </c>
      <c r="BL28" s="36">
        <v>1334.0820000000001</v>
      </c>
    </row>
    <row r="29" spans="2:64" ht="15" x14ac:dyDescent="0.2">
      <c r="B29" s="62" t="s">
        <v>478</v>
      </c>
      <c r="C29" s="54" t="e">
        <f>VLOOKUP($B29,#REF!,COLUMNS($B29:C29),0)</f>
        <v>#REF!</v>
      </c>
      <c r="D29" s="55" t="e">
        <f>VLOOKUP($B29,#REF!,COLUMNS($B29:D29),0)</f>
        <v>#REF!</v>
      </c>
      <c r="E29" s="55" t="e">
        <f>VLOOKUP($B29,#REF!,COLUMNS($B29:E29),0)</f>
        <v>#REF!</v>
      </c>
      <c r="F29" s="56" t="e">
        <f>VLOOKUP($B29,#REF!,COLUMNS($B29:F29),0)</f>
        <v>#REF!</v>
      </c>
      <c r="G29" s="57" t="e">
        <f>VLOOKUP($B29,#REF!,COLUMNS($B29:G29),0)</f>
        <v>#REF!</v>
      </c>
      <c r="H29" s="58" t="e">
        <f>VLOOKUP($B29,#REF!,COLUMNS($B29:H29),0)</f>
        <v>#REF!</v>
      </c>
      <c r="I29" s="59" t="e">
        <f>VLOOKUP($B29,#REF!,COLUMNS($B29:I29),0)</f>
        <v>#REF!</v>
      </c>
      <c r="J29" s="60" t="e">
        <f>VLOOKUP($B29,#REF!,COLUMNS($B29:J29),0)</f>
        <v>#REF!</v>
      </c>
      <c r="K29" s="60" t="e">
        <f>VLOOKUP($B29,#REF!,COLUMNS($B29:K29),0)</f>
        <v>#REF!</v>
      </c>
      <c r="L29" s="61" t="e">
        <f>VLOOKUP($B29,#REF!,COLUMNS($B29:L29),0)</f>
        <v>#REF!</v>
      </c>
      <c r="M29" s="61" t="e">
        <f>VLOOKUP($B29,#REF!,COLUMNS($B29:M29),0)</f>
        <v>#REF!</v>
      </c>
      <c r="AD29" s="97" t="s">
        <v>562</v>
      </c>
      <c r="AE29" s="36" t="e">
        <f ca="1">_xll.BDP($AD29,AE$10)</f>
        <v>#NAME?</v>
      </c>
      <c r="AF29" s="36" t="e">
        <f ca="1">_xll.BDH($AD29,AF$10,$C$5,$C$5,"EQY_FUND_CRNCY=USD")</f>
        <v>#NAME?</v>
      </c>
      <c r="AG29" s="36" t="e">
        <f ca="1">_xll.BDH($AD29,AG$10,$C$5,$C$5,"EQY_FUND_CRNCY=USD")</f>
        <v>#NAME?</v>
      </c>
      <c r="AH29" s="36"/>
      <c r="AI29" s="36" t="e">
        <f ca="1">_xll.BDP($AD29,AI$10,"EQY_FUND_CRNCY=USD","FA_ADJUSTED=Y")</f>
        <v>#NAME?</v>
      </c>
      <c r="AJ29" s="36" t="e">
        <f ca="1">_xll.BDP($AD29,AJ$10,"BEST_FPERIOD_OVERRIDE=1TY","EQY_FUND_CRNCY=USD","FA_ADJUSTED=Y")</f>
        <v>#NAME?</v>
      </c>
      <c r="AK29" s="44" t="e">
        <f t="shared" ca="1" si="1"/>
        <v>#NAME?</v>
      </c>
      <c r="AL29" s="36" t="e">
        <f ca="1">_xll.BDP($AD29,AL$10,"EQY_FUND_CRNCY=USD","FA_ADJUSTED=Y")</f>
        <v>#NAME?</v>
      </c>
      <c r="AM29" s="36" t="e">
        <f ca="1">_xll.BDP($AD29,AM$10,"BEST_FPERIOD_OVERRIDE=1TY","EQY_FUND_CRNCY=USD","FA_ADJUSTED=Y")</f>
        <v>#NAME?</v>
      </c>
      <c r="AN29" s="36" t="e">
        <f ca="1">_xll.BDP($AD29,AN$10,"BEST_FPERIOD_OVERRIDE=1TY","EQY_FUND_CRNCY=USD","FA_ADJUSTED=Y")</f>
        <v>#NAME?</v>
      </c>
      <c r="AO29" s="36" t="e">
        <f ca="1">_xll.BDP($AD29,AO$10,"BEST_FPERIOD_OVERRIDE=1TY","EQY_FUND_CRNCY=USD","FA_ADJUSTED=Y")</f>
        <v>#NAME?</v>
      </c>
      <c r="AP29" s="36" t="e">
        <f ca="1">_xll.BDP($AD29,AP$10,"BEST_FPERIOD_OVERRIDE=1TY","EQY_FUND_CRNCY=USD","FA_ADJUSTED=Y")</f>
        <v>#NAME?</v>
      </c>
      <c r="AQ29" s="36" t="e">
        <f ca="1">_xll.BDP($AD29,AQ$10,"EQY_FUND_CRNCY=USD","FA_ADJUSTED=Y")</f>
        <v>#NAME?</v>
      </c>
      <c r="AR29" s="36" t="e">
        <f ca="1">_xll.BDP($AD29,AR$10,"BEST_FPERIOD_OVERRIDE=1TY","EQY_FUND_CRNCY=USD","FA_ADJUSTED=Y")</f>
        <v>#NAME?</v>
      </c>
      <c r="AS29" s="36" t="e">
        <f ca="1">_xll.BDP($AD29,AS$10,"EQY_FUND_CRNCY=USD","FA_ADJUSTED=Y")</f>
        <v>#NAME?</v>
      </c>
      <c r="AT29" s="36" t="e">
        <f ca="1">_xll.BDP($AD29,AT$10,"BEST_FPERIOD_OVERRIDE=1TY","EQY_FUND_CRNCY=USD","FA_ADJUSTED=Y")</f>
        <v>#NAME?</v>
      </c>
      <c r="AV29" s="1" t="s">
        <v>562</v>
      </c>
      <c r="AW29" s="1" t="s">
        <v>495</v>
      </c>
      <c r="AX29" s="36">
        <v>5950.6468000000004</v>
      </c>
      <c r="AY29" s="36">
        <v>5523.6818000000003</v>
      </c>
      <c r="AZ29" s="36">
        <v>507.88499999999999</v>
      </c>
      <c r="BA29" s="36">
        <v>667.96900000000005</v>
      </c>
      <c r="BB29" s="36">
        <v>0.31519733798005456</v>
      </c>
      <c r="BC29" s="114">
        <v>356.01800524902342</v>
      </c>
      <c r="BD29" s="36">
        <v>73.061000000000007</v>
      </c>
      <c r="BE29" s="36">
        <v>115.291</v>
      </c>
      <c r="BF29" s="36">
        <v>220.74199999999999</v>
      </c>
      <c r="BG29" s="36">
        <v>81.680000000000007</v>
      </c>
      <c r="BH29" s="36">
        <v>-86.045139240506003</v>
      </c>
      <c r="BI29" s="36">
        <v>50.771999999999998</v>
      </c>
      <c r="BJ29" s="36">
        <v>-115.405</v>
      </c>
      <c r="BK29" s="36">
        <v>25.371000000000002</v>
      </c>
      <c r="BL29" s="36">
        <v>429.976</v>
      </c>
    </row>
    <row r="30" spans="2:64" ht="15" x14ac:dyDescent="0.2">
      <c r="B30" s="62" t="s">
        <v>479</v>
      </c>
      <c r="C30" s="54" t="e">
        <f>VLOOKUP($B30,#REF!,COLUMNS($B30:C30),0)</f>
        <v>#REF!</v>
      </c>
      <c r="D30" s="55" t="e">
        <f>VLOOKUP($B30,#REF!,COLUMNS($B30:D30),0)</f>
        <v>#REF!</v>
      </c>
      <c r="E30" s="55" t="e">
        <f>VLOOKUP($B30,#REF!,COLUMNS($B30:E30),0)</f>
        <v>#REF!</v>
      </c>
      <c r="F30" s="56" t="e">
        <f>VLOOKUP($B30,#REF!,COLUMNS($B30:F30),0)</f>
        <v>#REF!</v>
      </c>
      <c r="G30" s="57" t="e">
        <f>VLOOKUP($B30,#REF!,COLUMNS($B30:G30),0)</f>
        <v>#REF!</v>
      </c>
      <c r="H30" s="58" t="e">
        <f>VLOOKUP($B30,#REF!,COLUMNS($B30:H30),0)</f>
        <v>#REF!</v>
      </c>
      <c r="I30" s="59" t="e">
        <f>VLOOKUP($B30,#REF!,COLUMNS($B30:I30),0)</f>
        <v>#REF!</v>
      </c>
      <c r="J30" s="60" t="e">
        <f>VLOOKUP($B30,#REF!,COLUMNS($B30:J30),0)</f>
        <v>#REF!</v>
      </c>
      <c r="K30" s="60" t="e">
        <f>VLOOKUP($B30,#REF!,COLUMNS($B30:K30),0)</f>
        <v>#REF!</v>
      </c>
      <c r="L30" s="61" t="e">
        <f>VLOOKUP($B30,#REF!,COLUMNS($B30:L30),0)</f>
        <v>#REF!</v>
      </c>
      <c r="M30" s="61" t="e">
        <f>VLOOKUP($B30,#REF!,COLUMNS($B30:M30),0)</f>
        <v>#REF!</v>
      </c>
      <c r="AD30" s="113" t="s">
        <v>563</v>
      </c>
      <c r="AE30" s="36" t="e">
        <f ca="1">_xll.BDP($AD30,AE$10)</f>
        <v>#NAME?</v>
      </c>
      <c r="AF30" s="36" t="e">
        <f ca="1">_xll.BDH($AD30,AF$10,$C$5,$C$5,"EQY_FUND_CRNCY=USD")</f>
        <v>#NAME?</v>
      </c>
      <c r="AG30" s="36" t="e">
        <f ca="1">_xll.BDH($AD30,AG$10,$C$5,$C$5,"EQY_FUND_CRNCY=USD")</f>
        <v>#NAME?</v>
      </c>
      <c r="AH30" s="36"/>
      <c r="AI30" s="36" t="e">
        <f ca="1">_xll.BDP($AD30,AI$10,"EQY_FUND_CRNCY=USD","FA_ADJUSTED=Y")</f>
        <v>#NAME?</v>
      </c>
      <c r="AJ30" s="36" t="e">
        <f ca="1">_xll.BDP($AD30,AJ$10,"BEST_FPERIOD_OVERRIDE=1TY","EQY_FUND_CRNCY=USD","FA_ADJUSTED=Y")</f>
        <v>#NAME?</v>
      </c>
      <c r="AK30" s="44" t="e">
        <f t="shared" ca="1" si="1"/>
        <v>#NAME?</v>
      </c>
      <c r="AL30" s="36" t="e">
        <f ca="1">_xll.BDP($AD30,AL$10,"EQY_FUND_CRNCY=USD","FA_ADJUSTED=Y")</f>
        <v>#NAME?</v>
      </c>
      <c r="AM30" s="36" t="e">
        <f ca="1">_xll.BDP($AD30,AM$10,"BEST_FPERIOD_OVERRIDE=1TY","EQY_FUND_CRNCY=USD","FA_ADJUSTED=Y")</f>
        <v>#NAME?</v>
      </c>
      <c r="AN30" s="36" t="e">
        <f ca="1">_xll.BDP($AD30,AN$10,"BEST_FPERIOD_OVERRIDE=1TY","EQY_FUND_CRNCY=USD","FA_ADJUSTED=Y")</f>
        <v>#NAME?</v>
      </c>
      <c r="AO30" s="36" t="e">
        <f ca="1">_xll.BDP($AD30,AO$10,"BEST_FPERIOD_OVERRIDE=1TY","EQY_FUND_CRNCY=USD","FA_ADJUSTED=Y")</f>
        <v>#NAME?</v>
      </c>
      <c r="AP30" s="36" t="e">
        <f ca="1">_xll.BDP($AD30,AP$10,"BEST_FPERIOD_OVERRIDE=1TY","EQY_FUND_CRNCY=USD","FA_ADJUSTED=Y")</f>
        <v>#NAME?</v>
      </c>
      <c r="AQ30" s="36" t="e">
        <f ca="1">_xll.BDP($AD30,AQ$10,"EQY_FUND_CRNCY=USD","FA_ADJUSTED=Y")</f>
        <v>#NAME?</v>
      </c>
      <c r="AR30" s="36" t="e">
        <f ca="1">_xll.BDP($AD30,AR$10,"BEST_FPERIOD_OVERRIDE=1TY","EQY_FUND_CRNCY=USD","FA_ADJUSTED=Y")</f>
        <v>#NAME?</v>
      </c>
      <c r="AS30" s="36" t="e">
        <f ca="1">_xll.BDP($AD30,AS$10,"EQY_FUND_CRNCY=USD","FA_ADJUSTED=Y")</f>
        <v>#NAME?</v>
      </c>
      <c r="AT30" s="36" t="e">
        <f ca="1">_xll.BDP($AD30,AT$10,"BEST_FPERIOD_OVERRIDE=1TY","EQY_FUND_CRNCY=USD","FA_ADJUSTED=Y")</f>
        <v>#NAME?</v>
      </c>
      <c r="AV30" s="1" t="s">
        <v>563</v>
      </c>
      <c r="AW30" s="1" t="s">
        <v>614</v>
      </c>
      <c r="AX30" s="36">
        <v>4505.2147000000004</v>
      </c>
      <c r="AY30" s="36">
        <v>4154.2816999999995</v>
      </c>
      <c r="AZ30" s="36">
        <v>513.48300000000006</v>
      </c>
      <c r="BA30" s="36">
        <v>674.78300000000002</v>
      </c>
      <c r="BB30" s="36">
        <v>0.31412919220305247</v>
      </c>
      <c r="BC30" s="114">
        <v>418.44500848388674</v>
      </c>
      <c r="BD30" s="36">
        <v>79.989000000000004</v>
      </c>
      <c r="BE30" s="36">
        <v>153.63499999999999</v>
      </c>
      <c r="BF30" s="36">
        <v>204.435</v>
      </c>
      <c r="BG30" s="36">
        <v>48.186</v>
      </c>
      <c r="BH30" s="36">
        <v>-27.757000000000005</v>
      </c>
      <c r="BI30" s="36">
        <v>129.18800000000002</v>
      </c>
      <c r="BJ30" s="36">
        <v>-41.129518560316001</v>
      </c>
      <c r="BK30" s="36">
        <v>54.325000000000003</v>
      </c>
      <c r="BL30" s="36">
        <v>272.8</v>
      </c>
    </row>
    <row r="31" spans="2:64" ht="15" x14ac:dyDescent="0.2">
      <c r="B31" s="62" t="s">
        <v>481</v>
      </c>
      <c r="C31" s="54" t="e">
        <f>VLOOKUP($B31,#REF!,COLUMNS($B31:C31),0)</f>
        <v>#REF!</v>
      </c>
      <c r="D31" s="55" t="e">
        <f>VLOOKUP($B31,#REF!,COLUMNS($B31:D31),0)</f>
        <v>#REF!</v>
      </c>
      <c r="E31" s="55" t="e">
        <f>VLOOKUP($B31,#REF!,COLUMNS($B31:E31),0)</f>
        <v>#REF!</v>
      </c>
      <c r="F31" s="56" t="e">
        <f>VLOOKUP($B31,#REF!,COLUMNS($B31:F31),0)</f>
        <v>#REF!</v>
      </c>
      <c r="G31" s="57" t="e">
        <f>VLOOKUP($B31,#REF!,COLUMNS($B31:G31),0)</f>
        <v>#REF!</v>
      </c>
      <c r="H31" s="58" t="e">
        <f>VLOOKUP($B31,#REF!,COLUMNS($B31:H31),0)</f>
        <v>#REF!</v>
      </c>
      <c r="I31" s="59" t="e">
        <f>VLOOKUP($B31,#REF!,COLUMNS($B31:I31),0)</f>
        <v>#REF!</v>
      </c>
      <c r="J31" s="60" t="e">
        <f>VLOOKUP($B31,#REF!,COLUMNS($B31:J31),0)</f>
        <v>#REF!</v>
      </c>
      <c r="K31" s="60" t="e">
        <f>VLOOKUP($B31,#REF!,COLUMNS($B31:K31),0)</f>
        <v>#REF!</v>
      </c>
      <c r="L31" s="61" t="e">
        <f>VLOOKUP($B31,#REF!,COLUMNS($B31:L31),0)</f>
        <v>#REF!</v>
      </c>
      <c r="M31" s="61" t="e">
        <f>VLOOKUP($B31,#REF!,COLUMNS($B31:M31),0)</f>
        <v>#REF!</v>
      </c>
      <c r="AD31" s="97" t="s">
        <v>564</v>
      </c>
      <c r="AE31" s="36" t="e">
        <f ca="1">_xll.BDP($AD31,AE$10)</f>
        <v>#NAME?</v>
      </c>
      <c r="AF31" s="36" t="e">
        <f ca="1">_xll.BDH($AD31,AF$10,$C$5,$C$5,"EQY_FUND_CRNCY=USD")</f>
        <v>#NAME?</v>
      </c>
      <c r="AG31" s="36" t="e">
        <f ca="1">_xll.BDH($AD31,AG$10,$C$5,$C$5,"EQY_FUND_CRNCY=USD")</f>
        <v>#NAME?</v>
      </c>
      <c r="AH31" s="36"/>
      <c r="AI31" s="36" t="e">
        <f ca="1">_xll.BDP($AD31,AI$10,"EQY_FUND_CRNCY=USD","FA_ADJUSTED=Y")</f>
        <v>#NAME?</v>
      </c>
      <c r="AJ31" s="36" t="e">
        <f ca="1">_xll.BDP($AD31,AJ$10,"BEST_FPERIOD_OVERRIDE=1TY","EQY_FUND_CRNCY=USD","FA_ADJUSTED=Y")</f>
        <v>#NAME?</v>
      </c>
      <c r="AK31" s="44" t="e">
        <f t="shared" ca="1" si="1"/>
        <v>#NAME?</v>
      </c>
      <c r="AL31" s="36" t="e">
        <f ca="1">_xll.BDP($AD31,AL$10,"EQY_FUND_CRNCY=USD","FA_ADJUSTED=Y")</f>
        <v>#NAME?</v>
      </c>
      <c r="AM31" s="36" t="e">
        <f ca="1">_xll.BDP($AD31,AM$10,"BEST_FPERIOD_OVERRIDE=1TY","EQY_FUND_CRNCY=USD","FA_ADJUSTED=Y")</f>
        <v>#NAME?</v>
      </c>
      <c r="AN31" s="36" t="e">
        <f ca="1">_xll.BDP($AD31,AN$10,"BEST_FPERIOD_OVERRIDE=1TY","EQY_FUND_CRNCY=USD","FA_ADJUSTED=Y")</f>
        <v>#NAME?</v>
      </c>
      <c r="AO31" s="36" t="e">
        <f ca="1">_xll.BDP($AD31,AO$10,"BEST_FPERIOD_OVERRIDE=1TY","EQY_FUND_CRNCY=USD","FA_ADJUSTED=Y")</f>
        <v>#NAME?</v>
      </c>
      <c r="AP31" s="36" t="e">
        <f ca="1">_xll.BDP($AD31,AP$10,"BEST_FPERIOD_OVERRIDE=1TY","EQY_FUND_CRNCY=USD","FA_ADJUSTED=Y")</f>
        <v>#NAME?</v>
      </c>
      <c r="AQ31" s="36" t="e">
        <f ca="1">_xll.BDP($AD31,AQ$10,"EQY_FUND_CRNCY=USD","FA_ADJUSTED=Y")</f>
        <v>#NAME?</v>
      </c>
      <c r="AR31" s="36" t="e">
        <f ca="1">_xll.BDP($AD31,AR$10,"BEST_FPERIOD_OVERRIDE=1TY","EQY_FUND_CRNCY=USD","FA_ADJUSTED=Y")</f>
        <v>#NAME?</v>
      </c>
      <c r="AS31" s="36" t="e">
        <f ca="1">_xll.BDP($AD31,AS$10,"EQY_FUND_CRNCY=USD","FA_ADJUSTED=Y")</f>
        <v>#NAME?</v>
      </c>
      <c r="AT31" s="36" t="e">
        <f ca="1">_xll.BDP($AD31,AT$10,"BEST_FPERIOD_OVERRIDE=1TY","EQY_FUND_CRNCY=USD","FA_ADJUSTED=Y")</f>
        <v>#NAME?</v>
      </c>
      <c r="AV31" s="1" t="s">
        <v>564</v>
      </c>
      <c r="AW31" s="1" t="s">
        <v>614</v>
      </c>
      <c r="AX31" s="36">
        <v>5863.1256000000003</v>
      </c>
      <c r="AY31" s="36">
        <v>5590.6315999999997</v>
      </c>
      <c r="AZ31" s="36">
        <v>324.19499999999999</v>
      </c>
      <c r="BA31" s="36">
        <v>424.09399999999999</v>
      </c>
      <c r="BB31" s="36">
        <v>0.30814478940144041</v>
      </c>
      <c r="BC31" s="114">
        <v>228.25000210571289</v>
      </c>
      <c r="BD31" s="36">
        <v>73.820000000000007</v>
      </c>
      <c r="BE31" s="36">
        <v>70.820999999999998</v>
      </c>
      <c r="BF31" s="36">
        <v>172.97300000000001</v>
      </c>
      <c r="BG31" s="36">
        <v>51.802999999999997</v>
      </c>
      <c r="BH31" s="36">
        <v>-116.569</v>
      </c>
      <c r="BI31" s="36">
        <v>-43.852000000000004</v>
      </c>
      <c r="BJ31" s="36">
        <v>-123.625</v>
      </c>
      <c r="BK31" s="36">
        <v>-49.316000000000003</v>
      </c>
      <c r="BL31" s="36">
        <v>1049.039</v>
      </c>
    </row>
    <row r="32" spans="2:64" ht="15" x14ac:dyDescent="0.2">
      <c r="B32" s="62" t="s">
        <v>482</v>
      </c>
      <c r="C32" s="54" t="e">
        <f>VLOOKUP($B32,#REF!,COLUMNS($B32:C32),0)</f>
        <v>#REF!</v>
      </c>
      <c r="D32" s="55" t="e">
        <f>VLOOKUP($B32,#REF!,COLUMNS($B32:D32),0)</f>
        <v>#REF!</v>
      </c>
      <c r="E32" s="55" t="e">
        <f>VLOOKUP($B32,#REF!,COLUMNS($B32:E32),0)</f>
        <v>#REF!</v>
      </c>
      <c r="F32" s="56" t="e">
        <f>VLOOKUP($B32,#REF!,COLUMNS($B32:F32),0)</f>
        <v>#REF!</v>
      </c>
      <c r="G32" s="57" t="e">
        <f>VLOOKUP($B32,#REF!,COLUMNS($B32:G32),0)</f>
        <v>#REF!</v>
      </c>
      <c r="H32" s="58" t="e">
        <f>VLOOKUP($B32,#REF!,COLUMNS($B32:H32),0)</f>
        <v>#REF!</v>
      </c>
      <c r="I32" s="59" t="e">
        <f>VLOOKUP($B32,#REF!,COLUMNS($B32:I32),0)</f>
        <v>#REF!</v>
      </c>
      <c r="J32" s="60" t="e">
        <f>VLOOKUP($B32,#REF!,COLUMNS($B32:J32),0)</f>
        <v>#REF!</v>
      </c>
      <c r="K32" s="60" t="e">
        <f>VLOOKUP($B32,#REF!,COLUMNS($B32:K32),0)</f>
        <v>#REF!</v>
      </c>
      <c r="L32" s="61" t="e">
        <f>VLOOKUP($B32,#REF!,COLUMNS($B32:L32),0)</f>
        <v>#REF!</v>
      </c>
      <c r="M32" s="61" t="e">
        <f>VLOOKUP($B32,#REF!,COLUMNS($B32:M32),0)</f>
        <v>#REF!</v>
      </c>
      <c r="AD32" s="97" t="s">
        <v>565</v>
      </c>
      <c r="AE32" s="36" t="e">
        <f ca="1">_xll.BDP($AD32,AE$10)</f>
        <v>#NAME?</v>
      </c>
      <c r="AF32" s="36" t="e">
        <f ca="1">_xll.BDH($AD32,AF$10,$C$5,$C$5,"EQY_FUND_CRNCY=USD")</f>
        <v>#NAME?</v>
      </c>
      <c r="AG32" s="36" t="e">
        <f ca="1">_xll.BDH($AD32,AG$10,$C$5,$C$5,"EQY_FUND_CRNCY=USD")</f>
        <v>#NAME?</v>
      </c>
      <c r="AH32" s="36"/>
      <c r="AI32" s="36" t="e">
        <f ca="1">_xll.BDP($AD32,AI$10,"EQY_FUND_CRNCY=USD","FA_ADJUSTED=Y")</f>
        <v>#NAME?</v>
      </c>
      <c r="AJ32" s="36" t="e">
        <f ca="1">_xll.BDP($AD32,AJ$10,"BEST_FPERIOD_OVERRIDE=1TY","EQY_FUND_CRNCY=USD","FA_ADJUSTED=Y")</f>
        <v>#NAME?</v>
      </c>
      <c r="AK32" s="44" t="e">
        <f t="shared" ca="1" si="1"/>
        <v>#NAME?</v>
      </c>
      <c r="AL32" s="36" t="e">
        <f ca="1">_xll.BDP($AD32,AL$10,"EQY_FUND_CRNCY=USD","FA_ADJUSTED=Y")</f>
        <v>#NAME?</v>
      </c>
      <c r="AM32" s="36" t="e">
        <f ca="1">_xll.BDP($AD32,AM$10,"BEST_FPERIOD_OVERRIDE=1TY","EQY_FUND_CRNCY=USD","FA_ADJUSTED=Y")</f>
        <v>#NAME?</v>
      </c>
      <c r="AN32" s="36" t="e">
        <f ca="1">_xll.BDP($AD32,AN$10,"BEST_FPERIOD_OVERRIDE=1TY","EQY_FUND_CRNCY=USD","FA_ADJUSTED=Y")</f>
        <v>#NAME?</v>
      </c>
      <c r="AO32" s="36" t="e">
        <f ca="1">_xll.BDP($AD32,AO$10,"BEST_FPERIOD_OVERRIDE=1TY","EQY_FUND_CRNCY=USD","FA_ADJUSTED=Y")</f>
        <v>#NAME?</v>
      </c>
      <c r="AP32" s="36" t="e">
        <f ca="1">_xll.BDP($AD32,AP$10,"BEST_FPERIOD_OVERRIDE=1TY","EQY_FUND_CRNCY=USD","FA_ADJUSTED=Y")</f>
        <v>#NAME?</v>
      </c>
      <c r="AQ32" s="36" t="e">
        <f ca="1">_xll.BDP($AD32,AQ$10,"EQY_FUND_CRNCY=USD","FA_ADJUSTED=Y")</f>
        <v>#NAME?</v>
      </c>
      <c r="AR32" s="36" t="e">
        <f ca="1">_xll.BDP($AD32,AR$10,"BEST_FPERIOD_OVERRIDE=1TY","EQY_FUND_CRNCY=USD","FA_ADJUSTED=Y")</f>
        <v>#NAME?</v>
      </c>
      <c r="AS32" s="36" t="e">
        <f ca="1">_xll.BDP($AD32,AS$10,"EQY_FUND_CRNCY=USD","FA_ADJUSTED=Y")</f>
        <v>#NAME?</v>
      </c>
      <c r="AT32" s="36" t="e">
        <f ca="1">_xll.BDP($AD32,AT$10,"BEST_FPERIOD_OVERRIDE=1TY","EQY_FUND_CRNCY=USD","FA_ADJUSTED=Y")</f>
        <v>#NAME?</v>
      </c>
      <c r="AV32" s="1" t="s">
        <v>565</v>
      </c>
      <c r="AW32" s="1" t="s">
        <v>505</v>
      </c>
      <c r="AX32" s="36">
        <v>30308.822100000001</v>
      </c>
      <c r="AY32" s="36">
        <v>29416.295099999999</v>
      </c>
      <c r="AZ32" s="36">
        <v>2264.8180000000002</v>
      </c>
      <c r="BA32" s="36">
        <v>2957.73</v>
      </c>
      <c r="BB32" s="36">
        <v>0.30594599654365151</v>
      </c>
      <c r="BC32" s="114">
        <v>1706.5400173339845</v>
      </c>
      <c r="BD32" s="36">
        <v>79.881</v>
      </c>
      <c r="BE32" s="36">
        <v>377.51799999999997</v>
      </c>
      <c r="BF32" s="36">
        <v>946.61699999999996</v>
      </c>
      <c r="BG32" s="36">
        <v>210.53299999999999</v>
      </c>
      <c r="BH32" s="36">
        <v>59.362000000000002</v>
      </c>
      <c r="BI32" s="36">
        <v>778.80000000000007</v>
      </c>
      <c r="BJ32" s="36">
        <v>-89.498374022804001</v>
      </c>
      <c r="BK32" s="36">
        <v>496.71600000000001</v>
      </c>
      <c r="BL32" s="36">
        <v>679.60699999999997</v>
      </c>
    </row>
    <row r="33" spans="1:64" ht="15" x14ac:dyDescent="0.2">
      <c r="B33" s="63"/>
      <c r="C33" s="63"/>
      <c r="D33" s="63"/>
      <c r="E33" s="63"/>
      <c r="F33" s="63"/>
      <c r="G33" s="64" t="s">
        <v>483</v>
      </c>
      <c r="H33" s="29" t="e">
        <f t="shared" ref="H33:M33" si="3">AVERAGE(H16:H32)</f>
        <v>#REF!</v>
      </c>
      <c r="I33" s="30" t="e">
        <f t="shared" si="3"/>
        <v>#REF!</v>
      </c>
      <c r="J33" s="32" t="e">
        <f t="shared" si="3"/>
        <v>#REF!</v>
      </c>
      <c r="K33" s="32" t="e">
        <f t="shared" si="3"/>
        <v>#REF!</v>
      </c>
      <c r="L33" s="33" t="e">
        <f t="shared" si="3"/>
        <v>#REF!</v>
      </c>
      <c r="M33" s="33" t="e">
        <f t="shared" si="3"/>
        <v>#REF!</v>
      </c>
      <c r="AD33" s="97" t="s">
        <v>566</v>
      </c>
      <c r="AE33" s="36" t="e">
        <f ca="1">_xll.BDP($AD33,AE$10)</f>
        <v>#NAME?</v>
      </c>
      <c r="AF33" s="36" t="e">
        <f ca="1">_xll.BDH($AD33,AF$10,$C$5,$C$5,"EQY_FUND_CRNCY=USD")</f>
        <v>#NAME?</v>
      </c>
      <c r="AG33" s="36" t="e">
        <f ca="1">_xll.BDH($AD33,AG$10,$C$5,$C$5,"EQY_FUND_CRNCY=USD")</f>
        <v>#NAME?</v>
      </c>
      <c r="AH33" s="36"/>
      <c r="AI33" s="36" t="e">
        <f ca="1">_xll.BDP($AD33,AI$10,"EQY_FUND_CRNCY=USD","FA_ADJUSTED=Y")</f>
        <v>#NAME?</v>
      </c>
      <c r="AJ33" s="36" t="e">
        <f ca="1">_xll.BDP($AD33,AJ$10,"BEST_FPERIOD_OVERRIDE=1TY","EQY_FUND_CRNCY=USD","FA_ADJUSTED=Y")</f>
        <v>#NAME?</v>
      </c>
      <c r="AK33" s="44" t="e">
        <f t="shared" ca="1" si="1"/>
        <v>#NAME?</v>
      </c>
      <c r="AL33" s="36" t="e">
        <f ca="1">_xll.BDP($AD33,AL$10,"EQY_FUND_CRNCY=USD","FA_ADJUSTED=Y")</f>
        <v>#NAME?</v>
      </c>
      <c r="AM33" s="36" t="e">
        <f ca="1">_xll.BDP($AD33,AM$10,"BEST_FPERIOD_OVERRIDE=1TY","EQY_FUND_CRNCY=USD","FA_ADJUSTED=Y")</f>
        <v>#NAME?</v>
      </c>
      <c r="AN33" s="36" t="e">
        <f ca="1">_xll.BDP($AD33,AN$10,"BEST_FPERIOD_OVERRIDE=1TY","EQY_FUND_CRNCY=USD","FA_ADJUSTED=Y")</f>
        <v>#NAME?</v>
      </c>
      <c r="AO33" s="36" t="e">
        <f ca="1">_xll.BDP($AD33,AO$10,"BEST_FPERIOD_OVERRIDE=1TY","EQY_FUND_CRNCY=USD","FA_ADJUSTED=Y")</f>
        <v>#NAME?</v>
      </c>
      <c r="AP33" s="36" t="e">
        <f ca="1">_xll.BDP($AD33,AP$10,"BEST_FPERIOD_OVERRIDE=1TY","EQY_FUND_CRNCY=USD","FA_ADJUSTED=Y")</f>
        <v>#NAME?</v>
      </c>
      <c r="AQ33" s="36" t="e">
        <f ca="1">_xll.BDP($AD33,AQ$10,"EQY_FUND_CRNCY=USD","FA_ADJUSTED=Y")</f>
        <v>#NAME?</v>
      </c>
      <c r="AR33" s="36" t="e">
        <f ca="1">_xll.BDP($AD33,AR$10,"BEST_FPERIOD_OVERRIDE=1TY","EQY_FUND_CRNCY=USD","FA_ADJUSTED=Y")</f>
        <v>#NAME?</v>
      </c>
      <c r="AS33" s="36" t="e">
        <f ca="1">_xll.BDP($AD33,AS$10,"EQY_FUND_CRNCY=USD","FA_ADJUSTED=Y")</f>
        <v>#NAME?</v>
      </c>
      <c r="AT33" s="36" t="e">
        <f ca="1">_xll.BDP($AD33,AT$10,"BEST_FPERIOD_OVERRIDE=1TY","EQY_FUND_CRNCY=USD","FA_ADJUSTED=Y")</f>
        <v>#NAME?</v>
      </c>
      <c r="AV33" s="1" t="s">
        <v>566</v>
      </c>
      <c r="AW33" s="1" t="s">
        <v>495</v>
      </c>
      <c r="AX33" s="36">
        <v>16064.752</v>
      </c>
      <c r="AY33" s="36">
        <v>15097.696</v>
      </c>
      <c r="AZ33" s="36">
        <v>947.42399999999998</v>
      </c>
      <c r="BA33" s="36">
        <v>1254.6490000000001</v>
      </c>
      <c r="BB33" s="36">
        <v>0.32427403147904221</v>
      </c>
      <c r="BC33" s="114">
        <v>769.6390129394531</v>
      </c>
      <c r="BD33" s="36">
        <v>85.930999999999997</v>
      </c>
      <c r="BE33" s="36">
        <v>415.77599999999995</v>
      </c>
      <c r="BF33" s="36">
        <v>187.99</v>
      </c>
      <c r="BG33" s="36">
        <v>151.24199999999999</v>
      </c>
      <c r="BH33" s="36">
        <v>43.517999999999994</v>
      </c>
      <c r="BI33" s="36">
        <v>323.28500000000003</v>
      </c>
      <c r="BJ33" s="36">
        <v>-301.38798999999995</v>
      </c>
      <c r="BK33" s="36">
        <v>205.11199999999999</v>
      </c>
      <c r="BL33" s="36">
        <v>1452.2719999999999</v>
      </c>
    </row>
    <row r="34" spans="1:64" ht="15" x14ac:dyDescent="0.2">
      <c r="B34" s="63"/>
      <c r="C34" s="63"/>
      <c r="D34" s="63"/>
      <c r="E34" s="63"/>
      <c r="F34" s="63"/>
      <c r="G34" s="64" t="s">
        <v>484</v>
      </c>
      <c r="H34" s="29" t="e">
        <f t="shared" ref="H34:M34" si="4">MEDIAN(H16:H32)</f>
        <v>#REF!</v>
      </c>
      <c r="I34" s="30" t="e">
        <f t="shared" si="4"/>
        <v>#REF!</v>
      </c>
      <c r="J34" s="32" t="e">
        <f t="shared" si="4"/>
        <v>#REF!</v>
      </c>
      <c r="K34" s="32" t="e">
        <f t="shared" si="4"/>
        <v>#REF!</v>
      </c>
      <c r="L34" s="33" t="e">
        <f t="shared" si="4"/>
        <v>#REF!</v>
      </c>
      <c r="M34" s="33" t="e">
        <f t="shared" si="4"/>
        <v>#REF!</v>
      </c>
      <c r="AD34" s="97" t="s">
        <v>567</v>
      </c>
      <c r="AE34" s="36" t="e">
        <f ca="1">_xll.BDP($AD34,AE$10)</f>
        <v>#NAME?</v>
      </c>
      <c r="AF34" s="36" t="e">
        <f ca="1">_xll.BDH($AD34,AF$10,$C$5,$C$5,"EQY_FUND_CRNCY=USD")</f>
        <v>#NAME?</v>
      </c>
      <c r="AG34" s="36" t="e">
        <f ca="1">_xll.BDH($AD34,AG$10,$C$5,$C$5,"EQY_FUND_CRNCY=USD")</f>
        <v>#NAME?</v>
      </c>
      <c r="AH34" s="36"/>
      <c r="AI34" s="36" t="e">
        <f ca="1">_xll.BDP($AD34,AI$10,"EQY_FUND_CRNCY=USD","FA_ADJUSTED=Y")</f>
        <v>#NAME?</v>
      </c>
      <c r="AJ34" s="36" t="e">
        <f ca="1">_xll.BDP($AD34,AJ$10,"BEST_FPERIOD_OVERRIDE=1TY","EQY_FUND_CRNCY=USD","FA_ADJUSTED=Y")</f>
        <v>#NAME?</v>
      </c>
      <c r="AK34" s="44" t="e">
        <f t="shared" ca="1" si="1"/>
        <v>#NAME?</v>
      </c>
      <c r="AL34" s="36" t="e">
        <f ca="1">_xll.BDP($AD34,AL$10,"EQY_FUND_CRNCY=USD","FA_ADJUSTED=Y")</f>
        <v>#NAME?</v>
      </c>
      <c r="AM34" s="36" t="e">
        <f ca="1">_xll.BDP($AD34,AM$10,"BEST_FPERIOD_OVERRIDE=1TY","EQY_FUND_CRNCY=USD","FA_ADJUSTED=Y")</f>
        <v>#NAME?</v>
      </c>
      <c r="AN34" s="36" t="e">
        <f ca="1">_xll.BDP($AD34,AN$10,"BEST_FPERIOD_OVERRIDE=1TY","EQY_FUND_CRNCY=USD","FA_ADJUSTED=Y")</f>
        <v>#NAME?</v>
      </c>
      <c r="AO34" s="36" t="e">
        <f ca="1">_xll.BDP($AD34,AO$10,"BEST_FPERIOD_OVERRIDE=1TY","EQY_FUND_CRNCY=USD","FA_ADJUSTED=Y")</f>
        <v>#NAME?</v>
      </c>
      <c r="AP34" s="36" t="e">
        <f ca="1">_xll.BDP($AD34,AP$10,"BEST_FPERIOD_OVERRIDE=1TY","EQY_FUND_CRNCY=USD","FA_ADJUSTED=Y")</f>
        <v>#NAME?</v>
      </c>
      <c r="AQ34" s="36" t="e">
        <f ca="1">_xll.BDP($AD34,AQ$10,"EQY_FUND_CRNCY=USD","FA_ADJUSTED=Y")</f>
        <v>#NAME?</v>
      </c>
      <c r="AR34" s="36" t="e">
        <f ca="1">_xll.BDP($AD34,AR$10,"BEST_FPERIOD_OVERRIDE=1TY","EQY_FUND_CRNCY=USD","FA_ADJUSTED=Y")</f>
        <v>#NAME?</v>
      </c>
      <c r="AS34" s="36" t="e">
        <f ca="1">_xll.BDP($AD34,AS$10,"EQY_FUND_CRNCY=USD","FA_ADJUSTED=Y")</f>
        <v>#NAME?</v>
      </c>
      <c r="AT34" s="36" t="e">
        <f ca="1">_xll.BDP($AD34,AT$10,"BEST_FPERIOD_OVERRIDE=1TY","EQY_FUND_CRNCY=USD","FA_ADJUSTED=Y")</f>
        <v>#NAME?</v>
      </c>
      <c r="AV34" s="1" t="s">
        <v>567</v>
      </c>
      <c r="AW34" s="1" t="s">
        <v>505</v>
      </c>
      <c r="AX34" s="36">
        <v>5027.7331999999997</v>
      </c>
      <c r="AY34" s="36">
        <v>5097.7601999999997</v>
      </c>
      <c r="AZ34" s="36">
        <v>614.04600000000005</v>
      </c>
      <c r="BA34" s="36">
        <v>792.19399999999996</v>
      </c>
      <c r="BB34" s="36">
        <v>0.29012158698208257</v>
      </c>
      <c r="BC34" s="114">
        <v>439.7080033569336</v>
      </c>
      <c r="BD34" s="36">
        <v>77.510000000000005</v>
      </c>
      <c r="BE34" s="36">
        <v>129.803</v>
      </c>
      <c r="BF34" s="36">
        <v>258.83699999999999</v>
      </c>
      <c r="BG34" s="36">
        <v>52.734999999999999</v>
      </c>
      <c r="BH34" s="36">
        <v>-23.048000000000005</v>
      </c>
      <c r="BI34" s="36">
        <v>135.55000000000001</v>
      </c>
      <c r="BJ34" s="36">
        <v>-78.538188416806008</v>
      </c>
      <c r="BK34" s="36">
        <v>74.016999999999996</v>
      </c>
      <c r="BL34" s="36" t="s">
        <v>480</v>
      </c>
    </row>
    <row r="35" spans="1:64" ht="15" x14ac:dyDescent="0.2">
      <c r="B35" s="65"/>
      <c r="C35" s="65"/>
      <c r="D35" s="65"/>
      <c r="E35" s="65"/>
      <c r="F35" s="65"/>
      <c r="G35" s="64" t="s">
        <v>485</v>
      </c>
      <c r="H35" s="29" t="e">
        <f t="shared" ref="H35:M35" si="5">MAX(H16:H32)</f>
        <v>#REF!</v>
      </c>
      <c r="I35" s="30" t="e">
        <f t="shared" si="5"/>
        <v>#REF!</v>
      </c>
      <c r="J35" s="32" t="e">
        <f t="shared" si="5"/>
        <v>#REF!</v>
      </c>
      <c r="K35" s="32" t="e">
        <f t="shared" si="5"/>
        <v>#REF!</v>
      </c>
      <c r="L35" s="33" t="e">
        <f t="shared" si="5"/>
        <v>#REF!</v>
      </c>
      <c r="M35" s="33" t="e">
        <f t="shared" si="5"/>
        <v>#REF!</v>
      </c>
      <c r="AD35" s="97" t="s">
        <v>568</v>
      </c>
      <c r="AE35" s="36" t="e">
        <f ca="1">_xll.BDP($AD35,AE$10)</f>
        <v>#NAME?</v>
      </c>
      <c r="AF35" s="36" t="e">
        <f ca="1">_xll.BDH($AD35,AF$10,$C$5,$C$5,"EQY_FUND_CRNCY=USD")</f>
        <v>#NAME?</v>
      </c>
      <c r="AG35" s="36" t="e">
        <f ca="1">_xll.BDH($AD35,AG$10,$C$5,$C$5,"EQY_FUND_CRNCY=USD")</f>
        <v>#NAME?</v>
      </c>
      <c r="AH35" s="36"/>
      <c r="AI35" s="36" t="e">
        <f ca="1">_xll.BDP($AD35,AI$10,"EQY_FUND_CRNCY=USD","FA_ADJUSTED=Y")</f>
        <v>#NAME?</v>
      </c>
      <c r="AJ35" s="36" t="e">
        <f ca="1">_xll.BDP($AD35,AJ$10,"BEST_FPERIOD_OVERRIDE=1TY","EQY_FUND_CRNCY=USD","FA_ADJUSTED=Y")</f>
        <v>#NAME?</v>
      </c>
      <c r="AK35" s="44" t="e">
        <f t="shared" ca="1" si="1"/>
        <v>#NAME?</v>
      </c>
      <c r="AL35" s="36" t="e">
        <f ca="1">_xll.BDP($AD35,AL$10,"EQY_FUND_CRNCY=USD","FA_ADJUSTED=Y")</f>
        <v>#NAME?</v>
      </c>
      <c r="AM35" s="36" t="e">
        <f ca="1">_xll.BDP($AD35,AM$10,"BEST_FPERIOD_OVERRIDE=1TY","EQY_FUND_CRNCY=USD","FA_ADJUSTED=Y")</f>
        <v>#NAME?</v>
      </c>
      <c r="AN35" s="36" t="e">
        <f ca="1">_xll.BDP($AD35,AN$10,"BEST_FPERIOD_OVERRIDE=1TY","EQY_FUND_CRNCY=USD","FA_ADJUSTED=Y")</f>
        <v>#NAME?</v>
      </c>
      <c r="AO35" s="36" t="e">
        <f ca="1">_xll.BDP($AD35,AO$10,"BEST_FPERIOD_OVERRIDE=1TY","EQY_FUND_CRNCY=USD","FA_ADJUSTED=Y")</f>
        <v>#NAME?</v>
      </c>
      <c r="AP35" s="36" t="e">
        <f ca="1">_xll.BDP($AD35,AP$10,"BEST_FPERIOD_OVERRIDE=1TY","EQY_FUND_CRNCY=USD","FA_ADJUSTED=Y")</f>
        <v>#NAME?</v>
      </c>
      <c r="AQ35" s="36" t="e">
        <f ca="1">_xll.BDP($AD35,AQ$10,"EQY_FUND_CRNCY=USD","FA_ADJUSTED=Y")</f>
        <v>#NAME?</v>
      </c>
      <c r="AR35" s="36" t="e">
        <f ca="1">_xll.BDP($AD35,AR$10,"BEST_FPERIOD_OVERRIDE=1TY","EQY_FUND_CRNCY=USD","FA_ADJUSTED=Y")</f>
        <v>#NAME?</v>
      </c>
      <c r="AS35" s="36" t="e">
        <f ca="1">_xll.BDP($AD35,AS$10,"EQY_FUND_CRNCY=USD","FA_ADJUSTED=Y")</f>
        <v>#NAME?</v>
      </c>
      <c r="AT35" s="36" t="e">
        <f ca="1">_xll.BDP($AD35,AT$10,"BEST_FPERIOD_OVERRIDE=1TY","EQY_FUND_CRNCY=USD","FA_ADJUSTED=Y")</f>
        <v>#NAME?</v>
      </c>
      <c r="AV35" s="1" t="s">
        <v>568</v>
      </c>
      <c r="AW35" s="1" t="s">
        <v>495</v>
      </c>
      <c r="AX35" s="36">
        <v>26778.884699999999</v>
      </c>
      <c r="AY35" s="36">
        <v>24970.798699999999</v>
      </c>
      <c r="AZ35" s="36">
        <v>2428.232</v>
      </c>
      <c r="BA35" s="36">
        <v>3119.846</v>
      </c>
      <c r="BB35" s="36">
        <v>0.28482204336323713</v>
      </c>
      <c r="BC35" s="114">
        <v>1715.5240270996094</v>
      </c>
      <c r="BD35" s="36">
        <v>73.817999999999998</v>
      </c>
      <c r="BE35" s="36">
        <v>910.58399999999995</v>
      </c>
      <c r="BF35" s="36">
        <v>683.36699999999996</v>
      </c>
      <c r="BG35" s="36">
        <v>222.90899999999999</v>
      </c>
      <c r="BH35" s="36">
        <v>-107.83699999999999</v>
      </c>
      <c r="BI35" s="36">
        <v>502.2</v>
      </c>
      <c r="BJ35" s="36">
        <v>-334.86065359999998</v>
      </c>
      <c r="BK35" s="36">
        <v>272.8</v>
      </c>
      <c r="BL35" s="36">
        <v>1167.5</v>
      </c>
    </row>
    <row r="36" spans="1:64" ht="15" x14ac:dyDescent="0.2">
      <c r="B36" s="65"/>
      <c r="C36" s="65"/>
      <c r="D36" s="65"/>
      <c r="E36" s="65"/>
      <c r="F36" s="65"/>
      <c r="G36" s="64" t="s">
        <v>486</v>
      </c>
      <c r="H36" s="29" t="e">
        <f t="shared" ref="H36:M36" si="6">MIN(H16:H32)</f>
        <v>#REF!</v>
      </c>
      <c r="I36" s="30" t="e">
        <f t="shared" si="6"/>
        <v>#REF!</v>
      </c>
      <c r="J36" s="32" t="e">
        <f t="shared" si="6"/>
        <v>#REF!</v>
      </c>
      <c r="K36" s="32" t="e">
        <f t="shared" si="6"/>
        <v>#REF!</v>
      </c>
      <c r="L36" s="33" t="e">
        <f t="shared" si="6"/>
        <v>#REF!</v>
      </c>
      <c r="M36" s="33" t="e">
        <f t="shared" si="6"/>
        <v>#REF!</v>
      </c>
      <c r="AD36" s="97" t="s">
        <v>569</v>
      </c>
      <c r="AE36" s="36" t="e">
        <f ca="1">_xll.BDP($AD36,AE$10)</f>
        <v>#NAME?</v>
      </c>
      <c r="AF36" s="36" t="e">
        <f ca="1">_xll.BDH($AD36,AF$10,$C$5,$C$5,"EQY_FUND_CRNCY=USD")</f>
        <v>#NAME?</v>
      </c>
      <c r="AG36" s="36" t="e">
        <f ca="1">_xll.BDH($AD36,AG$10,$C$5,$C$5,"EQY_FUND_CRNCY=USD")</f>
        <v>#NAME?</v>
      </c>
      <c r="AH36" s="36"/>
      <c r="AI36" s="36" t="e">
        <f ca="1">_xll.BDP($AD36,AI$10,"EQY_FUND_CRNCY=USD","FA_ADJUSTED=Y")</f>
        <v>#NAME?</v>
      </c>
      <c r="AJ36" s="36" t="e">
        <f ca="1">_xll.BDP($AD36,AJ$10,"BEST_FPERIOD_OVERRIDE=1TY","EQY_FUND_CRNCY=USD","FA_ADJUSTED=Y")</f>
        <v>#NAME?</v>
      </c>
      <c r="AK36" s="44" t="e">
        <f t="shared" ca="1" si="1"/>
        <v>#NAME?</v>
      </c>
      <c r="AL36" s="36" t="e">
        <f ca="1">_xll.BDP($AD36,AL$10,"EQY_FUND_CRNCY=USD","FA_ADJUSTED=Y")</f>
        <v>#NAME?</v>
      </c>
      <c r="AM36" s="36" t="e">
        <f ca="1">_xll.BDP($AD36,AM$10,"BEST_FPERIOD_OVERRIDE=1TY","EQY_FUND_CRNCY=USD","FA_ADJUSTED=Y")</f>
        <v>#NAME?</v>
      </c>
      <c r="AN36" s="36" t="e">
        <f ca="1">_xll.BDP($AD36,AN$10,"BEST_FPERIOD_OVERRIDE=1TY","EQY_FUND_CRNCY=USD","FA_ADJUSTED=Y")</f>
        <v>#NAME?</v>
      </c>
      <c r="AO36" s="36" t="e">
        <f ca="1">_xll.BDP($AD36,AO$10,"BEST_FPERIOD_OVERRIDE=1TY","EQY_FUND_CRNCY=USD","FA_ADJUSTED=Y")</f>
        <v>#NAME?</v>
      </c>
      <c r="AP36" s="36" t="e">
        <f ca="1">_xll.BDP($AD36,AP$10,"BEST_FPERIOD_OVERRIDE=1TY","EQY_FUND_CRNCY=USD","FA_ADJUSTED=Y")</f>
        <v>#NAME?</v>
      </c>
      <c r="AQ36" s="36" t="e">
        <f ca="1">_xll.BDP($AD36,AQ$10,"EQY_FUND_CRNCY=USD","FA_ADJUSTED=Y")</f>
        <v>#NAME?</v>
      </c>
      <c r="AR36" s="36" t="e">
        <f ca="1">_xll.BDP($AD36,AR$10,"BEST_FPERIOD_OVERRIDE=1TY","EQY_FUND_CRNCY=USD","FA_ADJUSTED=Y")</f>
        <v>#NAME?</v>
      </c>
      <c r="AS36" s="36" t="e">
        <f ca="1">_xll.BDP($AD36,AS$10,"EQY_FUND_CRNCY=USD","FA_ADJUSTED=Y")</f>
        <v>#NAME?</v>
      </c>
      <c r="AT36" s="36" t="e">
        <f ca="1">_xll.BDP($AD36,AT$10,"BEST_FPERIOD_OVERRIDE=1TY","EQY_FUND_CRNCY=USD","FA_ADJUSTED=Y")</f>
        <v>#NAME?</v>
      </c>
      <c r="AV36" s="1" t="s">
        <v>569</v>
      </c>
      <c r="AW36" s="1" t="s">
        <v>495</v>
      </c>
      <c r="AX36" s="36">
        <v>4707.8373000000001</v>
      </c>
      <c r="AY36" s="36">
        <v>4369.5722999999998</v>
      </c>
      <c r="AZ36" s="36">
        <v>383.18099999999998</v>
      </c>
      <c r="BA36" s="36">
        <v>489.97500000000002</v>
      </c>
      <c r="BB36" s="36">
        <v>0.27870379794405276</v>
      </c>
      <c r="BC36" s="114">
        <v>318.38299798583984</v>
      </c>
      <c r="BD36" s="36">
        <v>83.225000000000009</v>
      </c>
      <c r="BE36" s="36">
        <v>74.331999999999994</v>
      </c>
      <c r="BF36" s="36">
        <v>207.02099999999999</v>
      </c>
      <c r="BG36" s="36">
        <v>57.787999999999997</v>
      </c>
      <c r="BH36" s="36">
        <v>-2.2589999999999986</v>
      </c>
      <c r="BI36" s="36">
        <v>54.381999999999998</v>
      </c>
      <c r="BJ36" s="36">
        <v>-33.405200000000001</v>
      </c>
      <c r="BK36" s="36">
        <v>28.193000000000001</v>
      </c>
      <c r="BL36" s="36">
        <v>872.38800000000003</v>
      </c>
    </row>
    <row r="37" spans="1:64" x14ac:dyDescent="0.2">
      <c r="AD37" s="97" t="s">
        <v>570</v>
      </c>
      <c r="AE37" s="36" t="e">
        <f ca="1">_xll.BDP($AD37,AE$10)</f>
        <v>#NAME?</v>
      </c>
      <c r="AF37" s="36" t="e">
        <f ca="1">_xll.BDH($AD37,AF$10,$C$5,$C$5,"EQY_FUND_CRNCY=USD")</f>
        <v>#NAME?</v>
      </c>
      <c r="AG37" s="36" t="e">
        <f ca="1">_xll.BDH($AD37,AG$10,$C$5,$C$5,"EQY_FUND_CRNCY=USD")</f>
        <v>#NAME?</v>
      </c>
      <c r="AH37" s="36"/>
      <c r="AI37" s="36" t="e">
        <f ca="1">_xll.BDP($AD37,AI$10,"EQY_FUND_CRNCY=USD","FA_ADJUSTED=Y")</f>
        <v>#NAME?</v>
      </c>
      <c r="AJ37" s="36" t="e">
        <f ca="1">_xll.BDP($AD37,AJ$10,"BEST_FPERIOD_OVERRIDE=1TY","EQY_FUND_CRNCY=USD","FA_ADJUSTED=Y")</f>
        <v>#NAME?</v>
      </c>
      <c r="AK37" s="44" t="e">
        <f t="shared" ca="1" si="1"/>
        <v>#NAME?</v>
      </c>
      <c r="AL37" s="36" t="e">
        <f ca="1">_xll.BDP($AD37,AL$10,"EQY_FUND_CRNCY=USD","FA_ADJUSTED=Y")</f>
        <v>#NAME?</v>
      </c>
      <c r="AM37" s="36" t="e">
        <f ca="1">_xll.BDP($AD37,AM$10,"BEST_FPERIOD_OVERRIDE=1TY","EQY_FUND_CRNCY=USD","FA_ADJUSTED=Y")</f>
        <v>#NAME?</v>
      </c>
      <c r="AN37" s="36" t="e">
        <f ca="1">_xll.BDP($AD37,AN$10,"BEST_FPERIOD_OVERRIDE=1TY","EQY_FUND_CRNCY=USD","FA_ADJUSTED=Y")</f>
        <v>#NAME?</v>
      </c>
      <c r="AO37" s="36" t="e">
        <f ca="1">_xll.BDP($AD37,AO$10,"BEST_FPERIOD_OVERRIDE=1TY","EQY_FUND_CRNCY=USD","FA_ADJUSTED=Y")</f>
        <v>#NAME?</v>
      </c>
      <c r="AP37" s="36" t="e">
        <f ca="1">_xll.BDP($AD37,AP$10,"BEST_FPERIOD_OVERRIDE=1TY","EQY_FUND_CRNCY=USD","FA_ADJUSTED=Y")</f>
        <v>#NAME?</v>
      </c>
      <c r="AQ37" s="36" t="e">
        <f ca="1">_xll.BDP($AD37,AQ$10,"EQY_FUND_CRNCY=USD","FA_ADJUSTED=Y")</f>
        <v>#NAME?</v>
      </c>
      <c r="AR37" s="36" t="e">
        <f ca="1">_xll.BDP($AD37,AR$10,"BEST_FPERIOD_OVERRIDE=1TY","EQY_FUND_CRNCY=USD","FA_ADJUSTED=Y")</f>
        <v>#NAME?</v>
      </c>
      <c r="AS37" s="36" t="e">
        <f ca="1">_xll.BDP($AD37,AS$10,"EQY_FUND_CRNCY=USD","FA_ADJUSTED=Y")</f>
        <v>#NAME?</v>
      </c>
      <c r="AT37" s="36" t="e">
        <f ca="1">_xll.BDP($AD37,AT$10,"BEST_FPERIOD_OVERRIDE=1TY","EQY_FUND_CRNCY=USD","FA_ADJUSTED=Y")</f>
        <v>#NAME?</v>
      </c>
      <c r="AV37" s="1" t="s">
        <v>570</v>
      </c>
      <c r="AW37" s="1" t="s">
        <v>495</v>
      </c>
      <c r="AX37" s="36">
        <v>6280.0501000000004</v>
      </c>
      <c r="AY37" s="36">
        <v>6010.1651000000002</v>
      </c>
      <c r="AZ37" s="36">
        <v>602.31500000000005</v>
      </c>
      <c r="BA37" s="36">
        <v>762.5</v>
      </c>
      <c r="BB37" s="36">
        <v>0.26594888056913724</v>
      </c>
      <c r="BC37" s="114">
        <v>444.96900311279296</v>
      </c>
      <c r="BD37" s="36">
        <v>79.150000000000006</v>
      </c>
      <c r="BE37" s="36">
        <v>92.427999999999997</v>
      </c>
      <c r="BF37" s="36">
        <v>277.93</v>
      </c>
      <c r="BG37" s="36">
        <v>81.525999999999996</v>
      </c>
      <c r="BH37" s="36" t="s">
        <v>480</v>
      </c>
      <c r="BI37" s="36">
        <v>31.82</v>
      </c>
      <c r="BJ37" s="36">
        <v>-328.25799999999998</v>
      </c>
      <c r="BK37" s="36">
        <v>-4.5419999999999998</v>
      </c>
      <c r="BL37" s="36">
        <v>1018.2</v>
      </c>
    </row>
    <row r="38" spans="1:64" ht="15.75" x14ac:dyDescent="0.2">
      <c r="A38" s="2" t="s">
        <v>457</v>
      </c>
      <c r="B38" s="45" t="s">
        <v>487</v>
      </c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2" t="s">
        <v>457</v>
      </c>
      <c r="AD38" s="97" t="s">
        <v>571</v>
      </c>
      <c r="AE38" s="36" t="e">
        <f ca="1">_xll.BDP($AD38,AE$10)</f>
        <v>#NAME?</v>
      </c>
      <c r="AF38" s="36" t="e">
        <f ca="1">_xll.BDH($AD38,AF$10,$C$5,$C$5,"EQY_FUND_CRNCY=USD")</f>
        <v>#NAME?</v>
      </c>
      <c r="AG38" s="36" t="e">
        <f ca="1">_xll.BDH($AD38,AG$10,$C$5,$C$5,"EQY_FUND_CRNCY=USD")</f>
        <v>#NAME?</v>
      </c>
      <c r="AH38" s="36"/>
      <c r="AI38" s="36" t="e">
        <f ca="1">_xll.BDP($AD38,AI$10,"EQY_FUND_CRNCY=USD","FA_ADJUSTED=Y")</f>
        <v>#NAME?</v>
      </c>
      <c r="AJ38" s="36" t="e">
        <f ca="1">_xll.BDP($AD38,AJ$10,"BEST_FPERIOD_OVERRIDE=1TY","EQY_FUND_CRNCY=USD","FA_ADJUSTED=Y")</f>
        <v>#NAME?</v>
      </c>
      <c r="AK38" s="44" t="e">
        <f t="shared" ca="1" si="1"/>
        <v>#NAME?</v>
      </c>
      <c r="AL38" s="36" t="e">
        <f ca="1">_xll.BDP($AD38,AL$10,"EQY_FUND_CRNCY=USD","FA_ADJUSTED=Y")</f>
        <v>#NAME?</v>
      </c>
      <c r="AM38" s="36" t="e">
        <f ca="1">_xll.BDP($AD38,AM$10,"BEST_FPERIOD_OVERRIDE=1TY","EQY_FUND_CRNCY=USD","FA_ADJUSTED=Y")</f>
        <v>#NAME?</v>
      </c>
      <c r="AN38" s="36" t="e">
        <f ca="1">_xll.BDP($AD38,AN$10,"BEST_FPERIOD_OVERRIDE=1TY","EQY_FUND_CRNCY=USD","FA_ADJUSTED=Y")</f>
        <v>#NAME?</v>
      </c>
      <c r="AO38" s="36" t="e">
        <f ca="1">_xll.BDP($AD38,AO$10,"BEST_FPERIOD_OVERRIDE=1TY","EQY_FUND_CRNCY=USD","FA_ADJUSTED=Y")</f>
        <v>#NAME?</v>
      </c>
      <c r="AP38" s="36" t="e">
        <f ca="1">_xll.BDP($AD38,AP$10,"BEST_FPERIOD_OVERRIDE=1TY","EQY_FUND_CRNCY=USD","FA_ADJUSTED=Y")</f>
        <v>#NAME?</v>
      </c>
      <c r="AQ38" s="36" t="e">
        <f ca="1">_xll.BDP($AD38,AQ$10,"EQY_FUND_CRNCY=USD","FA_ADJUSTED=Y")</f>
        <v>#NAME?</v>
      </c>
      <c r="AR38" s="36" t="e">
        <f ca="1">_xll.BDP($AD38,AR$10,"BEST_FPERIOD_OVERRIDE=1TY","EQY_FUND_CRNCY=USD","FA_ADJUSTED=Y")</f>
        <v>#NAME?</v>
      </c>
      <c r="AS38" s="36" t="e">
        <f ca="1">_xll.BDP($AD38,AS$10,"EQY_FUND_CRNCY=USD","FA_ADJUSTED=Y")</f>
        <v>#NAME?</v>
      </c>
      <c r="AT38" s="36" t="e">
        <f ca="1">_xll.BDP($AD38,AT$10,"BEST_FPERIOD_OVERRIDE=1TY","EQY_FUND_CRNCY=USD","FA_ADJUSTED=Y")</f>
        <v>#NAME?</v>
      </c>
      <c r="AV38" s="1" t="s">
        <v>571</v>
      </c>
      <c r="AW38" s="1" t="s">
        <v>495</v>
      </c>
      <c r="AX38" s="36">
        <v>4954.2579999999998</v>
      </c>
      <c r="AY38" s="36">
        <v>4693.9430000000002</v>
      </c>
      <c r="AZ38" s="36">
        <v>441.399</v>
      </c>
      <c r="BA38" s="36">
        <v>558.06700000000001</v>
      </c>
      <c r="BB38" s="36">
        <v>0.26431414661111607</v>
      </c>
      <c r="BC38" s="114">
        <v>354.10500488281252</v>
      </c>
      <c r="BD38" s="36">
        <v>81.478999999999999</v>
      </c>
      <c r="BE38" s="36">
        <v>70.37299999999999</v>
      </c>
      <c r="BF38" s="36">
        <v>212.85900000000001</v>
      </c>
      <c r="BG38" s="36">
        <v>56.786999999999999</v>
      </c>
      <c r="BH38" s="36">
        <v>-24.503810126582</v>
      </c>
      <c r="BI38" s="36">
        <v>59.963000000000001</v>
      </c>
      <c r="BJ38" s="36">
        <v>-55.844099999999997</v>
      </c>
      <c r="BK38" s="36">
        <v>37.355000000000004</v>
      </c>
      <c r="BL38" s="36">
        <v>920.476</v>
      </c>
    </row>
    <row r="39" spans="1:64" ht="47.25" x14ac:dyDescent="0.2">
      <c r="B39" s="10" t="s">
        <v>424</v>
      </c>
      <c r="C39" s="10" t="s">
        <v>425</v>
      </c>
      <c r="D39" s="11" t="s">
        <v>426</v>
      </c>
      <c r="E39" s="11" t="s">
        <v>427</v>
      </c>
      <c r="F39" s="12" t="s">
        <v>428</v>
      </c>
      <c r="G39" s="13"/>
      <c r="H39" s="14" t="s">
        <v>429</v>
      </c>
      <c r="I39" s="13"/>
      <c r="J39" s="12" t="s">
        <v>430</v>
      </c>
      <c r="K39" s="12" t="s">
        <v>431</v>
      </c>
      <c r="L39" s="15" t="s">
        <v>432</v>
      </c>
      <c r="M39" s="15" t="s">
        <v>433</v>
      </c>
      <c r="AD39" s="97" t="s">
        <v>572</v>
      </c>
      <c r="AE39" s="36" t="e">
        <f ca="1">_xll.BDP($AD39,AE$10)</f>
        <v>#NAME?</v>
      </c>
      <c r="AF39" s="36" t="e">
        <f ca="1">_xll.BDH($AD39,AF$10,$C$5,$C$5,"EQY_FUND_CRNCY=USD")</f>
        <v>#NAME?</v>
      </c>
      <c r="AG39" s="36" t="e">
        <f ca="1">_xll.BDH($AD39,AG$10,$C$5,$C$5,"EQY_FUND_CRNCY=USD")</f>
        <v>#NAME?</v>
      </c>
      <c r="AH39" s="36"/>
      <c r="AI39" s="36" t="e">
        <f ca="1">_xll.BDP($AD39,AI$10,"EQY_FUND_CRNCY=USD","FA_ADJUSTED=Y")</f>
        <v>#NAME?</v>
      </c>
      <c r="AJ39" s="36" t="e">
        <f ca="1">_xll.BDP($AD39,AJ$10,"BEST_FPERIOD_OVERRIDE=1TY","EQY_FUND_CRNCY=USD","FA_ADJUSTED=Y")</f>
        <v>#NAME?</v>
      </c>
      <c r="AK39" s="44" t="e">
        <f t="shared" ca="1" si="1"/>
        <v>#NAME?</v>
      </c>
      <c r="AL39" s="36" t="e">
        <f ca="1">_xll.BDP($AD39,AL$10,"EQY_FUND_CRNCY=USD","FA_ADJUSTED=Y")</f>
        <v>#NAME?</v>
      </c>
      <c r="AM39" s="36" t="e">
        <f ca="1">_xll.BDP($AD39,AM$10,"BEST_FPERIOD_OVERRIDE=1TY","EQY_FUND_CRNCY=USD","FA_ADJUSTED=Y")</f>
        <v>#NAME?</v>
      </c>
      <c r="AN39" s="36" t="e">
        <f ca="1">_xll.BDP($AD39,AN$10,"BEST_FPERIOD_OVERRIDE=1TY","EQY_FUND_CRNCY=USD","FA_ADJUSTED=Y")</f>
        <v>#NAME?</v>
      </c>
      <c r="AO39" s="36" t="e">
        <f ca="1">_xll.BDP($AD39,AO$10,"BEST_FPERIOD_OVERRIDE=1TY","EQY_FUND_CRNCY=USD","FA_ADJUSTED=Y")</f>
        <v>#NAME?</v>
      </c>
      <c r="AP39" s="36" t="e">
        <f ca="1">_xll.BDP($AD39,AP$10,"BEST_FPERIOD_OVERRIDE=1TY","EQY_FUND_CRNCY=USD","FA_ADJUSTED=Y")</f>
        <v>#NAME?</v>
      </c>
      <c r="AQ39" s="36" t="e">
        <f ca="1">_xll.BDP($AD39,AQ$10,"EQY_FUND_CRNCY=USD","FA_ADJUSTED=Y")</f>
        <v>#NAME?</v>
      </c>
      <c r="AR39" s="36" t="e">
        <f ca="1">_xll.BDP($AD39,AR$10,"BEST_FPERIOD_OVERRIDE=1TY","EQY_FUND_CRNCY=USD","FA_ADJUSTED=Y")</f>
        <v>#NAME?</v>
      </c>
      <c r="AS39" s="36" t="e">
        <f ca="1">_xll.BDP($AD39,AS$10,"EQY_FUND_CRNCY=USD","FA_ADJUSTED=Y")</f>
        <v>#NAME?</v>
      </c>
      <c r="AT39" s="36" t="e">
        <f ca="1">_xll.BDP($AD39,AT$10,"BEST_FPERIOD_OVERRIDE=1TY","EQY_FUND_CRNCY=USD","FA_ADJUSTED=Y")</f>
        <v>#NAME?</v>
      </c>
      <c r="AV39" s="1" t="s">
        <v>572</v>
      </c>
      <c r="AW39" s="1" t="s">
        <v>495</v>
      </c>
      <c r="AX39" s="36">
        <v>1953.962</v>
      </c>
      <c r="AY39" s="36">
        <v>1829.143</v>
      </c>
      <c r="AZ39" s="36">
        <v>198.54300000000001</v>
      </c>
      <c r="BA39" s="36">
        <v>249.18700000000001</v>
      </c>
      <c r="BB39" s="36">
        <v>0.25507824501493381</v>
      </c>
      <c r="BC39" s="114">
        <v>147.79099822998046</v>
      </c>
      <c r="BD39" s="36">
        <v>75.325000000000003</v>
      </c>
      <c r="BE39" s="36">
        <v>25.686999999999998</v>
      </c>
      <c r="BF39" s="36">
        <v>126.98</v>
      </c>
      <c r="BG39" s="36">
        <v>40.079000000000001</v>
      </c>
      <c r="BH39" s="36">
        <v>-68.009</v>
      </c>
      <c r="BI39" s="36">
        <v>-31.501999999999999</v>
      </c>
      <c r="BJ39" s="36">
        <v>-73.292000000000002</v>
      </c>
      <c r="BK39" s="36">
        <v>-41.255000000000003</v>
      </c>
      <c r="BL39" s="36">
        <v>205.11199999999999</v>
      </c>
    </row>
    <row r="40" spans="1:64" ht="15.75" x14ac:dyDescent="0.2">
      <c r="B40" s="18"/>
      <c r="C40" s="18"/>
      <c r="D40" s="18"/>
      <c r="E40" s="18"/>
      <c r="F40" s="19" t="s">
        <v>440</v>
      </c>
      <c r="G40" s="20" t="s">
        <v>441</v>
      </c>
      <c r="H40" s="19" t="s">
        <v>440</v>
      </c>
      <c r="I40" s="20" t="s">
        <v>441</v>
      </c>
      <c r="J40" s="19" t="s">
        <v>441</v>
      </c>
      <c r="K40" s="19" t="s">
        <v>440</v>
      </c>
      <c r="L40" s="20" t="s">
        <v>440</v>
      </c>
      <c r="M40" s="20" t="s">
        <v>440</v>
      </c>
      <c r="AD40" s="97" t="s">
        <v>573</v>
      </c>
      <c r="AE40" s="36" t="e">
        <f ca="1">_xll.BDP($AD40,AE$10)</f>
        <v>#NAME?</v>
      </c>
      <c r="AF40" s="36" t="e">
        <f ca="1">_xll.BDH($AD40,AF$10,$C$5,$C$5,"EQY_FUND_CRNCY=USD")</f>
        <v>#NAME?</v>
      </c>
      <c r="AG40" s="36" t="e">
        <f ca="1">_xll.BDH($AD40,AG$10,$C$5,$C$5,"EQY_FUND_CRNCY=USD")</f>
        <v>#NAME?</v>
      </c>
      <c r="AH40" s="36"/>
      <c r="AI40" s="36" t="e">
        <f ca="1">_xll.BDP($AD40,AI$10,"EQY_FUND_CRNCY=USD","FA_ADJUSTED=Y")</f>
        <v>#NAME?</v>
      </c>
      <c r="AJ40" s="36" t="e">
        <f ca="1">_xll.BDP($AD40,AJ$10,"BEST_FPERIOD_OVERRIDE=1TY","EQY_FUND_CRNCY=USD","FA_ADJUSTED=Y")</f>
        <v>#NAME?</v>
      </c>
      <c r="AK40" s="44" t="e">
        <f t="shared" ca="1" si="1"/>
        <v>#NAME?</v>
      </c>
      <c r="AL40" s="36" t="e">
        <f ca="1">_xll.BDP($AD40,AL$10,"EQY_FUND_CRNCY=USD","FA_ADJUSTED=Y")</f>
        <v>#NAME?</v>
      </c>
      <c r="AM40" s="36" t="e">
        <f ca="1">_xll.BDP($AD40,AM$10,"BEST_FPERIOD_OVERRIDE=1TY","EQY_FUND_CRNCY=USD","FA_ADJUSTED=Y")</f>
        <v>#NAME?</v>
      </c>
      <c r="AN40" s="36" t="e">
        <f ca="1">_xll.BDP($AD40,AN$10,"BEST_FPERIOD_OVERRIDE=1TY","EQY_FUND_CRNCY=USD","FA_ADJUSTED=Y")</f>
        <v>#NAME?</v>
      </c>
      <c r="AO40" s="36" t="e">
        <f ca="1">_xll.BDP($AD40,AO$10,"BEST_FPERIOD_OVERRIDE=1TY","EQY_FUND_CRNCY=USD","FA_ADJUSTED=Y")</f>
        <v>#NAME?</v>
      </c>
      <c r="AP40" s="36" t="e">
        <f ca="1">_xll.BDP($AD40,AP$10,"BEST_FPERIOD_OVERRIDE=1TY","EQY_FUND_CRNCY=USD","FA_ADJUSTED=Y")</f>
        <v>#NAME?</v>
      </c>
      <c r="AQ40" s="36" t="e">
        <f ca="1">_xll.BDP($AD40,AQ$10,"EQY_FUND_CRNCY=USD","FA_ADJUSTED=Y")</f>
        <v>#NAME?</v>
      </c>
      <c r="AR40" s="36" t="e">
        <f ca="1">_xll.BDP($AD40,AR$10,"BEST_FPERIOD_OVERRIDE=1TY","EQY_FUND_CRNCY=USD","FA_ADJUSTED=Y")</f>
        <v>#NAME?</v>
      </c>
      <c r="AS40" s="36" t="e">
        <f ca="1">_xll.BDP($AD40,AS$10,"EQY_FUND_CRNCY=USD","FA_ADJUSTED=Y")</f>
        <v>#NAME?</v>
      </c>
      <c r="AT40" s="36" t="e">
        <f ca="1">_xll.BDP($AD40,AT$10,"BEST_FPERIOD_OVERRIDE=1TY","EQY_FUND_CRNCY=USD","FA_ADJUSTED=Y")</f>
        <v>#NAME?</v>
      </c>
      <c r="AV40" s="1" t="s">
        <v>573</v>
      </c>
      <c r="AW40" s="1" t="s">
        <v>495</v>
      </c>
      <c r="AX40" s="36">
        <v>1113.3187</v>
      </c>
      <c r="AY40" s="36">
        <v>996.77970000000005</v>
      </c>
      <c r="AZ40" s="36">
        <v>184.83700000000002</v>
      </c>
      <c r="BA40" s="36">
        <v>231.28900000000002</v>
      </c>
      <c r="BB40" s="36">
        <v>0.25131331930295331</v>
      </c>
      <c r="BC40" s="114">
        <v>130.4860018157959</v>
      </c>
      <c r="BD40" s="36">
        <v>71.875</v>
      </c>
      <c r="BE40" s="36">
        <v>48.292999999999999</v>
      </c>
      <c r="BF40" s="36">
        <v>83.715999999999994</v>
      </c>
      <c r="BG40" s="36">
        <v>31.196000000000002</v>
      </c>
      <c r="BH40" s="36">
        <v>-40.238</v>
      </c>
      <c r="BI40" s="36">
        <v>-17.818999999999999</v>
      </c>
      <c r="BJ40" s="36">
        <v>-49.079000000000001</v>
      </c>
      <c r="BK40" s="36">
        <v>-28.419</v>
      </c>
      <c r="BL40" s="36">
        <v>866.24</v>
      </c>
    </row>
    <row r="41" spans="1:64" ht="30" customHeight="1" x14ac:dyDescent="0.2">
      <c r="B41" s="46" t="str">
        <f t="shared" ref="B41:M41" si="7">B$9</f>
        <v>Databricks</v>
      </c>
      <c r="C41" s="46" t="str">
        <f t="shared" si="7"/>
        <v>Advanced big data processing company.</v>
      </c>
      <c r="D41" s="47">
        <f t="shared" si="7"/>
        <v>0</v>
      </c>
      <c r="E41" s="47">
        <f t="shared" si="7"/>
        <v>0</v>
      </c>
      <c r="F41" s="48">
        <f t="shared" si="7"/>
        <v>0</v>
      </c>
      <c r="G41" s="49">
        <f t="shared" si="7"/>
        <v>0</v>
      </c>
      <c r="H41" s="50" t="e">
        <f t="shared" si="7"/>
        <v>#DIV/0!</v>
      </c>
      <c r="I41" s="51" t="e">
        <f t="shared" si="7"/>
        <v>#DIV/0!</v>
      </c>
      <c r="J41" s="52" t="e">
        <f t="shared" si="7"/>
        <v>#DIV/0!</v>
      </c>
      <c r="K41" s="52" t="e">
        <f t="shared" si="7"/>
        <v>#DIV/0!</v>
      </c>
      <c r="L41" s="53" t="e">
        <f t="shared" si="7"/>
        <v>#DIV/0!</v>
      </c>
      <c r="M41" s="53" t="e">
        <f t="shared" si="7"/>
        <v>#DIV/0!</v>
      </c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  <c r="AA41" s="65"/>
      <c r="AB41" s="65"/>
      <c r="AC41" s="65"/>
      <c r="AD41" s="97" t="s">
        <v>574</v>
      </c>
      <c r="AE41" s="36" t="e">
        <f ca="1">_xll.BDP($AD41,AE$10)</f>
        <v>#NAME?</v>
      </c>
      <c r="AF41" s="36" t="e">
        <f ca="1">_xll.BDH($AD41,AF$10,$C$5,$C$5,"EQY_FUND_CRNCY=USD")</f>
        <v>#NAME?</v>
      </c>
      <c r="AG41" s="36" t="e">
        <f ca="1">_xll.BDH($AD41,AG$10,$C$5,$C$5,"EQY_FUND_CRNCY=USD")</f>
        <v>#NAME?</v>
      </c>
      <c r="AH41" s="36"/>
      <c r="AI41" s="36" t="e">
        <f ca="1">_xll.BDP($AD41,AI$10,"EQY_FUND_CRNCY=USD","FA_ADJUSTED=Y")</f>
        <v>#NAME?</v>
      </c>
      <c r="AJ41" s="36" t="e">
        <f ca="1">_xll.BDP($AD41,AJ$10,"BEST_FPERIOD_OVERRIDE=1TY","EQY_FUND_CRNCY=USD","FA_ADJUSTED=Y")</f>
        <v>#NAME?</v>
      </c>
      <c r="AK41" s="44" t="e">
        <f t="shared" ca="1" si="1"/>
        <v>#NAME?</v>
      </c>
      <c r="AL41" s="36" t="e">
        <f ca="1">_xll.BDP($AD41,AL$10,"EQY_FUND_CRNCY=USD","FA_ADJUSTED=Y")</f>
        <v>#NAME?</v>
      </c>
      <c r="AM41" s="36" t="e">
        <f ca="1">_xll.BDP($AD41,AM$10,"BEST_FPERIOD_OVERRIDE=1TY","EQY_FUND_CRNCY=USD","FA_ADJUSTED=Y")</f>
        <v>#NAME?</v>
      </c>
      <c r="AN41" s="36" t="e">
        <f ca="1">_xll.BDP($AD41,AN$10,"BEST_FPERIOD_OVERRIDE=1TY","EQY_FUND_CRNCY=USD","FA_ADJUSTED=Y")</f>
        <v>#NAME?</v>
      </c>
      <c r="AO41" s="36" t="e">
        <f ca="1">_xll.BDP($AD41,AO$10,"BEST_FPERIOD_OVERRIDE=1TY","EQY_FUND_CRNCY=USD","FA_ADJUSTED=Y")</f>
        <v>#NAME?</v>
      </c>
      <c r="AP41" s="36" t="e">
        <f ca="1">_xll.BDP($AD41,AP$10,"BEST_FPERIOD_OVERRIDE=1TY","EQY_FUND_CRNCY=USD","FA_ADJUSTED=Y")</f>
        <v>#NAME?</v>
      </c>
      <c r="AQ41" s="36" t="e">
        <f ca="1">_xll.BDP($AD41,AQ$10,"EQY_FUND_CRNCY=USD","FA_ADJUSTED=Y")</f>
        <v>#NAME?</v>
      </c>
      <c r="AR41" s="36" t="e">
        <f ca="1">_xll.BDP($AD41,AR$10,"BEST_FPERIOD_OVERRIDE=1TY","EQY_FUND_CRNCY=USD","FA_ADJUSTED=Y")</f>
        <v>#NAME?</v>
      </c>
      <c r="AS41" s="36" t="e">
        <f ca="1">_xll.BDP($AD41,AS$10,"EQY_FUND_CRNCY=USD","FA_ADJUSTED=Y")</f>
        <v>#NAME?</v>
      </c>
      <c r="AT41" s="36" t="e">
        <f ca="1">_xll.BDP($AD41,AT$10,"BEST_FPERIOD_OVERRIDE=1TY","EQY_FUND_CRNCY=USD","FA_ADJUSTED=Y")</f>
        <v>#NAME?</v>
      </c>
      <c r="AV41" s="1" t="s">
        <v>574</v>
      </c>
      <c r="AW41" s="1" t="s">
        <v>495</v>
      </c>
      <c r="AX41" s="36">
        <v>7352.4741999999997</v>
      </c>
      <c r="AY41" s="36">
        <v>7333.1052</v>
      </c>
      <c r="AZ41" s="36">
        <v>498.02800000000002</v>
      </c>
      <c r="BA41" s="36">
        <v>621.76</v>
      </c>
      <c r="BB41" s="36">
        <v>0.24844386259407103</v>
      </c>
      <c r="BC41" s="114">
        <v>416.48600439453128</v>
      </c>
      <c r="BD41" s="36">
        <v>82.850000000000009</v>
      </c>
      <c r="BE41" s="36">
        <v>30.43</v>
      </c>
      <c r="BF41" s="36">
        <v>150.512</v>
      </c>
      <c r="BG41" s="36">
        <v>91.647000000000006</v>
      </c>
      <c r="BH41" s="36">
        <v>148.13299999999998</v>
      </c>
      <c r="BI41" s="36">
        <v>254.15200000000002</v>
      </c>
      <c r="BJ41" s="36">
        <v>104.562799698118</v>
      </c>
      <c r="BK41" s="36">
        <v>171.12</v>
      </c>
      <c r="BL41" s="36">
        <v>622.91700000000003</v>
      </c>
    </row>
    <row r="42" spans="1:64" ht="30" customHeight="1" x14ac:dyDescent="0.2">
      <c r="B42" s="54" t="s">
        <v>465</v>
      </c>
      <c r="C42" s="54" t="e">
        <f>VLOOKUP($B42,#REF!,COLUMNS($B42:C42),0)</f>
        <v>#REF!</v>
      </c>
      <c r="D42" s="55" t="e">
        <f>VLOOKUP($B42,#REF!,COLUMNS($B42:D42),0)</f>
        <v>#REF!</v>
      </c>
      <c r="E42" s="55" t="e">
        <f>VLOOKUP($B42,#REF!,COLUMNS($B42:E42),0)</f>
        <v>#REF!</v>
      </c>
      <c r="F42" s="56" t="e">
        <f>VLOOKUP($B42,#REF!,COLUMNS($B42:F42),0)</f>
        <v>#REF!</v>
      </c>
      <c r="G42" s="57" t="e">
        <f>VLOOKUP($B42,#REF!,COLUMNS($B42:G42),0)</f>
        <v>#REF!</v>
      </c>
      <c r="H42" s="58" t="e">
        <f>VLOOKUP($B42,#REF!,COLUMNS($B42:H42),0)</f>
        <v>#REF!</v>
      </c>
      <c r="I42" s="59" t="e">
        <f>VLOOKUP($B42,#REF!,COLUMNS($B42:I42),0)</f>
        <v>#REF!</v>
      </c>
      <c r="J42" s="60" t="e">
        <f>VLOOKUP($B42,#REF!,COLUMNS($B42:J42),0)</f>
        <v>#REF!</v>
      </c>
      <c r="K42" s="60" t="e">
        <f>VLOOKUP($B42,#REF!,COLUMNS($B42:K42),0)</f>
        <v>#REF!</v>
      </c>
      <c r="L42" s="61" t="e">
        <f>VLOOKUP($B42,#REF!,COLUMNS($B42:L42),0)</f>
        <v>#REF!</v>
      </c>
      <c r="M42" s="61" t="e">
        <f>VLOOKUP($B42,#REF!,COLUMNS($B42:M42),0)</f>
        <v>#REF!</v>
      </c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  <c r="AA42" s="65"/>
      <c r="AB42" s="65"/>
      <c r="AC42" s="65"/>
      <c r="AD42" s="97" t="s">
        <v>575</v>
      </c>
      <c r="AE42" s="36" t="e">
        <f ca="1">_xll.BDP($AD42,AE$10)</f>
        <v>#NAME?</v>
      </c>
      <c r="AF42" s="36" t="e">
        <f ca="1">_xll.BDH($AD42,AF$10,$C$5,$C$5,"EQY_FUND_CRNCY=USD")</f>
        <v>#NAME?</v>
      </c>
      <c r="AG42" s="36" t="e">
        <f ca="1">_xll.BDH($AD42,AG$10,$C$5,$C$5,"EQY_FUND_CRNCY=USD")</f>
        <v>#NAME?</v>
      </c>
      <c r="AH42" s="36"/>
      <c r="AI42" s="36" t="e">
        <f ca="1">_xll.BDP($AD42,AI$10,"EQY_FUND_CRNCY=USD","FA_ADJUSTED=Y")</f>
        <v>#NAME?</v>
      </c>
      <c r="AJ42" s="36" t="e">
        <f ca="1">_xll.BDP($AD42,AJ$10,"BEST_FPERIOD_OVERRIDE=1TY","EQY_FUND_CRNCY=USD","FA_ADJUSTED=Y")</f>
        <v>#NAME?</v>
      </c>
      <c r="AK42" s="44" t="e">
        <f t="shared" ca="1" si="1"/>
        <v>#NAME?</v>
      </c>
      <c r="AL42" s="36" t="e">
        <f ca="1">_xll.BDP($AD42,AL$10,"EQY_FUND_CRNCY=USD","FA_ADJUSTED=Y")</f>
        <v>#NAME?</v>
      </c>
      <c r="AM42" s="36" t="e">
        <f ca="1">_xll.BDP($AD42,AM$10,"BEST_FPERIOD_OVERRIDE=1TY","EQY_FUND_CRNCY=USD","FA_ADJUSTED=Y")</f>
        <v>#NAME?</v>
      </c>
      <c r="AN42" s="36" t="e">
        <f ca="1">_xll.BDP($AD42,AN$10,"BEST_FPERIOD_OVERRIDE=1TY","EQY_FUND_CRNCY=USD","FA_ADJUSTED=Y")</f>
        <v>#NAME?</v>
      </c>
      <c r="AO42" s="36" t="e">
        <f ca="1">_xll.BDP($AD42,AO$10,"BEST_FPERIOD_OVERRIDE=1TY","EQY_FUND_CRNCY=USD","FA_ADJUSTED=Y")</f>
        <v>#NAME?</v>
      </c>
      <c r="AP42" s="36" t="e">
        <f ca="1">_xll.BDP($AD42,AP$10,"BEST_FPERIOD_OVERRIDE=1TY","EQY_FUND_CRNCY=USD","FA_ADJUSTED=Y")</f>
        <v>#NAME?</v>
      </c>
      <c r="AQ42" s="36" t="e">
        <f ca="1">_xll.BDP($AD42,AQ$10,"EQY_FUND_CRNCY=USD","FA_ADJUSTED=Y")</f>
        <v>#NAME?</v>
      </c>
      <c r="AR42" s="36" t="e">
        <f ca="1">_xll.BDP($AD42,AR$10,"BEST_FPERIOD_OVERRIDE=1TY","EQY_FUND_CRNCY=USD","FA_ADJUSTED=Y")</f>
        <v>#NAME?</v>
      </c>
      <c r="AS42" s="36" t="e">
        <f ca="1">_xll.BDP($AD42,AS$10,"EQY_FUND_CRNCY=USD","FA_ADJUSTED=Y")</f>
        <v>#NAME?</v>
      </c>
      <c r="AT42" s="36" t="e">
        <f ca="1">_xll.BDP($AD42,AT$10,"BEST_FPERIOD_OVERRIDE=1TY","EQY_FUND_CRNCY=USD","FA_ADJUSTED=Y")</f>
        <v>#NAME?</v>
      </c>
      <c r="AV42" s="1" t="s">
        <v>575</v>
      </c>
      <c r="AW42" s="1" t="s">
        <v>495</v>
      </c>
      <c r="AX42" s="36">
        <v>5806.0284000000001</v>
      </c>
      <c r="AY42" s="36">
        <v>5599.3083999999999</v>
      </c>
      <c r="AZ42" s="36">
        <v>581.47399999999993</v>
      </c>
      <c r="BA42" s="36">
        <v>724.625</v>
      </c>
      <c r="BB42" s="36">
        <v>0.24618641590165691</v>
      </c>
      <c r="BC42" s="114">
        <v>443.33000299072262</v>
      </c>
      <c r="BD42" s="36">
        <v>77.007999999999996</v>
      </c>
      <c r="BE42" s="36">
        <v>75.147999999999996</v>
      </c>
      <c r="BF42" s="36">
        <v>260.06900000000002</v>
      </c>
      <c r="BG42" s="36">
        <v>72.313000000000002</v>
      </c>
      <c r="BH42" s="36">
        <v>1.981681596884</v>
      </c>
      <c r="BI42" s="36">
        <v>88.007999999999996</v>
      </c>
      <c r="BJ42" s="36">
        <v>-22.126999999999999</v>
      </c>
      <c r="BK42" s="36">
        <v>62.160000000000004</v>
      </c>
      <c r="BL42" s="36">
        <v>199.589</v>
      </c>
    </row>
    <row r="43" spans="1:64" ht="30" customHeight="1" x14ac:dyDescent="0.2">
      <c r="B43" s="62" t="s">
        <v>470</v>
      </c>
      <c r="C43" s="54" t="e">
        <f>VLOOKUP($B43,#REF!,COLUMNS($B43:C43),0)</f>
        <v>#REF!</v>
      </c>
      <c r="D43" s="66" t="e">
        <f>VLOOKUP($B43,#REF!,COLUMNS($B43:D43),0)</f>
        <v>#REF!</v>
      </c>
      <c r="E43" s="66" t="e">
        <f>VLOOKUP($B43,#REF!,COLUMNS($B43:E43),0)</f>
        <v>#REF!</v>
      </c>
      <c r="F43" s="67" t="e">
        <f>VLOOKUP($B43,#REF!,COLUMNS($B43:F43),0)</f>
        <v>#REF!</v>
      </c>
      <c r="G43" s="68" t="e">
        <f>VLOOKUP($B43,#REF!,COLUMNS($B43:G43),0)</f>
        <v>#REF!</v>
      </c>
      <c r="H43" s="69" t="e">
        <f>VLOOKUP($B43,#REF!,COLUMNS($B43:H43),0)</f>
        <v>#REF!</v>
      </c>
      <c r="I43" s="70" t="e">
        <f>VLOOKUP($B43,#REF!,COLUMNS($B43:I43),0)</f>
        <v>#REF!</v>
      </c>
      <c r="J43" s="71" t="e">
        <f>VLOOKUP($B43,#REF!,COLUMNS($B43:J43),0)</f>
        <v>#REF!</v>
      </c>
      <c r="K43" s="60" t="e">
        <f>VLOOKUP($B43,#REF!,COLUMNS($B43:K43),0)</f>
        <v>#REF!</v>
      </c>
      <c r="L43" s="61" t="e">
        <f>VLOOKUP($B43,#REF!,COLUMNS($B43:L43),0)</f>
        <v>#REF!</v>
      </c>
      <c r="M43" s="61" t="e">
        <f>VLOOKUP($B43,#REF!,COLUMNS($B43:M43),0)</f>
        <v>#REF!</v>
      </c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  <c r="AA43" s="65"/>
      <c r="AB43" s="65"/>
      <c r="AC43" s="65"/>
      <c r="AD43" s="97" t="s">
        <v>576</v>
      </c>
      <c r="AE43" s="36" t="e">
        <f ca="1">_xll.BDP($AD43,AE$10)</f>
        <v>#NAME?</v>
      </c>
      <c r="AF43" s="36" t="e">
        <f ca="1">_xll.BDH($AD43,AF$10,$C$5,$C$5,"EQY_FUND_CRNCY=USD")</f>
        <v>#NAME?</v>
      </c>
      <c r="AG43" s="36" t="e">
        <f ca="1">_xll.BDH($AD43,AG$10,$C$5,$C$5,"EQY_FUND_CRNCY=USD")</f>
        <v>#NAME?</v>
      </c>
      <c r="AH43" s="36"/>
      <c r="AI43" s="36" t="e">
        <f ca="1">_xll.BDP($AD43,AI$10,"EQY_FUND_CRNCY=USD","FA_ADJUSTED=Y")</f>
        <v>#NAME?</v>
      </c>
      <c r="AJ43" s="36" t="e">
        <f ca="1">_xll.BDP($AD43,AJ$10,"BEST_FPERIOD_OVERRIDE=1TY","EQY_FUND_CRNCY=USD","FA_ADJUSTED=Y")</f>
        <v>#NAME?</v>
      </c>
      <c r="AK43" s="44" t="e">
        <f t="shared" ca="1" si="1"/>
        <v>#NAME?</v>
      </c>
      <c r="AL43" s="36" t="e">
        <f ca="1">_xll.BDP($AD43,AL$10,"EQY_FUND_CRNCY=USD","FA_ADJUSTED=Y")</f>
        <v>#NAME?</v>
      </c>
      <c r="AM43" s="36" t="e">
        <f ca="1">_xll.BDP($AD43,AM$10,"BEST_FPERIOD_OVERRIDE=1TY","EQY_FUND_CRNCY=USD","FA_ADJUSTED=Y")</f>
        <v>#NAME?</v>
      </c>
      <c r="AN43" s="36" t="e">
        <f ca="1">_xll.BDP($AD43,AN$10,"BEST_FPERIOD_OVERRIDE=1TY","EQY_FUND_CRNCY=USD","FA_ADJUSTED=Y")</f>
        <v>#NAME?</v>
      </c>
      <c r="AO43" s="36" t="e">
        <f ca="1">_xll.BDP($AD43,AO$10,"BEST_FPERIOD_OVERRIDE=1TY","EQY_FUND_CRNCY=USD","FA_ADJUSTED=Y")</f>
        <v>#NAME?</v>
      </c>
      <c r="AP43" s="36" t="e">
        <f ca="1">_xll.BDP($AD43,AP$10,"BEST_FPERIOD_OVERRIDE=1TY","EQY_FUND_CRNCY=USD","FA_ADJUSTED=Y")</f>
        <v>#NAME?</v>
      </c>
      <c r="AQ43" s="36" t="e">
        <f ca="1">_xll.BDP($AD43,AQ$10,"EQY_FUND_CRNCY=USD","FA_ADJUSTED=Y")</f>
        <v>#NAME?</v>
      </c>
      <c r="AR43" s="36" t="e">
        <f ca="1">_xll.BDP($AD43,AR$10,"BEST_FPERIOD_OVERRIDE=1TY","EQY_FUND_CRNCY=USD","FA_ADJUSTED=Y")</f>
        <v>#NAME?</v>
      </c>
      <c r="AS43" s="36" t="e">
        <f ca="1">_xll.BDP($AD43,AS$10,"EQY_FUND_CRNCY=USD","FA_ADJUSTED=Y")</f>
        <v>#NAME?</v>
      </c>
      <c r="AT43" s="36" t="e">
        <f ca="1">_xll.BDP($AD43,AT$10,"BEST_FPERIOD_OVERRIDE=1TY","EQY_FUND_CRNCY=USD","FA_ADJUSTED=Y")</f>
        <v>#NAME?</v>
      </c>
      <c r="AV43" s="1" t="s">
        <v>576</v>
      </c>
      <c r="AW43" s="1" t="s">
        <v>495</v>
      </c>
      <c r="AX43" s="36">
        <v>2022.6493</v>
      </c>
      <c r="AY43" s="36">
        <v>1969.9293</v>
      </c>
      <c r="AZ43" s="36">
        <v>165.38</v>
      </c>
      <c r="BA43" s="36">
        <v>205.85</v>
      </c>
      <c r="BB43" s="36">
        <v>0.24470915467408383</v>
      </c>
      <c r="BC43" s="114">
        <v>102.44899972534179</v>
      </c>
      <c r="BD43" s="36">
        <v>64.5</v>
      </c>
      <c r="BE43" s="36">
        <v>16.577999999999999</v>
      </c>
      <c r="BF43" s="36">
        <v>28.709</v>
      </c>
      <c r="BG43" s="36">
        <v>21.199000000000002</v>
      </c>
      <c r="BH43" s="36">
        <v>31.149000000000001</v>
      </c>
      <c r="BI43" s="36">
        <v>44.4</v>
      </c>
      <c r="BJ43" s="36">
        <v>18.071339999999999</v>
      </c>
      <c r="BK43" s="36">
        <v>39.49</v>
      </c>
      <c r="BL43" s="36">
        <v>317.08300000000003</v>
      </c>
    </row>
    <row r="44" spans="1:64" ht="30" customHeight="1" x14ac:dyDescent="0.2">
      <c r="B44" s="62" t="s">
        <v>471</v>
      </c>
      <c r="C44" s="54" t="e">
        <f>VLOOKUP($B44,#REF!,COLUMNS($B44:C44),0)</f>
        <v>#REF!</v>
      </c>
      <c r="D44" s="66" t="e">
        <f>VLOOKUP($B44,#REF!,COLUMNS($B44:D44),0)</f>
        <v>#REF!</v>
      </c>
      <c r="E44" s="66" t="e">
        <f>VLOOKUP($B44,#REF!,COLUMNS($B44:E44),0)</f>
        <v>#REF!</v>
      </c>
      <c r="F44" s="67" t="e">
        <f>VLOOKUP($B44,#REF!,COLUMNS($B44:F44),0)</f>
        <v>#REF!</v>
      </c>
      <c r="G44" s="68" t="e">
        <f>VLOOKUP($B44,#REF!,COLUMNS($B44:G44),0)</f>
        <v>#REF!</v>
      </c>
      <c r="H44" s="69" t="e">
        <f>VLOOKUP($B44,#REF!,COLUMNS($B44:H44),0)</f>
        <v>#REF!</v>
      </c>
      <c r="I44" s="70" t="e">
        <f>VLOOKUP($B44,#REF!,COLUMNS($B44:I44),0)</f>
        <v>#REF!</v>
      </c>
      <c r="J44" s="71" t="e">
        <f>VLOOKUP($B44,#REF!,COLUMNS($B44:J44),0)</f>
        <v>#REF!</v>
      </c>
      <c r="K44" s="60" t="e">
        <f>VLOOKUP($B44,#REF!,COLUMNS($B44:K44),0)</f>
        <v>#REF!</v>
      </c>
      <c r="L44" s="61" t="e">
        <f>VLOOKUP($B44,#REF!,COLUMNS($B44:L44),0)</f>
        <v>#REF!</v>
      </c>
      <c r="M44" s="61" t="e">
        <f>VLOOKUP($B44,#REF!,COLUMNS($B44:M44),0)</f>
        <v>#REF!</v>
      </c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  <c r="AA44" s="65"/>
      <c r="AB44" s="65"/>
      <c r="AC44" s="65"/>
      <c r="AD44" s="97" t="s">
        <v>577</v>
      </c>
      <c r="AE44" s="36" t="e">
        <f ca="1">_xll.BDP($AD44,AE$10)</f>
        <v>#NAME?</v>
      </c>
      <c r="AF44" s="36" t="e">
        <f ca="1">_xll.BDH($AD44,AF$10,$C$5,$C$5,"EQY_FUND_CRNCY=USD")</f>
        <v>#NAME?</v>
      </c>
      <c r="AG44" s="36" t="e">
        <f ca="1">_xll.BDH($AD44,AG$10,$C$5,$C$5,"EQY_FUND_CRNCY=USD")</f>
        <v>#NAME?</v>
      </c>
      <c r="AH44" s="36"/>
      <c r="AI44" s="36" t="e">
        <f ca="1">_xll.BDP($AD44,AI$10,"EQY_FUND_CRNCY=USD","FA_ADJUSTED=Y")</f>
        <v>#NAME?</v>
      </c>
      <c r="AJ44" s="36" t="e">
        <f ca="1">_xll.BDP($AD44,AJ$10,"BEST_FPERIOD_OVERRIDE=1TY","EQY_FUND_CRNCY=USD","FA_ADJUSTED=Y")</f>
        <v>#NAME?</v>
      </c>
      <c r="AK44" s="44" t="e">
        <f t="shared" ca="1" si="1"/>
        <v>#NAME?</v>
      </c>
      <c r="AL44" s="36" t="e">
        <f ca="1">_xll.BDP($AD44,AL$10,"EQY_FUND_CRNCY=USD","FA_ADJUSTED=Y")</f>
        <v>#NAME?</v>
      </c>
      <c r="AM44" s="36" t="e">
        <f ca="1">_xll.BDP($AD44,AM$10,"BEST_FPERIOD_OVERRIDE=1TY","EQY_FUND_CRNCY=USD","FA_ADJUSTED=Y")</f>
        <v>#NAME?</v>
      </c>
      <c r="AN44" s="36" t="e">
        <f ca="1">_xll.BDP($AD44,AN$10,"BEST_FPERIOD_OVERRIDE=1TY","EQY_FUND_CRNCY=USD","FA_ADJUSTED=Y")</f>
        <v>#NAME?</v>
      </c>
      <c r="AO44" s="36" t="e">
        <f ca="1">_xll.BDP($AD44,AO$10,"BEST_FPERIOD_OVERRIDE=1TY","EQY_FUND_CRNCY=USD","FA_ADJUSTED=Y")</f>
        <v>#NAME?</v>
      </c>
      <c r="AP44" s="36" t="e">
        <f ca="1">_xll.BDP($AD44,AP$10,"BEST_FPERIOD_OVERRIDE=1TY","EQY_FUND_CRNCY=USD","FA_ADJUSTED=Y")</f>
        <v>#NAME?</v>
      </c>
      <c r="AQ44" s="36" t="e">
        <f ca="1">_xll.BDP($AD44,AQ$10,"EQY_FUND_CRNCY=USD","FA_ADJUSTED=Y")</f>
        <v>#NAME?</v>
      </c>
      <c r="AR44" s="36" t="e">
        <f ca="1">_xll.BDP($AD44,AR$10,"BEST_FPERIOD_OVERRIDE=1TY","EQY_FUND_CRNCY=USD","FA_ADJUSTED=Y")</f>
        <v>#NAME?</v>
      </c>
      <c r="AS44" s="36" t="e">
        <f ca="1">_xll.BDP($AD44,AS$10,"EQY_FUND_CRNCY=USD","FA_ADJUSTED=Y")</f>
        <v>#NAME?</v>
      </c>
      <c r="AT44" s="36" t="e">
        <f ca="1">_xll.BDP($AD44,AT$10,"BEST_FPERIOD_OVERRIDE=1TY","EQY_FUND_CRNCY=USD","FA_ADJUSTED=Y")</f>
        <v>#NAME?</v>
      </c>
      <c r="AV44" s="1" t="s">
        <v>577</v>
      </c>
      <c r="AW44" s="1" t="s">
        <v>614</v>
      </c>
      <c r="AX44" s="36">
        <v>1110.2656999999999</v>
      </c>
      <c r="AY44" s="36">
        <v>1234.2756999999999</v>
      </c>
      <c r="AZ44" s="36">
        <v>265.089</v>
      </c>
      <c r="BA44" s="36">
        <v>329.13800000000003</v>
      </c>
      <c r="BB44" s="36">
        <v>0.24161319405935378</v>
      </c>
      <c r="BC44" s="114">
        <v>189.59500091552735</v>
      </c>
      <c r="BD44" s="36">
        <v>77.167000000000002</v>
      </c>
      <c r="BE44" s="36">
        <v>46.16</v>
      </c>
      <c r="BF44" s="36">
        <v>90.921999999999997</v>
      </c>
      <c r="BG44" s="36">
        <v>43.331000000000003</v>
      </c>
      <c r="BH44" s="36">
        <v>35.430999999999997</v>
      </c>
      <c r="BI44" s="36">
        <v>107.65</v>
      </c>
      <c r="BJ44" s="36">
        <v>-1.8899511748109996</v>
      </c>
      <c r="BK44" s="36">
        <v>62.367000000000004</v>
      </c>
      <c r="BL44" s="36">
        <v>750.726</v>
      </c>
    </row>
    <row r="45" spans="1:64" ht="30" customHeight="1" x14ac:dyDescent="0.2">
      <c r="B45" s="62" t="s">
        <v>473</v>
      </c>
      <c r="C45" s="54" t="e">
        <f>VLOOKUP($B45,#REF!,COLUMNS($B45:C45),0)</f>
        <v>#REF!</v>
      </c>
      <c r="D45" s="66" t="e">
        <f>VLOOKUP($B45,#REF!,COLUMNS($B45:D45),0)</f>
        <v>#REF!</v>
      </c>
      <c r="E45" s="66" t="e">
        <f>VLOOKUP($B45,#REF!,COLUMNS($B45:E45),0)</f>
        <v>#REF!</v>
      </c>
      <c r="F45" s="67" t="e">
        <f>VLOOKUP($B45,#REF!,COLUMNS($B45:F45),0)</f>
        <v>#REF!</v>
      </c>
      <c r="G45" s="68" t="e">
        <f>VLOOKUP($B45,#REF!,COLUMNS($B45:G45),0)</f>
        <v>#REF!</v>
      </c>
      <c r="H45" s="69" t="e">
        <f>VLOOKUP($B45,#REF!,COLUMNS($B45:H45),0)</f>
        <v>#REF!</v>
      </c>
      <c r="I45" s="70" t="e">
        <f>VLOOKUP($B45,#REF!,COLUMNS($B45:I45),0)</f>
        <v>#REF!</v>
      </c>
      <c r="J45" s="71" t="e">
        <f>VLOOKUP($B45,#REF!,COLUMNS($B45:J45),0)</f>
        <v>#REF!</v>
      </c>
      <c r="K45" s="60" t="e">
        <f>VLOOKUP($B45,#REF!,COLUMNS($B45:K45),0)</f>
        <v>#REF!</v>
      </c>
      <c r="L45" s="61" t="e">
        <f>VLOOKUP($B45,#REF!,COLUMNS($B45:L45),0)</f>
        <v>#REF!</v>
      </c>
      <c r="M45" s="61" t="e">
        <f>VLOOKUP($B45,#REF!,COLUMNS($B45:M45),0)</f>
        <v>#REF!</v>
      </c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  <c r="AA45" s="65"/>
      <c r="AB45" s="65"/>
      <c r="AC45" s="65"/>
      <c r="AD45" s="97" t="s">
        <v>578</v>
      </c>
      <c r="AE45" s="36" t="e">
        <f ca="1">_xll.BDP($AD45,AE$10)</f>
        <v>#NAME?</v>
      </c>
      <c r="AF45" s="36" t="e">
        <f ca="1">_xll.BDH($AD45,AF$10,$C$5,$C$5,"EQY_FUND_CRNCY=USD")</f>
        <v>#NAME?</v>
      </c>
      <c r="AG45" s="36" t="e">
        <f ca="1">_xll.BDH($AD45,AG$10,$C$5,$C$5,"EQY_FUND_CRNCY=USD")</f>
        <v>#NAME?</v>
      </c>
      <c r="AH45" s="36"/>
      <c r="AI45" s="36" t="e">
        <f ca="1">_xll.BDP($AD45,AI$10,"EQY_FUND_CRNCY=USD","FA_ADJUSTED=Y")</f>
        <v>#NAME?</v>
      </c>
      <c r="AJ45" s="36" t="e">
        <f ca="1">_xll.BDP($AD45,AJ$10,"BEST_FPERIOD_OVERRIDE=1TY","EQY_FUND_CRNCY=USD","FA_ADJUSTED=Y")</f>
        <v>#NAME?</v>
      </c>
      <c r="AK45" s="44" t="e">
        <f t="shared" ca="1" si="1"/>
        <v>#NAME?</v>
      </c>
      <c r="AL45" s="36" t="e">
        <f ca="1">_xll.BDP($AD45,AL$10,"EQY_FUND_CRNCY=USD","FA_ADJUSTED=Y")</f>
        <v>#NAME?</v>
      </c>
      <c r="AM45" s="36" t="e">
        <f ca="1">_xll.BDP($AD45,AM$10,"BEST_FPERIOD_OVERRIDE=1TY","EQY_FUND_CRNCY=USD","FA_ADJUSTED=Y")</f>
        <v>#NAME?</v>
      </c>
      <c r="AN45" s="36" t="e">
        <f ca="1">_xll.BDP($AD45,AN$10,"BEST_FPERIOD_OVERRIDE=1TY","EQY_FUND_CRNCY=USD","FA_ADJUSTED=Y")</f>
        <v>#NAME?</v>
      </c>
      <c r="AO45" s="36" t="e">
        <f ca="1">_xll.BDP($AD45,AO$10,"BEST_FPERIOD_OVERRIDE=1TY","EQY_FUND_CRNCY=USD","FA_ADJUSTED=Y")</f>
        <v>#NAME?</v>
      </c>
      <c r="AP45" s="36" t="e">
        <f ca="1">_xll.BDP($AD45,AP$10,"BEST_FPERIOD_OVERRIDE=1TY","EQY_FUND_CRNCY=USD","FA_ADJUSTED=Y")</f>
        <v>#NAME?</v>
      </c>
      <c r="AQ45" s="36" t="e">
        <f ca="1">_xll.BDP($AD45,AQ$10,"EQY_FUND_CRNCY=USD","FA_ADJUSTED=Y")</f>
        <v>#NAME?</v>
      </c>
      <c r="AR45" s="36" t="e">
        <f ca="1">_xll.BDP($AD45,AR$10,"BEST_FPERIOD_OVERRIDE=1TY","EQY_FUND_CRNCY=USD","FA_ADJUSTED=Y")</f>
        <v>#NAME?</v>
      </c>
      <c r="AS45" s="36" t="e">
        <f ca="1">_xll.BDP($AD45,AS$10,"EQY_FUND_CRNCY=USD","FA_ADJUSTED=Y")</f>
        <v>#NAME?</v>
      </c>
      <c r="AT45" s="36" t="e">
        <f ca="1">_xll.BDP($AD45,AT$10,"BEST_FPERIOD_OVERRIDE=1TY","EQY_FUND_CRNCY=USD","FA_ADJUSTED=Y")</f>
        <v>#NAME?</v>
      </c>
      <c r="AV45" s="1" t="s">
        <v>578</v>
      </c>
      <c r="AW45" s="1" t="s">
        <v>495</v>
      </c>
      <c r="AX45" s="36">
        <v>2002.6684</v>
      </c>
      <c r="AY45" s="36">
        <v>1856.4764</v>
      </c>
      <c r="AZ45" s="36">
        <v>282.14300000000003</v>
      </c>
      <c r="BA45" s="36">
        <v>349.18299999999999</v>
      </c>
      <c r="BB45" s="36">
        <v>0.23761000627341433</v>
      </c>
      <c r="BC45" s="114">
        <v>206.71999600219726</v>
      </c>
      <c r="BD45" s="36">
        <v>73.540000000000006</v>
      </c>
      <c r="BE45" s="36">
        <v>38.372999999999998</v>
      </c>
      <c r="BF45" s="36">
        <v>121.246</v>
      </c>
      <c r="BG45" s="36">
        <v>36.988999999999997</v>
      </c>
      <c r="BH45" s="36">
        <v>17.619</v>
      </c>
      <c r="BI45" s="36">
        <v>53.279000000000003</v>
      </c>
      <c r="BJ45" s="36">
        <v>-11.200076829023001</v>
      </c>
      <c r="BK45" s="36">
        <v>15.266999999999999</v>
      </c>
      <c r="BL45" s="36">
        <v>608.80000000000007</v>
      </c>
    </row>
    <row r="46" spans="1:64" ht="30" customHeight="1" x14ac:dyDescent="0.2">
      <c r="B46" s="62" t="s">
        <v>478</v>
      </c>
      <c r="C46" s="54" t="e">
        <f>VLOOKUP($B46,#REF!,COLUMNS($B46:C46),0)</f>
        <v>#REF!</v>
      </c>
      <c r="D46" s="66" t="e">
        <f>VLOOKUP($B46,#REF!,COLUMNS($B46:D46),0)</f>
        <v>#REF!</v>
      </c>
      <c r="E46" s="66" t="e">
        <f>VLOOKUP($B46,#REF!,COLUMNS($B46:E46),0)</f>
        <v>#REF!</v>
      </c>
      <c r="F46" s="67" t="e">
        <f>VLOOKUP($B46,#REF!,COLUMNS($B46:F46),0)</f>
        <v>#REF!</v>
      </c>
      <c r="G46" s="68" t="e">
        <f>VLOOKUP($B46,#REF!,COLUMNS($B46:G46),0)</f>
        <v>#REF!</v>
      </c>
      <c r="H46" s="69" t="e">
        <f>VLOOKUP($B46,#REF!,COLUMNS($B46:H46),0)</f>
        <v>#REF!</v>
      </c>
      <c r="I46" s="70" t="e">
        <f>VLOOKUP($B46,#REF!,COLUMNS($B46:I46),0)</f>
        <v>#REF!</v>
      </c>
      <c r="J46" s="71" t="e">
        <f>VLOOKUP($B46,#REF!,COLUMNS($B46:J46),0)</f>
        <v>#REF!</v>
      </c>
      <c r="K46" s="60" t="e">
        <f>VLOOKUP($B46,#REF!,COLUMNS($B46:K46),0)</f>
        <v>#REF!</v>
      </c>
      <c r="L46" s="61" t="e">
        <f>VLOOKUP($B46,#REF!,COLUMNS($B46:L46),0)</f>
        <v>#REF!</v>
      </c>
      <c r="M46" s="61" t="e">
        <f>VLOOKUP($B46,#REF!,COLUMNS($B46:M46),0)</f>
        <v>#REF!</v>
      </c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  <c r="AA46" s="65"/>
      <c r="AB46" s="65"/>
      <c r="AC46" s="65"/>
      <c r="AD46" s="97" t="s">
        <v>579</v>
      </c>
      <c r="AE46" s="36" t="e">
        <f ca="1">_xll.BDP($AD46,AE$10)</f>
        <v>#NAME?</v>
      </c>
      <c r="AF46" s="36" t="e">
        <f ca="1">_xll.BDH($AD46,AF$10,$C$5,$C$5,"EQY_FUND_CRNCY=USD")</f>
        <v>#NAME?</v>
      </c>
      <c r="AG46" s="36" t="e">
        <f ca="1">_xll.BDH($AD46,AG$10,$C$5,$C$5,"EQY_FUND_CRNCY=USD")</f>
        <v>#NAME?</v>
      </c>
      <c r="AH46" s="36"/>
      <c r="AI46" s="36" t="e">
        <f ca="1">_xll.BDP($AD46,AI$10,"EQY_FUND_CRNCY=USD","FA_ADJUSTED=Y")</f>
        <v>#NAME?</v>
      </c>
      <c r="AJ46" s="36" t="e">
        <f ca="1">_xll.BDP($AD46,AJ$10,"BEST_FPERIOD_OVERRIDE=1TY","EQY_FUND_CRNCY=USD","FA_ADJUSTED=Y")</f>
        <v>#NAME?</v>
      </c>
      <c r="AK46" s="44" t="e">
        <f t="shared" ca="1" si="1"/>
        <v>#NAME?</v>
      </c>
      <c r="AL46" s="36" t="e">
        <f ca="1">_xll.BDP($AD46,AL$10,"EQY_FUND_CRNCY=USD","FA_ADJUSTED=Y")</f>
        <v>#NAME?</v>
      </c>
      <c r="AM46" s="36" t="e">
        <f ca="1">_xll.BDP($AD46,AM$10,"BEST_FPERIOD_OVERRIDE=1TY","EQY_FUND_CRNCY=USD","FA_ADJUSTED=Y")</f>
        <v>#NAME?</v>
      </c>
      <c r="AN46" s="36" t="e">
        <f ca="1">_xll.BDP($AD46,AN$10,"BEST_FPERIOD_OVERRIDE=1TY","EQY_FUND_CRNCY=USD","FA_ADJUSTED=Y")</f>
        <v>#NAME?</v>
      </c>
      <c r="AO46" s="36" t="e">
        <f ca="1">_xll.BDP($AD46,AO$10,"BEST_FPERIOD_OVERRIDE=1TY","EQY_FUND_CRNCY=USD","FA_ADJUSTED=Y")</f>
        <v>#NAME?</v>
      </c>
      <c r="AP46" s="36" t="e">
        <f ca="1">_xll.BDP($AD46,AP$10,"BEST_FPERIOD_OVERRIDE=1TY","EQY_FUND_CRNCY=USD","FA_ADJUSTED=Y")</f>
        <v>#NAME?</v>
      </c>
      <c r="AQ46" s="36" t="e">
        <f ca="1">_xll.BDP($AD46,AQ$10,"EQY_FUND_CRNCY=USD","FA_ADJUSTED=Y")</f>
        <v>#NAME?</v>
      </c>
      <c r="AR46" s="36" t="e">
        <f ca="1">_xll.BDP($AD46,AR$10,"BEST_FPERIOD_OVERRIDE=1TY","EQY_FUND_CRNCY=USD","FA_ADJUSTED=Y")</f>
        <v>#NAME?</v>
      </c>
      <c r="AS46" s="36" t="e">
        <f ca="1">_xll.BDP($AD46,AS$10,"EQY_FUND_CRNCY=USD","FA_ADJUSTED=Y")</f>
        <v>#NAME?</v>
      </c>
      <c r="AT46" s="36" t="e">
        <f ca="1">_xll.BDP($AD46,AT$10,"BEST_FPERIOD_OVERRIDE=1TY","EQY_FUND_CRNCY=USD","FA_ADJUSTED=Y")</f>
        <v>#NAME?</v>
      </c>
      <c r="AV46" s="1" t="s">
        <v>579</v>
      </c>
      <c r="AW46" s="1" t="s">
        <v>495</v>
      </c>
      <c r="AX46" s="36">
        <v>2161.4445000000001</v>
      </c>
      <c r="AY46" s="36">
        <v>2057.9794999999999</v>
      </c>
      <c r="AZ46" s="36">
        <v>215.20100000000002</v>
      </c>
      <c r="BA46" s="36">
        <v>265.75200000000001</v>
      </c>
      <c r="BB46" s="36">
        <v>0.2349013248079701</v>
      </c>
      <c r="BC46" s="114">
        <v>106.53599938964844</v>
      </c>
      <c r="BD46" s="36">
        <v>52.910000000000004</v>
      </c>
      <c r="BE46" s="36">
        <v>40.338000000000001</v>
      </c>
      <c r="BF46" s="36">
        <v>41.17</v>
      </c>
      <c r="BG46" s="36">
        <v>37.179000000000002</v>
      </c>
      <c r="BH46" s="36">
        <v>-7.5960000000000001</v>
      </c>
      <c r="BI46" s="36">
        <v>28.12</v>
      </c>
      <c r="BJ46" s="36">
        <v>-24.3462</v>
      </c>
      <c r="BK46" s="36">
        <v>2.1080000000000001</v>
      </c>
      <c r="BL46" s="36">
        <v>557.30000000000007</v>
      </c>
    </row>
    <row r="47" spans="1:64" ht="30" customHeight="1" x14ac:dyDescent="0.2">
      <c r="B47" s="62" t="s">
        <v>482</v>
      </c>
      <c r="C47" s="54" t="e">
        <f>VLOOKUP($B47,#REF!,COLUMNS($B47:C47),0)</f>
        <v>#REF!</v>
      </c>
      <c r="D47" s="66" t="e">
        <f>VLOOKUP($B47,#REF!,COLUMNS($B47:D47),0)</f>
        <v>#REF!</v>
      </c>
      <c r="E47" s="66" t="e">
        <f>VLOOKUP($B47,#REF!,COLUMNS($B47:E47),0)</f>
        <v>#REF!</v>
      </c>
      <c r="F47" s="67" t="e">
        <f>VLOOKUP($B47,#REF!,COLUMNS($B47:F47),0)</f>
        <v>#REF!</v>
      </c>
      <c r="G47" s="68" t="e">
        <f>VLOOKUP($B47,#REF!,COLUMNS($B47:G47),0)</f>
        <v>#REF!</v>
      </c>
      <c r="H47" s="69" t="e">
        <f>VLOOKUP($B47,#REF!,COLUMNS($B47:H47),0)</f>
        <v>#REF!</v>
      </c>
      <c r="I47" s="70" t="e">
        <f>VLOOKUP($B47,#REF!,COLUMNS($B47:I47),0)</f>
        <v>#REF!</v>
      </c>
      <c r="J47" s="71" t="e">
        <f>VLOOKUP($B47,#REF!,COLUMNS($B47:J47),0)</f>
        <v>#REF!</v>
      </c>
      <c r="K47" s="60" t="e">
        <f>VLOOKUP($B47,#REF!,COLUMNS($B47:K47),0)</f>
        <v>#REF!</v>
      </c>
      <c r="L47" s="61" t="e">
        <f>VLOOKUP($B47,#REF!,COLUMNS($B47:L47),0)</f>
        <v>#REF!</v>
      </c>
      <c r="M47" s="61" t="e">
        <f>VLOOKUP($B47,#REF!,COLUMNS($B47:M47),0)</f>
        <v>#REF!</v>
      </c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65"/>
      <c r="AA47" s="65"/>
      <c r="AB47" s="65"/>
      <c r="AC47" s="65"/>
      <c r="AD47" s="97" t="s">
        <v>580</v>
      </c>
      <c r="AE47" s="36" t="e">
        <f ca="1">_xll.BDP($AD47,AE$10)</f>
        <v>#NAME?</v>
      </c>
      <c r="AF47" s="36" t="e">
        <f ca="1">_xll.BDH($AD47,AF$10,$C$5,$C$5,"EQY_FUND_CRNCY=USD")</f>
        <v>#NAME?</v>
      </c>
      <c r="AG47" s="36" t="e">
        <f ca="1">_xll.BDH($AD47,AG$10,$C$5,$C$5,"EQY_FUND_CRNCY=USD")</f>
        <v>#NAME?</v>
      </c>
      <c r="AH47" s="36"/>
      <c r="AI47" s="36" t="e">
        <f ca="1">_xll.BDP($AD47,AI$10,"EQY_FUND_CRNCY=USD","FA_ADJUSTED=Y")</f>
        <v>#NAME?</v>
      </c>
      <c r="AJ47" s="36" t="e">
        <f ca="1">_xll.BDP($AD47,AJ$10,"BEST_FPERIOD_OVERRIDE=1TY","EQY_FUND_CRNCY=USD","FA_ADJUSTED=Y")</f>
        <v>#NAME?</v>
      </c>
      <c r="AK47" s="44" t="e">
        <f t="shared" ca="1" si="1"/>
        <v>#NAME?</v>
      </c>
      <c r="AL47" s="36" t="e">
        <f ca="1">_xll.BDP($AD47,AL$10,"EQY_FUND_CRNCY=USD","FA_ADJUSTED=Y")</f>
        <v>#NAME?</v>
      </c>
      <c r="AM47" s="36" t="e">
        <f ca="1">_xll.BDP($AD47,AM$10,"BEST_FPERIOD_OVERRIDE=1TY","EQY_FUND_CRNCY=USD","FA_ADJUSTED=Y")</f>
        <v>#NAME?</v>
      </c>
      <c r="AN47" s="36" t="e">
        <f ca="1">_xll.BDP($AD47,AN$10,"BEST_FPERIOD_OVERRIDE=1TY","EQY_FUND_CRNCY=USD","FA_ADJUSTED=Y")</f>
        <v>#NAME?</v>
      </c>
      <c r="AO47" s="36" t="e">
        <f ca="1">_xll.BDP($AD47,AO$10,"BEST_FPERIOD_OVERRIDE=1TY","EQY_FUND_CRNCY=USD","FA_ADJUSTED=Y")</f>
        <v>#NAME?</v>
      </c>
      <c r="AP47" s="36" t="e">
        <f ca="1">_xll.BDP($AD47,AP$10,"BEST_FPERIOD_OVERRIDE=1TY","EQY_FUND_CRNCY=USD","FA_ADJUSTED=Y")</f>
        <v>#NAME?</v>
      </c>
      <c r="AQ47" s="36" t="e">
        <f ca="1">_xll.BDP($AD47,AQ$10,"EQY_FUND_CRNCY=USD","FA_ADJUSTED=Y")</f>
        <v>#NAME?</v>
      </c>
      <c r="AR47" s="36" t="e">
        <f ca="1">_xll.BDP($AD47,AR$10,"BEST_FPERIOD_OVERRIDE=1TY","EQY_FUND_CRNCY=USD","FA_ADJUSTED=Y")</f>
        <v>#NAME?</v>
      </c>
      <c r="AS47" s="36" t="e">
        <f ca="1">_xll.BDP($AD47,AS$10,"EQY_FUND_CRNCY=USD","FA_ADJUSTED=Y")</f>
        <v>#NAME?</v>
      </c>
      <c r="AT47" s="36" t="e">
        <f ca="1">_xll.BDP($AD47,AT$10,"BEST_FPERIOD_OVERRIDE=1TY","EQY_FUND_CRNCY=USD","FA_ADJUSTED=Y")</f>
        <v>#NAME?</v>
      </c>
      <c r="AV47" s="1" t="s">
        <v>580</v>
      </c>
      <c r="AW47" s="1" t="s">
        <v>495</v>
      </c>
      <c r="AX47" s="36">
        <v>1493.6564000000001</v>
      </c>
      <c r="AY47" s="36">
        <v>1326.9194</v>
      </c>
      <c r="AZ47" s="36">
        <v>128.28899999999999</v>
      </c>
      <c r="BA47" s="36">
        <v>156.166</v>
      </c>
      <c r="BB47" s="36">
        <v>0.21729844335835513</v>
      </c>
      <c r="BC47" s="114">
        <v>95.234000320434575</v>
      </c>
      <c r="BD47" s="36">
        <v>76.150000000000006</v>
      </c>
      <c r="BE47" s="36">
        <v>29.642999999999997</v>
      </c>
      <c r="BF47" s="36">
        <v>28.184999999999999</v>
      </c>
      <c r="BG47" s="36">
        <v>30.100999999999999</v>
      </c>
      <c r="BH47" s="36">
        <v>4.5019999999999998</v>
      </c>
      <c r="BI47" s="36">
        <v>18.233000000000001</v>
      </c>
      <c r="BJ47" s="36">
        <v>-4.702</v>
      </c>
      <c r="BK47" s="36">
        <v>8.918000000000001</v>
      </c>
      <c r="BL47" s="36">
        <v>523.6</v>
      </c>
    </row>
    <row r="48" spans="1:64" ht="30" customHeight="1" x14ac:dyDescent="0.2">
      <c r="B48" s="63"/>
      <c r="C48" s="63"/>
      <c r="D48" s="63"/>
      <c r="E48" s="63"/>
      <c r="F48" s="63"/>
      <c r="G48" s="64" t="s">
        <v>483</v>
      </c>
      <c r="H48" s="29" t="e">
        <f t="shared" ref="H48:M48" si="8">AVERAGE(H42:H47)</f>
        <v>#REF!</v>
      </c>
      <c r="I48" s="30" t="e">
        <f t="shared" si="8"/>
        <v>#REF!</v>
      </c>
      <c r="J48" s="32" t="e">
        <f t="shared" si="8"/>
        <v>#REF!</v>
      </c>
      <c r="K48" s="32" t="e">
        <f t="shared" si="8"/>
        <v>#REF!</v>
      </c>
      <c r="L48" s="33" t="e">
        <f t="shared" si="8"/>
        <v>#REF!</v>
      </c>
      <c r="M48" s="33" t="e">
        <f t="shared" si="8"/>
        <v>#REF!</v>
      </c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97" t="s">
        <v>581</v>
      </c>
      <c r="AE48" s="36" t="e">
        <f ca="1">_xll.BDP($AD48,AE$10)</f>
        <v>#NAME?</v>
      </c>
      <c r="AF48" s="36" t="e">
        <f ca="1">_xll.BDH($AD48,AF$10,$C$5,$C$5,"EQY_FUND_CRNCY=USD")</f>
        <v>#NAME?</v>
      </c>
      <c r="AG48" s="36" t="e">
        <f ca="1">_xll.BDH($AD48,AG$10,$C$5,$C$5,"EQY_FUND_CRNCY=USD")</f>
        <v>#NAME?</v>
      </c>
      <c r="AH48" s="36"/>
      <c r="AI48" s="36" t="e">
        <f ca="1">_xll.BDP($AD48,AI$10,"EQY_FUND_CRNCY=USD","FA_ADJUSTED=Y")</f>
        <v>#NAME?</v>
      </c>
      <c r="AJ48" s="36" t="e">
        <f ca="1">_xll.BDP($AD48,AJ$10,"BEST_FPERIOD_OVERRIDE=1TY","EQY_FUND_CRNCY=USD","FA_ADJUSTED=Y")</f>
        <v>#NAME?</v>
      </c>
      <c r="AK48" s="44" t="e">
        <f t="shared" ca="1" si="1"/>
        <v>#NAME?</v>
      </c>
      <c r="AL48" s="36" t="e">
        <f ca="1">_xll.BDP($AD48,AL$10,"EQY_FUND_CRNCY=USD","FA_ADJUSTED=Y")</f>
        <v>#NAME?</v>
      </c>
      <c r="AM48" s="36" t="e">
        <f ca="1">_xll.BDP($AD48,AM$10,"BEST_FPERIOD_OVERRIDE=1TY","EQY_FUND_CRNCY=USD","FA_ADJUSTED=Y")</f>
        <v>#NAME?</v>
      </c>
      <c r="AN48" s="36" t="e">
        <f ca="1">_xll.BDP($AD48,AN$10,"BEST_FPERIOD_OVERRIDE=1TY","EQY_FUND_CRNCY=USD","FA_ADJUSTED=Y")</f>
        <v>#NAME?</v>
      </c>
      <c r="AO48" s="36" t="e">
        <f ca="1">_xll.BDP($AD48,AO$10,"BEST_FPERIOD_OVERRIDE=1TY","EQY_FUND_CRNCY=USD","FA_ADJUSTED=Y")</f>
        <v>#NAME?</v>
      </c>
      <c r="AP48" s="36" t="e">
        <f ca="1">_xll.BDP($AD48,AP$10,"BEST_FPERIOD_OVERRIDE=1TY","EQY_FUND_CRNCY=USD","FA_ADJUSTED=Y")</f>
        <v>#NAME?</v>
      </c>
      <c r="AQ48" s="36" t="e">
        <f ca="1">_xll.BDP($AD48,AQ$10,"EQY_FUND_CRNCY=USD","FA_ADJUSTED=Y")</f>
        <v>#NAME?</v>
      </c>
      <c r="AR48" s="36" t="e">
        <f ca="1">_xll.BDP($AD48,AR$10,"BEST_FPERIOD_OVERRIDE=1TY","EQY_FUND_CRNCY=USD","FA_ADJUSTED=Y")</f>
        <v>#NAME?</v>
      </c>
      <c r="AS48" s="36" t="e">
        <f ca="1">_xll.BDP($AD48,AS$10,"EQY_FUND_CRNCY=USD","FA_ADJUSTED=Y")</f>
        <v>#NAME?</v>
      </c>
      <c r="AT48" s="36" t="e">
        <f ca="1">_xll.BDP($AD48,AT$10,"BEST_FPERIOD_OVERRIDE=1TY","EQY_FUND_CRNCY=USD","FA_ADJUSTED=Y")</f>
        <v>#NAME?</v>
      </c>
      <c r="AV48" s="1" t="s">
        <v>581</v>
      </c>
      <c r="AW48" s="1" t="s">
        <v>495</v>
      </c>
      <c r="AX48" s="36">
        <v>2251.9441000000002</v>
      </c>
      <c r="AY48" s="36">
        <v>2137.0711000000001</v>
      </c>
      <c r="AZ48" s="36">
        <v>202.84200000000001</v>
      </c>
      <c r="BA48" s="36">
        <v>246.78800000000001</v>
      </c>
      <c r="BB48" s="36">
        <v>0.21665138383569471</v>
      </c>
      <c r="BC48" s="114">
        <v>157.49099987792968</v>
      </c>
      <c r="BD48" s="36">
        <v>81.329000000000008</v>
      </c>
      <c r="BE48" s="36">
        <v>23.873999999999999</v>
      </c>
      <c r="BF48" s="36">
        <v>109.77500000000001</v>
      </c>
      <c r="BG48" s="36">
        <v>36.956000000000003</v>
      </c>
      <c r="BH48" s="36">
        <v>-13.472000000000001</v>
      </c>
      <c r="BI48" s="36">
        <v>12.863</v>
      </c>
      <c r="BJ48" s="36">
        <v>-33.920332731689001</v>
      </c>
      <c r="BK48" s="36">
        <v>2.661</v>
      </c>
      <c r="BL48" s="36">
        <v>429.33500000000004</v>
      </c>
    </row>
    <row r="49" spans="1:64" ht="30" customHeight="1" x14ac:dyDescent="0.2">
      <c r="B49" s="63"/>
      <c r="C49" s="63"/>
      <c r="D49" s="63"/>
      <c r="E49" s="63"/>
      <c r="F49" s="63"/>
      <c r="G49" s="64" t="s">
        <v>484</v>
      </c>
      <c r="H49" s="29" t="e">
        <f t="shared" ref="H49:M49" si="9">MEDIAN(H42:H47)</f>
        <v>#REF!</v>
      </c>
      <c r="I49" s="30" t="e">
        <f t="shared" si="9"/>
        <v>#REF!</v>
      </c>
      <c r="J49" s="32" t="e">
        <f t="shared" si="9"/>
        <v>#REF!</v>
      </c>
      <c r="K49" s="32" t="e">
        <f t="shared" si="9"/>
        <v>#REF!</v>
      </c>
      <c r="L49" s="33" t="e">
        <f t="shared" si="9"/>
        <v>#REF!</v>
      </c>
      <c r="M49" s="33" t="e">
        <f t="shared" si="9"/>
        <v>#REF!</v>
      </c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  <c r="AA49" s="65"/>
      <c r="AB49" s="65"/>
      <c r="AC49" s="65"/>
      <c r="AD49" s="113" t="s">
        <v>267</v>
      </c>
      <c r="AE49" s="36" t="e">
        <f ca="1">_xll.BDP($AD49,AE$10)</f>
        <v>#NAME?</v>
      </c>
      <c r="AF49" s="36" t="e">
        <f ca="1">_xll.BDH($AD49,AF$10,$C$5,$C$5,"EQY_FUND_CRNCY=USD")</f>
        <v>#NAME?</v>
      </c>
      <c r="AG49" s="36" t="e">
        <f ca="1">_xll.BDH($AD49,AG$10,$C$5,$C$5,"EQY_FUND_CRNCY=USD")</f>
        <v>#NAME?</v>
      </c>
      <c r="AH49" s="36"/>
      <c r="AI49" s="36" t="e">
        <f ca="1">_xll.BDP($AD49,AI$10,"EQY_FUND_CRNCY=USD","FA_ADJUSTED=Y")</f>
        <v>#NAME?</v>
      </c>
      <c r="AJ49" s="36" t="e">
        <f ca="1">_xll.BDP($AD49,AJ$10,"BEST_FPERIOD_OVERRIDE=1TY","EQY_FUND_CRNCY=USD","FA_ADJUSTED=Y")</f>
        <v>#NAME?</v>
      </c>
      <c r="AK49" s="44" t="e">
        <f t="shared" ca="1" si="1"/>
        <v>#NAME?</v>
      </c>
      <c r="AL49" s="36" t="e">
        <f ca="1">_xll.BDP($AD49,AL$10,"EQY_FUND_CRNCY=USD","FA_ADJUSTED=Y")</f>
        <v>#NAME?</v>
      </c>
      <c r="AM49" s="36" t="e">
        <f ca="1">_xll.BDP($AD49,AM$10,"BEST_FPERIOD_OVERRIDE=1TY","EQY_FUND_CRNCY=USD","FA_ADJUSTED=Y")</f>
        <v>#NAME?</v>
      </c>
      <c r="AN49" s="36" t="e">
        <f ca="1">_xll.BDP($AD49,AN$10,"BEST_FPERIOD_OVERRIDE=1TY","EQY_FUND_CRNCY=USD","FA_ADJUSTED=Y")</f>
        <v>#NAME?</v>
      </c>
      <c r="AO49" s="36" t="e">
        <f ca="1">_xll.BDP($AD49,AO$10,"BEST_FPERIOD_OVERRIDE=1TY","EQY_FUND_CRNCY=USD","FA_ADJUSTED=Y")</f>
        <v>#NAME?</v>
      </c>
      <c r="AP49" s="36" t="e">
        <f ca="1">_xll.BDP($AD49,AP$10,"BEST_FPERIOD_OVERRIDE=1TY","EQY_FUND_CRNCY=USD","FA_ADJUSTED=Y")</f>
        <v>#NAME?</v>
      </c>
      <c r="AQ49" s="36" t="e">
        <f ca="1">_xll.BDP($AD49,AQ$10,"EQY_FUND_CRNCY=USD","FA_ADJUSTED=Y")</f>
        <v>#NAME?</v>
      </c>
      <c r="AR49" s="36" t="e">
        <f ca="1">_xll.BDP($AD49,AR$10,"BEST_FPERIOD_OVERRIDE=1TY","EQY_FUND_CRNCY=USD","FA_ADJUSTED=Y")</f>
        <v>#NAME?</v>
      </c>
      <c r="AS49" s="36" t="e">
        <f ca="1">_xll.BDP($AD49,AS$10,"EQY_FUND_CRNCY=USD","FA_ADJUSTED=Y")</f>
        <v>#NAME?</v>
      </c>
      <c r="AT49" s="36" t="e">
        <f ca="1">_xll.BDP($AD49,AT$10,"BEST_FPERIOD_OVERRIDE=1TY","EQY_FUND_CRNCY=USD","FA_ADJUSTED=Y")</f>
        <v>#NAME?</v>
      </c>
      <c r="AV49" s="1" t="s">
        <v>267</v>
      </c>
      <c r="AW49" s="1" t="s">
        <v>495</v>
      </c>
      <c r="AX49" s="36">
        <v>1422.3176000000001</v>
      </c>
      <c r="AY49" s="36">
        <v>1340.8635999999999</v>
      </c>
      <c r="AZ49" s="36">
        <v>309.411</v>
      </c>
      <c r="BA49" s="36">
        <v>376.04599999999999</v>
      </c>
      <c r="BB49" s="36">
        <v>0.21536079842022415</v>
      </c>
      <c r="BC49" s="114">
        <v>220.4609998474121</v>
      </c>
      <c r="BD49" s="36">
        <v>74.707999999999998</v>
      </c>
      <c r="BE49" s="36">
        <v>101.09399999999999</v>
      </c>
      <c r="BF49" s="36">
        <v>200.18799999999999</v>
      </c>
      <c r="BG49" s="36">
        <v>78.281999999999996</v>
      </c>
      <c r="BH49" s="36">
        <v>-163.124</v>
      </c>
      <c r="BI49" s="36">
        <v>-38.413000000000004</v>
      </c>
      <c r="BJ49" s="36">
        <v>-176.84800000000001</v>
      </c>
      <c r="BK49" s="36">
        <v>-41.511000000000003</v>
      </c>
      <c r="BL49" s="36">
        <v>771.38900000000001</v>
      </c>
    </row>
    <row r="50" spans="1:64" ht="30" customHeight="1" x14ac:dyDescent="0.2">
      <c r="B50" s="65"/>
      <c r="C50" s="65"/>
      <c r="D50" s="65"/>
      <c r="E50" s="65"/>
      <c r="F50" s="65"/>
      <c r="G50" s="64" t="s">
        <v>485</v>
      </c>
      <c r="H50" s="29" t="e">
        <f t="shared" ref="H50:M50" si="10">MAX(H42:H47)</f>
        <v>#REF!</v>
      </c>
      <c r="I50" s="30" t="e">
        <f t="shared" si="10"/>
        <v>#REF!</v>
      </c>
      <c r="J50" s="32" t="e">
        <f t="shared" si="10"/>
        <v>#REF!</v>
      </c>
      <c r="K50" s="32" t="e">
        <f t="shared" si="10"/>
        <v>#REF!</v>
      </c>
      <c r="L50" s="33" t="e">
        <f t="shared" si="10"/>
        <v>#REF!</v>
      </c>
      <c r="M50" s="33" t="e">
        <f t="shared" si="10"/>
        <v>#REF!</v>
      </c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  <c r="AA50" s="65"/>
      <c r="AB50" s="65"/>
      <c r="AC50" s="65"/>
      <c r="AD50" s="97" t="s">
        <v>582</v>
      </c>
      <c r="AE50" s="36" t="e">
        <f ca="1">_xll.BDP($AD50,AE$10)</f>
        <v>#NAME?</v>
      </c>
      <c r="AF50" s="36" t="e">
        <f ca="1">_xll.BDH($AD50,AF$10,$C$5,$C$5,"EQY_FUND_CRNCY=USD")</f>
        <v>#NAME?</v>
      </c>
      <c r="AG50" s="36" t="e">
        <f ca="1">_xll.BDH($AD50,AG$10,$C$5,$C$5,"EQY_FUND_CRNCY=USD")</f>
        <v>#NAME?</v>
      </c>
      <c r="AH50" s="36"/>
      <c r="AI50" s="36" t="e">
        <f ca="1">_xll.BDP($AD50,AI$10,"EQY_FUND_CRNCY=USD","FA_ADJUSTED=Y")</f>
        <v>#NAME?</v>
      </c>
      <c r="AJ50" s="36" t="e">
        <f ca="1">_xll.BDP($AD50,AJ$10,"BEST_FPERIOD_OVERRIDE=1TY","EQY_FUND_CRNCY=USD","FA_ADJUSTED=Y")</f>
        <v>#NAME?</v>
      </c>
      <c r="AK50" s="44" t="e">
        <f t="shared" ca="1" si="1"/>
        <v>#NAME?</v>
      </c>
      <c r="AL50" s="36" t="e">
        <f ca="1">_xll.BDP($AD50,AL$10,"EQY_FUND_CRNCY=USD","FA_ADJUSTED=Y")</f>
        <v>#NAME?</v>
      </c>
      <c r="AM50" s="36" t="e">
        <f ca="1">_xll.BDP($AD50,AM$10,"BEST_FPERIOD_OVERRIDE=1TY","EQY_FUND_CRNCY=USD","FA_ADJUSTED=Y")</f>
        <v>#NAME?</v>
      </c>
      <c r="AN50" s="36" t="e">
        <f ca="1">_xll.BDP($AD50,AN$10,"BEST_FPERIOD_OVERRIDE=1TY","EQY_FUND_CRNCY=USD","FA_ADJUSTED=Y")</f>
        <v>#NAME?</v>
      </c>
      <c r="AO50" s="36" t="e">
        <f ca="1">_xll.BDP($AD50,AO$10,"BEST_FPERIOD_OVERRIDE=1TY","EQY_FUND_CRNCY=USD","FA_ADJUSTED=Y")</f>
        <v>#NAME?</v>
      </c>
      <c r="AP50" s="36" t="e">
        <f ca="1">_xll.BDP($AD50,AP$10,"BEST_FPERIOD_OVERRIDE=1TY","EQY_FUND_CRNCY=USD","FA_ADJUSTED=Y")</f>
        <v>#NAME?</v>
      </c>
      <c r="AQ50" s="36" t="e">
        <f ca="1">_xll.BDP($AD50,AQ$10,"EQY_FUND_CRNCY=USD","FA_ADJUSTED=Y")</f>
        <v>#NAME?</v>
      </c>
      <c r="AR50" s="36" t="e">
        <f ca="1">_xll.BDP($AD50,AR$10,"BEST_FPERIOD_OVERRIDE=1TY","EQY_FUND_CRNCY=USD","FA_ADJUSTED=Y")</f>
        <v>#NAME?</v>
      </c>
      <c r="AS50" s="36" t="e">
        <f ca="1">_xll.BDP($AD50,AS$10,"EQY_FUND_CRNCY=USD","FA_ADJUSTED=Y")</f>
        <v>#NAME?</v>
      </c>
      <c r="AT50" s="36" t="e">
        <f ca="1">_xll.BDP($AD50,AT$10,"BEST_FPERIOD_OVERRIDE=1TY","EQY_FUND_CRNCY=USD","FA_ADJUSTED=Y")</f>
        <v>#NAME?</v>
      </c>
      <c r="AV50" s="1" t="s">
        <v>582</v>
      </c>
      <c r="AW50" s="1" t="s">
        <v>495</v>
      </c>
      <c r="AX50" s="36">
        <v>5070.8199000000004</v>
      </c>
      <c r="AY50" s="36">
        <v>5193.5509000000002</v>
      </c>
      <c r="AZ50" s="36">
        <v>774.29099999999994</v>
      </c>
      <c r="BA50" s="36">
        <v>940.42899999999997</v>
      </c>
      <c r="BB50" s="36">
        <v>0.21456790793125591</v>
      </c>
      <c r="BC50" s="114">
        <v>470.14299932861331</v>
      </c>
      <c r="BD50" s="36">
        <v>64.5</v>
      </c>
      <c r="BE50" s="36">
        <v>89.451999999999998</v>
      </c>
      <c r="BF50" s="36">
        <v>165.07900000000001</v>
      </c>
      <c r="BG50" s="36">
        <v>112.97499999999999</v>
      </c>
      <c r="BH50" s="36">
        <v>151.96100000000001</v>
      </c>
      <c r="BI50" s="36">
        <v>254.5</v>
      </c>
      <c r="BJ50" s="36">
        <v>39.375608755979997</v>
      </c>
      <c r="BK50" s="36">
        <v>147.19200000000001</v>
      </c>
      <c r="BL50" s="36">
        <v>1047.7170000000001</v>
      </c>
    </row>
    <row r="51" spans="1:64" ht="30" customHeight="1" x14ac:dyDescent="0.2">
      <c r="B51" s="65"/>
      <c r="C51" s="65"/>
      <c r="D51" s="65"/>
      <c r="E51" s="65"/>
      <c r="F51" s="65"/>
      <c r="G51" s="64" t="s">
        <v>486</v>
      </c>
      <c r="H51" s="29" t="e">
        <f t="shared" ref="H51:M51" si="11">MIN(H42:H47)</f>
        <v>#REF!</v>
      </c>
      <c r="I51" s="30" t="e">
        <f t="shared" si="11"/>
        <v>#REF!</v>
      </c>
      <c r="J51" s="32" t="e">
        <f t="shared" si="11"/>
        <v>#REF!</v>
      </c>
      <c r="K51" s="32" t="e">
        <f t="shared" si="11"/>
        <v>#REF!</v>
      </c>
      <c r="L51" s="33" t="e">
        <f t="shared" si="11"/>
        <v>#REF!</v>
      </c>
      <c r="M51" s="33" t="e">
        <f t="shared" si="11"/>
        <v>#REF!</v>
      </c>
      <c r="N51" s="65"/>
      <c r="O51" s="65"/>
      <c r="P51" s="65"/>
      <c r="Q51" s="65"/>
      <c r="R51" s="65"/>
      <c r="S51" s="65"/>
      <c r="T51" s="65"/>
      <c r="U51" s="65"/>
      <c r="V51" s="65"/>
      <c r="W51" s="65"/>
      <c r="X51" s="65"/>
      <c r="Y51" s="65"/>
      <c r="Z51" s="65"/>
      <c r="AA51" s="65"/>
      <c r="AB51" s="65"/>
      <c r="AC51" s="65"/>
      <c r="AD51" s="97" t="s">
        <v>583</v>
      </c>
      <c r="AE51" s="36" t="e">
        <f ca="1">_xll.BDP($AD51,AE$10)</f>
        <v>#NAME?</v>
      </c>
      <c r="AF51" s="36" t="e">
        <f ca="1">_xll.BDH($AD51,AF$10,$C$5,$C$5,"EQY_FUND_CRNCY=USD")</f>
        <v>#NAME?</v>
      </c>
      <c r="AG51" s="36" t="e">
        <f ca="1">_xll.BDH($AD51,AG$10,$C$5,$C$5,"EQY_FUND_CRNCY=USD")</f>
        <v>#NAME?</v>
      </c>
      <c r="AH51" s="36"/>
      <c r="AI51" s="36" t="e">
        <f ca="1">_xll.BDP($AD51,AI$10,"EQY_FUND_CRNCY=USD","FA_ADJUSTED=Y")</f>
        <v>#NAME?</v>
      </c>
      <c r="AJ51" s="36" t="e">
        <f ca="1">_xll.BDP($AD51,AJ$10,"BEST_FPERIOD_OVERRIDE=1TY","EQY_FUND_CRNCY=USD","FA_ADJUSTED=Y")</f>
        <v>#NAME?</v>
      </c>
      <c r="AK51" s="44" t="e">
        <f t="shared" ca="1" si="1"/>
        <v>#NAME?</v>
      </c>
      <c r="AL51" s="36" t="e">
        <f ca="1">_xll.BDP($AD51,AL$10,"EQY_FUND_CRNCY=USD","FA_ADJUSTED=Y")</f>
        <v>#NAME?</v>
      </c>
      <c r="AM51" s="36" t="e">
        <f ca="1">_xll.BDP($AD51,AM$10,"BEST_FPERIOD_OVERRIDE=1TY","EQY_FUND_CRNCY=USD","FA_ADJUSTED=Y")</f>
        <v>#NAME?</v>
      </c>
      <c r="AN51" s="36" t="e">
        <f ca="1">_xll.BDP($AD51,AN$10,"BEST_FPERIOD_OVERRIDE=1TY","EQY_FUND_CRNCY=USD","FA_ADJUSTED=Y")</f>
        <v>#NAME?</v>
      </c>
      <c r="AO51" s="36" t="e">
        <f ca="1">_xll.BDP($AD51,AO$10,"BEST_FPERIOD_OVERRIDE=1TY","EQY_FUND_CRNCY=USD","FA_ADJUSTED=Y")</f>
        <v>#NAME?</v>
      </c>
      <c r="AP51" s="36" t="e">
        <f ca="1">_xll.BDP($AD51,AP$10,"BEST_FPERIOD_OVERRIDE=1TY","EQY_FUND_CRNCY=USD","FA_ADJUSTED=Y")</f>
        <v>#NAME?</v>
      </c>
      <c r="AQ51" s="36" t="e">
        <f ca="1">_xll.BDP($AD51,AQ$10,"EQY_FUND_CRNCY=USD","FA_ADJUSTED=Y")</f>
        <v>#NAME?</v>
      </c>
      <c r="AR51" s="36" t="e">
        <f ca="1">_xll.BDP($AD51,AR$10,"BEST_FPERIOD_OVERRIDE=1TY","EQY_FUND_CRNCY=USD","FA_ADJUSTED=Y")</f>
        <v>#NAME?</v>
      </c>
      <c r="AS51" s="36" t="e">
        <f ca="1">_xll.BDP($AD51,AS$10,"EQY_FUND_CRNCY=USD","FA_ADJUSTED=Y")</f>
        <v>#NAME?</v>
      </c>
      <c r="AT51" s="36" t="e">
        <f ca="1">_xll.BDP($AD51,AT$10,"BEST_FPERIOD_OVERRIDE=1TY","EQY_FUND_CRNCY=USD","FA_ADJUSTED=Y")</f>
        <v>#NAME?</v>
      </c>
      <c r="AV51" s="1" t="s">
        <v>583</v>
      </c>
      <c r="AW51" s="1" t="s">
        <v>495</v>
      </c>
      <c r="AX51" s="36">
        <v>3516.2660999999998</v>
      </c>
      <c r="AY51" s="36">
        <v>3241.5470999999998</v>
      </c>
      <c r="AZ51" s="36">
        <v>219.095</v>
      </c>
      <c r="BA51" s="36">
        <v>265.79300000000001</v>
      </c>
      <c r="BB51" s="36">
        <v>0.21314041853990284</v>
      </c>
      <c r="BC51" s="114">
        <v>150.86900170898437</v>
      </c>
      <c r="BD51" s="36">
        <v>71.73</v>
      </c>
      <c r="BE51" s="36">
        <v>44.536000000000001</v>
      </c>
      <c r="BF51" s="36">
        <v>88.721999999999994</v>
      </c>
      <c r="BG51" s="36">
        <v>38.578000000000003</v>
      </c>
      <c r="BH51" s="36">
        <v>-34.963000000000001</v>
      </c>
      <c r="BI51" s="36">
        <v>4.0910000000000002</v>
      </c>
      <c r="BJ51" s="36">
        <v>-49.332999999999998</v>
      </c>
      <c r="BK51" s="36">
        <v>-6.7450000000000001</v>
      </c>
      <c r="BL51" s="36">
        <v>310.75</v>
      </c>
    </row>
    <row r="52" spans="1:64" x14ac:dyDescent="0.2">
      <c r="AD52" s="97" t="s">
        <v>584</v>
      </c>
      <c r="AE52" s="36" t="e">
        <f ca="1">_xll.BDP($AD52,AE$10)</f>
        <v>#NAME?</v>
      </c>
      <c r="AF52" s="36" t="e">
        <f ca="1">_xll.BDH($AD52,AF$10,$C$5,$C$5,"EQY_FUND_CRNCY=USD")</f>
        <v>#NAME?</v>
      </c>
      <c r="AG52" s="36" t="e">
        <f ca="1">_xll.BDH($AD52,AG$10,$C$5,$C$5,"EQY_FUND_CRNCY=USD")</f>
        <v>#NAME?</v>
      </c>
      <c r="AH52" s="36"/>
      <c r="AI52" s="36" t="e">
        <f ca="1">_xll.BDP($AD52,AI$10,"EQY_FUND_CRNCY=USD","FA_ADJUSTED=Y")</f>
        <v>#NAME?</v>
      </c>
      <c r="AJ52" s="36" t="e">
        <f ca="1">_xll.BDP($AD52,AJ$10,"BEST_FPERIOD_OVERRIDE=1TY","EQY_FUND_CRNCY=USD","FA_ADJUSTED=Y")</f>
        <v>#NAME?</v>
      </c>
      <c r="AK52" s="44" t="e">
        <f t="shared" ca="1" si="1"/>
        <v>#NAME?</v>
      </c>
      <c r="AL52" s="36" t="e">
        <f ca="1">_xll.BDP($AD52,AL$10,"EQY_FUND_CRNCY=USD","FA_ADJUSTED=Y")</f>
        <v>#NAME?</v>
      </c>
      <c r="AM52" s="36" t="e">
        <f ca="1">_xll.BDP($AD52,AM$10,"BEST_FPERIOD_OVERRIDE=1TY","EQY_FUND_CRNCY=USD","FA_ADJUSTED=Y")</f>
        <v>#NAME?</v>
      </c>
      <c r="AN52" s="36" t="e">
        <f ca="1">_xll.BDP($AD52,AN$10,"BEST_FPERIOD_OVERRIDE=1TY","EQY_FUND_CRNCY=USD","FA_ADJUSTED=Y")</f>
        <v>#NAME?</v>
      </c>
      <c r="AO52" s="36" t="e">
        <f ca="1">_xll.BDP($AD52,AO$10,"BEST_FPERIOD_OVERRIDE=1TY","EQY_FUND_CRNCY=USD","FA_ADJUSTED=Y")</f>
        <v>#NAME?</v>
      </c>
      <c r="AP52" s="36" t="e">
        <f ca="1">_xll.BDP($AD52,AP$10,"BEST_FPERIOD_OVERRIDE=1TY","EQY_FUND_CRNCY=USD","FA_ADJUSTED=Y")</f>
        <v>#NAME?</v>
      </c>
      <c r="AQ52" s="36" t="e">
        <f ca="1">_xll.BDP($AD52,AQ$10,"EQY_FUND_CRNCY=USD","FA_ADJUSTED=Y")</f>
        <v>#NAME?</v>
      </c>
      <c r="AR52" s="36" t="e">
        <f ca="1">_xll.BDP($AD52,AR$10,"BEST_FPERIOD_OVERRIDE=1TY","EQY_FUND_CRNCY=USD","FA_ADJUSTED=Y")</f>
        <v>#NAME?</v>
      </c>
      <c r="AS52" s="36" t="e">
        <f ca="1">_xll.BDP($AD52,AS$10,"EQY_FUND_CRNCY=USD","FA_ADJUSTED=Y")</f>
        <v>#NAME?</v>
      </c>
      <c r="AT52" s="36" t="e">
        <f ca="1">_xll.BDP($AD52,AT$10,"BEST_FPERIOD_OVERRIDE=1TY","EQY_FUND_CRNCY=USD","FA_ADJUSTED=Y")</f>
        <v>#NAME?</v>
      </c>
      <c r="AV52" s="1" t="s">
        <v>584</v>
      </c>
      <c r="AW52" s="1" t="s">
        <v>495</v>
      </c>
      <c r="AX52" s="36">
        <v>2651.1046000000001</v>
      </c>
      <c r="AY52" s="36">
        <v>2540.4965999999999</v>
      </c>
      <c r="AZ52" s="36">
        <v>554.70800000000008</v>
      </c>
      <c r="BA52" s="36">
        <v>668.68299999999999</v>
      </c>
      <c r="BB52" s="36">
        <v>0.20546846268667451</v>
      </c>
      <c r="BC52" s="114">
        <v>403.28800524902346</v>
      </c>
      <c r="BD52" s="36">
        <v>73.040000000000006</v>
      </c>
      <c r="BE52" s="36">
        <v>136.791</v>
      </c>
      <c r="BF52" s="36">
        <v>303.31900000000002</v>
      </c>
      <c r="BG52" s="36">
        <v>84.805000000000007</v>
      </c>
      <c r="BH52" s="36">
        <v>-104.10600000000001</v>
      </c>
      <c r="BI52" s="36">
        <v>37.133000000000003</v>
      </c>
      <c r="BJ52" s="36">
        <v>-150.31100000000001</v>
      </c>
      <c r="BK52" s="36">
        <v>-2.8890000000000002</v>
      </c>
      <c r="BL52" s="36">
        <v>1348.825</v>
      </c>
    </row>
    <row r="53" spans="1:64" ht="30" customHeight="1" x14ac:dyDescent="0.2">
      <c r="A53" s="2" t="s">
        <v>457</v>
      </c>
      <c r="B53" s="45" t="s">
        <v>488</v>
      </c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" t="s">
        <v>457</v>
      </c>
      <c r="AD53" s="97" t="s">
        <v>585</v>
      </c>
      <c r="AE53" s="36" t="e">
        <f ca="1">_xll.BDP($AD53,AE$10)</f>
        <v>#NAME?</v>
      </c>
      <c r="AF53" s="36" t="e">
        <f ca="1">_xll.BDH($AD53,AF$10,$C$5,$C$5,"EQY_FUND_CRNCY=USD")</f>
        <v>#NAME?</v>
      </c>
      <c r="AG53" s="36" t="e">
        <f ca="1">_xll.BDH($AD53,AG$10,$C$5,$C$5,"EQY_FUND_CRNCY=USD")</f>
        <v>#NAME?</v>
      </c>
      <c r="AH53" s="36"/>
      <c r="AI53" s="36" t="e">
        <f ca="1">_xll.BDP($AD53,AI$10,"EQY_FUND_CRNCY=USD","FA_ADJUSTED=Y")</f>
        <v>#NAME?</v>
      </c>
      <c r="AJ53" s="36" t="e">
        <f ca="1">_xll.BDP($AD53,AJ$10,"BEST_FPERIOD_OVERRIDE=1TY","EQY_FUND_CRNCY=USD","FA_ADJUSTED=Y")</f>
        <v>#NAME?</v>
      </c>
      <c r="AK53" s="44" t="e">
        <f t="shared" ca="1" si="1"/>
        <v>#NAME?</v>
      </c>
      <c r="AL53" s="36" t="e">
        <f ca="1">_xll.BDP($AD53,AL$10,"EQY_FUND_CRNCY=USD","FA_ADJUSTED=Y")</f>
        <v>#NAME?</v>
      </c>
      <c r="AM53" s="36" t="e">
        <f ca="1">_xll.BDP($AD53,AM$10,"BEST_FPERIOD_OVERRIDE=1TY","EQY_FUND_CRNCY=USD","FA_ADJUSTED=Y")</f>
        <v>#NAME?</v>
      </c>
      <c r="AN53" s="36" t="e">
        <f ca="1">_xll.BDP($AD53,AN$10,"BEST_FPERIOD_OVERRIDE=1TY","EQY_FUND_CRNCY=USD","FA_ADJUSTED=Y")</f>
        <v>#NAME?</v>
      </c>
      <c r="AO53" s="36" t="e">
        <f ca="1">_xll.BDP($AD53,AO$10,"BEST_FPERIOD_OVERRIDE=1TY","EQY_FUND_CRNCY=USD","FA_ADJUSTED=Y")</f>
        <v>#NAME?</v>
      </c>
      <c r="AP53" s="36" t="e">
        <f ca="1">_xll.BDP($AD53,AP$10,"BEST_FPERIOD_OVERRIDE=1TY","EQY_FUND_CRNCY=USD","FA_ADJUSTED=Y")</f>
        <v>#NAME?</v>
      </c>
      <c r="AQ53" s="36" t="e">
        <f ca="1">_xll.BDP($AD53,AQ$10,"EQY_FUND_CRNCY=USD","FA_ADJUSTED=Y")</f>
        <v>#NAME?</v>
      </c>
      <c r="AR53" s="36" t="e">
        <f ca="1">_xll.BDP($AD53,AR$10,"BEST_FPERIOD_OVERRIDE=1TY","EQY_FUND_CRNCY=USD","FA_ADJUSTED=Y")</f>
        <v>#NAME?</v>
      </c>
      <c r="AS53" s="36" t="e">
        <f ca="1">_xll.BDP($AD53,AS$10,"EQY_FUND_CRNCY=USD","FA_ADJUSTED=Y")</f>
        <v>#NAME?</v>
      </c>
      <c r="AT53" s="36" t="e">
        <f ca="1">_xll.BDP($AD53,AT$10,"BEST_FPERIOD_OVERRIDE=1TY","EQY_FUND_CRNCY=USD","FA_ADJUSTED=Y")</f>
        <v>#NAME?</v>
      </c>
      <c r="AV53" s="1" t="s">
        <v>585</v>
      </c>
      <c r="AW53" s="1" t="s">
        <v>495</v>
      </c>
      <c r="AX53" s="36">
        <v>8820.2124000000003</v>
      </c>
      <c r="AY53" s="36">
        <v>8644.9403999999995</v>
      </c>
      <c r="AZ53" s="36">
        <v>1035.461</v>
      </c>
      <c r="BA53" s="36">
        <v>1245.01</v>
      </c>
      <c r="BB53" s="36">
        <v>0.20237266299744738</v>
      </c>
      <c r="BC53" s="114">
        <v>648.36900695800773</v>
      </c>
      <c r="BD53" s="36">
        <v>64.697000000000003</v>
      </c>
      <c r="BE53" s="36">
        <v>150.583</v>
      </c>
      <c r="BF53" s="36">
        <v>269.78100000000001</v>
      </c>
      <c r="BG53" s="36">
        <v>122.119</v>
      </c>
      <c r="BH53" s="36">
        <v>114.41199999999999</v>
      </c>
      <c r="BI53" s="36">
        <v>301.96199999999999</v>
      </c>
      <c r="BJ53" s="36">
        <v>46.960708818636007</v>
      </c>
      <c r="BK53" s="36">
        <v>188.41400000000002</v>
      </c>
      <c r="BL53" s="36">
        <v>217.095</v>
      </c>
    </row>
    <row r="54" spans="1:64" ht="47.25" x14ac:dyDescent="0.2">
      <c r="B54" s="10" t="s">
        <v>424</v>
      </c>
      <c r="C54" s="10" t="s">
        <v>425</v>
      </c>
      <c r="D54" s="11" t="s">
        <v>426</v>
      </c>
      <c r="E54" s="11" t="s">
        <v>427</v>
      </c>
      <c r="F54" s="12" t="s">
        <v>428</v>
      </c>
      <c r="G54" s="13"/>
      <c r="H54" s="14" t="s">
        <v>429</v>
      </c>
      <c r="I54" s="13"/>
      <c r="J54" s="12" t="s">
        <v>430</v>
      </c>
      <c r="K54" s="12" t="s">
        <v>431</v>
      </c>
      <c r="L54" s="15" t="s">
        <v>432</v>
      </c>
      <c r="M54" s="15" t="s">
        <v>433</v>
      </c>
      <c r="AD54" s="97" t="s">
        <v>586</v>
      </c>
      <c r="AE54" s="36" t="e">
        <f ca="1">_xll.BDP($AD54,AE$10)</f>
        <v>#NAME?</v>
      </c>
      <c r="AF54" s="36" t="e">
        <f ca="1">_xll.BDH($AD54,AF$10,$C$5,$C$5,"EQY_FUND_CRNCY=USD")</f>
        <v>#NAME?</v>
      </c>
      <c r="AG54" s="36" t="e">
        <f ca="1">_xll.BDH($AD54,AG$10,$C$5,$C$5,"EQY_FUND_CRNCY=USD")</f>
        <v>#NAME?</v>
      </c>
      <c r="AH54" s="36"/>
      <c r="AI54" s="36" t="e">
        <f ca="1">_xll.BDP($AD54,AI$10,"EQY_FUND_CRNCY=USD","FA_ADJUSTED=Y")</f>
        <v>#NAME?</v>
      </c>
      <c r="AJ54" s="36" t="e">
        <f ca="1">_xll.BDP($AD54,AJ$10,"BEST_FPERIOD_OVERRIDE=1TY","EQY_FUND_CRNCY=USD","FA_ADJUSTED=Y")</f>
        <v>#NAME?</v>
      </c>
      <c r="AK54" s="44" t="e">
        <f t="shared" ca="1" si="1"/>
        <v>#NAME?</v>
      </c>
      <c r="AL54" s="36" t="e">
        <f ca="1">_xll.BDP($AD54,AL$10,"EQY_FUND_CRNCY=USD","FA_ADJUSTED=Y")</f>
        <v>#NAME?</v>
      </c>
      <c r="AM54" s="36" t="e">
        <f ca="1">_xll.BDP($AD54,AM$10,"BEST_FPERIOD_OVERRIDE=1TY","EQY_FUND_CRNCY=USD","FA_ADJUSTED=Y")</f>
        <v>#NAME?</v>
      </c>
      <c r="AN54" s="36" t="e">
        <f ca="1">_xll.BDP($AD54,AN$10,"BEST_FPERIOD_OVERRIDE=1TY","EQY_FUND_CRNCY=USD","FA_ADJUSTED=Y")</f>
        <v>#NAME?</v>
      </c>
      <c r="AO54" s="36" t="e">
        <f ca="1">_xll.BDP($AD54,AO$10,"BEST_FPERIOD_OVERRIDE=1TY","EQY_FUND_CRNCY=USD","FA_ADJUSTED=Y")</f>
        <v>#NAME?</v>
      </c>
      <c r="AP54" s="36" t="e">
        <f ca="1">_xll.BDP($AD54,AP$10,"BEST_FPERIOD_OVERRIDE=1TY","EQY_FUND_CRNCY=USD","FA_ADJUSTED=Y")</f>
        <v>#NAME?</v>
      </c>
      <c r="AQ54" s="36" t="e">
        <f ca="1">_xll.BDP($AD54,AQ$10,"EQY_FUND_CRNCY=USD","FA_ADJUSTED=Y")</f>
        <v>#NAME?</v>
      </c>
      <c r="AR54" s="36" t="e">
        <f ca="1">_xll.BDP($AD54,AR$10,"BEST_FPERIOD_OVERRIDE=1TY","EQY_FUND_CRNCY=USD","FA_ADJUSTED=Y")</f>
        <v>#NAME?</v>
      </c>
      <c r="AS54" s="36" t="e">
        <f ca="1">_xll.BDP($AD54,AS$10,"EQY_FUND_CRNCY=USD","FA_ADJUSTED=Y")</f>
        <v>#NAME?</v>
      </c>
      <c r="AT54" s="36" t="e">
        <f ca="1">_xll.BDP($AD54,AT$10,"BEST_FPERIOD_OVERRIDE=1TY","EQY_FUND_CRNCY=USD","FA_ADJUSTED=Y")</f>
        <v>#NAME?</v>
      </c>
      <c r="AV54" s="1" t="s">
        <v>586</v>
      </c>
      <c r="AW54" s="1" t="s">
        <v>495</v>
      </c>
      <c r="AX54" s="36">
        <v>3288.7471999999998</v>
      </c>
      <c r="AY54" s="36">
        <v>3151.5542</v>
      </c>
      <c r="AZ54" s="36">
        <v>377.52699999999999</v>
      </c>
      <c r="BA54" s="36">
        <v>452.61400000000003</v>
      </c>
      <c r="BB54" s="36">
        <v>0.19889173489578238</v>
      </c>
      <c r="BC54" s="114">
        <v>228.32999908447266</v>
      </c>
      <c r="BD54" s="36">
        <v>66.656999999999996</v>
      </c>
      <c r="BE54" s="36">
        <v>37.644999999999996</v>
      </c>
      <c r="BF54" s="36">
        <v>95.483999999999995</v>
      </c>
      <c r="BG54" s="36">
        <v>79.251999999999995</v>
      </c>
      <c r="BH54" s="36">
        <v>46.511999999999993</v>
      </c>
      <c r="BI54" s="36">
        <v>125.129</v>
      </c>
      <c r="BJ54" s="36">
        <v>3.8283299999999998</v>
      </c>
      <c r="BK54" s="36">
        <v>76.643000000000001</v>
      </c>
      <c r="BL54" s="36">
        <v>349.94299999999998</v>
      </c>
    </row>
    <row r="55" spans="1:64" ht="15.75" x14ac:dyDescent="0.2">
      <c r="B55" s="18"/>
      <c r="C55" s="18"/>
      <c r="D55" s="18"/>
      <c r="E55" s="18"/>
      <c r="F55" s="19" t="s">
        <v>440</v>
      </c>
      <c r="G55" s="20" t="s">
        <v>441</v>
      </c>
      <c r="H55" s="19" t="s">
        <v>440</v>
      </c>
      <c r="I55" s="20" t="s">
        <v>441</v>
      </c>
      <c r="J55" s="19" t="s">
        <v>441</v>
      </c>
      <c r="K55" s="19" t="s">
        <v>440</v>
      </c>
      <c r="L55" s="20" t="s">
        <v>440</v>
      </c>
      <c r="M55" s="20" t="s">
        <v>440</v>
      </c>
      <c r="AD55" s="97" t="s">
        <v>587</v>
      </c>
      <c r="AE55" s="36" t="e">
        <f ca="1">_xll.BDP($AD55,AE$10)</f>
        <v>#NAME?</v>
      </c>
      <c r="AF55" s="36" t="e">
        <f ca="1">_xll.BDH($AD55,AF$10,$C$5,$C$5,"EQY_FUND_CRNCY=USD")</f>
        <v>#NAME?</v>
      </c>
      <c r="AG55" s="36" t="e">
        <f ca="1">_xll.BDH($AD55,AG$10,$C$5,$C$5,"EQY_FUND_CRNCY=USD")</f>
        <v>#NAME?</v>
      </c>
      <c r="AH55" s="36"/>
      <c r="AI55" s="36" t="e">
        <f ca="1">_xll.BDP($AD55,AI$10,"EQY_FUND_CRNCY=USD","FA_ADJUSTED=Y")</f>
        <v>#NAME?</v>
      </c>
      <c r="AJ55" s="36" t="e">
        <f ca="1">_xll.BDP($AD55,AJ$10,"BEST_FPERIOD_OVERRIDE=1TY","EQY_FUND_CRNCY=USD","FA_ADJUSTED=Y")</f>
        <v>#NAME?</v>
      </c>
      <c r="AK55" s="44" t="e">
        <f t="shared" ca="1" si="1"/>
        <v>#NAME?</v>
      </c>
      <c r="AL55" s="36" t="e">
        <f ca="1">_xll.BDP($AD55,AL$10,"EQY_FUND_CRNCY=USD","FA_ADJUSTED=Y")</f>
        <v>#NAME?</v>
      </c>
      <c r="AM55" s="36" t="e">
        <f ca="1">_xll.BDP($AD55,AM$10,"BEST_FPERIOD_OVERRIDE=1TY","EQY_FUND_CRNCY=USD","FA_ADJUSTED=Y")</f>
        <v>#NAME?</v>
      </c>
      <c r="AN55" s="36" t="e">
        <f ca="1">_xll.BDP($AD55,AN$10,"BEST_FPERIOD_OVERRIDE=1TY","EQY_FUND_CRNCY=USD","FA_ADJUSTED=Y")</f>
        <v>#NAME?</v>
      </c>
      <c r="AO55" s="36" t="e">
        <f ca="1">_xll.BDP($AD55,AO$10,"BEST_FPERIOD_OVERRIDE=1TY","EQY_FUND_CRNCY=USD","FA_ADJUSTED=Y")</f>
        <v>#NAME?</v>
      </c>
      <c r="AP55" s="36" t="e">
        <f ca="1">_xll.BDP($AD55,AP$10,"BEST_FPERIOD_OVERRIDE=1TY","EQY_FUND_CRNCY=USD","FA_ADJUSTED=Y")</f>
        <v>#NAME?</v>
      </c>
      <c r="AQ55" s="36" t="e">
        <f ca="1">_xll.BDP($AD55,AQ$10,"EQY_FUND_CRNCY=USD","FA_ADJUSTED=Y")</f>
        <v>#NAME?</v>
      </c>
      <c r="AR55" s="36" t="e">
        <f ca="1">_xll.BDP($AD55,AR$10,"BEST_FPERIOD_OVERRIDE=1TY","EQY_FUND_CRNCY=USD","FA_ADJUSTED=Y")</f>
        <v>#NAME?</v>
      </c>
      <c r="AS55" s="36" t="e">
        <f ca="1">_xll.BDP($AD55,AS$10,"EQY_FUND_CRNCY=USD","FA_ADJUSTED=Y")</f>
        <v>#NAME?</v>
      </c>
      <c r="AT55" s="36" t="e">
        <f ca="1">_xll.BDP($AD55,AT$10,"BEST_FPERIOD_OVERRIDE=1TY","EQY_FUND_CRNCY=USD","FA_ADJUSTED=Y")</f>
        <v>#NAME?</v>
      </c>
      <c r="AV55" s="1" t="s">
        <v>587</v>
      </c>
      <c r="AW55" s="1" t="s">
        <v>506</v>
      </c>
      <c r="AX55" s="36">
        <v>29017.264999999999</v>
      </c>
      <c r="AY55" s="36">
        <v>28442.0455</v>
      </c>
      <c r="AZ55" s="36">
        <v>2684.7350000000001</v>
      </c>
      <c r="BA55" s="36">
        <v>1858.0640000000001</v>
      </c>
      <c r="BB55" s="36">
        <v>-0.30791530635239606</v>
      </c>
      <c r="BC55" s="114">
        <v>1029.4319973144532</v>
      </c>
      <c r="BD55" s="36">
        <v>75.245000000000005</v>
      </c>
      <c r="BE55" s="36">
        <v>321.88799999999998</v>
      </c>
      <c r="BF55" s="36">
        <v>253.17</v>
      </c>
      <c r="BG55" s="36">
        <v>250.553</v>
      </c>
      <c r="BH55" s="36">
        <v>-3.8120000000000012</v>
      </c>
      <c r="BI55" s="36">
        <v>303.834</v>
      </c>
      <c r="BJ55" s="36">
        <v>-55.131</v>
      </c>
      <c r="BK55" s="36">
        <v>298.54700000000003</v>
      </c>
      <c r="BL55" s="36">
        <v>133.304</v>
      </c>
    </row>
    <row r="56" spans="1:64" ht="30" customHeight="1" x14ac:dyDescent="0.2">
      <c r="B56" s="46" t="str">
        <f t="shared" ref="B56:M56" si="12">B$9</f>
        <v>Databricks</v>
      </c>
      <c r="C56" s="46" t="str">
        <f t="shared" si="12"/>
        <v>Advanced big data processing company.</v>
      </c>
      <c r="D56" s="47">
        <f t="shared" si="12"/>
        <v>0</v>
      </c>
      <c r="E56" s="47">
        <f t="shared" si="12"/>
        <v>0</v>
      </c>
      <c r="F56" s="48">
        <f t="shared" si="12"/>
        <v>0</v>
      </c>
      <c r="G56" s="49">
        <f t="shared" si="12"/>
        <v>0</v>
      </c>
      <c r="H56" s="50" t="e">
        <f t="shared" si="12"/>
        <v>#DIV/0!</v>
      </c>
      <c r="I56" s="51" t="e">
        <f t="shared" si="12"/>
        <v>#DIV/0!</v>
      </c>
      <c r="J56" s="52" t="e">
        <f t="shared" si="12"/>
        <v>#DIV/0!</v>
      </c>
      <c r="K56" s="52" t="e">
        <f t="shared" si="12"/>
        <v>#DIV/0!</v>
      </c>
      <c r="L56" s="53" t="e">
        <f t="shared" si="12"/>
        <v>#DIV/0!</v>
      </c>
      <c r="M56" s="53" t="e">
        <f t="shared" si="12"/>
        <v>#DIV/0!</v>
      </c>
      <c r="AD56" s="97" t="s">
        <v>588</v>
      </c>
      <c r="AE56" s="36" t="e">
        <f ca="1">_xll.BDP($AD56,AE$10)</f>
        <v>#NAME?</v>
      </c>
      <c r="AF56" s="36" t="e">
        <f ca="1">_xll.BDH($AD56,AF$10,$C$5,$C$5,"EQY_FUND_CRNCY=USD")</f>
        <v>#NAME?</v>
      </c>
      <c r="AG56" s="36" t="e">
        <f ca="1">_xll.BDH($AD56,AG$10,$C$5,$C$5,"EQY_FUND_CRNCY=USD")</f>
        <v>#NAME?</v>
      </c>
      <c r="AH56" s="36"/>
      <c r="AI56" s="36" t="e">
        <f ca="1">_xll.BDP($AD56,AI$10,"EQY_FUND_CRNCY=USD","FA_ADJUSTED=Y")</f>
        <v>#NAME?</v>
      </c>
      <c r="AJ56" s="36" t="e">
        <f ca="1">_xll.BDP($AD56,AJ$10,"BEST_FPERIOD_OVERRIDE=1TY","EQY_FUND_CRNCY=USD","FA_ADJUSTED=Y")</f>
        <v>#NAME?</v>
      </c>
      <c r="AK56" s="44" t="e">
        <f t="shared" ca="1" si="1"/>
        <v>#NAME?</v>
      </c>
      <c r="AL56" s="36" t="e">
        <f ca="1">_xll.BDP($AD56,AL$10,"EQY_FUND_CRNCY=USD","FA_ADJUSTED=Y")</f>
        <v>#NAME?</v>
      </c>
      <c r="AM56" s="36" t="e">
        <f ca="1">_xll.BDP($AD56,AM$10,"BEST_FPERIOD_OVERRIDE=1TY","EQY_FUND_CRNCY=USD","FA_ADJUSTED=Y")</f>
        <v>#NAME?</v>
      </c>
      <c r="AN56" s="36" t="e">
        <f ca="1">_xll.BDP($AD56,AN$10,"BEST_FPERIOD_OVERRIDE=1TY","EQY_FUND_CRNCY=USD","FA_ADJUSTED=Y")</f>
        <v>#NAME?</v>
      </c>
      <c r="AO56" s="36" t="e">
        <f ca="1">_xll.BDP($AD56,AO$10,"BEST_FPERIOD_OVERRIDE=1TY","EQY_FUND_CRNCY=USD","FA_ADJUSTED=Y")</f>
        <v>#NAME?</v>
      </c>
      <c r="AP56" s="36" t="e">
        <f ca="1">_xll.BDP($AD56,AP$10,"BEST_FPERIOD_OVERRIDE=1TY","EQY_FUND_CRNCY=USD","FA_ADJUSTED=Y")</f>
        <v>#NAME?</v>
      </c>
      <c r="AQ56" s="36" t="e">
        <f ca="1">_xll.BDP($AD56,AQ$10,"EQY_FUND_CRNCY=USD","FA_ADJUSTED=Y")</f>
        <v>#NAME?</v>
      </c>
      <c r="AR56" s="36" t="e">
        <f ca="1">_xll.BDP($AD56,AR$10,"BEST_FPERIOD_OVERRIDE=1TY","EQY_FUND_CRNCY=USD","FA_ADJUSTED=Y")</f>
        <v>#NAME?</v>
      </c>
      <c r="AS56" s="36" t="e">
        <f ca="1">_xll.BDP($AD56,AS$10,"EQY_FUND_CRNCY=USD","FA_ADJUSTED=Y")</f>
        <v>#NAME?</v>
      </c>
      <c r="AT56" s="36" t="e">
        <f ca="1">_xll.BDP($AD56,AT$10,"BEST_FPERIOD_OVERRIDE=1TY","EQY_FUND_CRNCY=USD","FA_ADJUSTED=Y")</f>
        <v>#NAME?</v>
      </c>
      <c r="AV56" s="1" t="s">
        <v>588</v>
      </c>
      <c r="AW56" s="1" t="s">
        <v>615</v>
      </c>
      <c r="AX56" s="36">
        <v>12502.9517</v>
      </c>
      <c r="AY56" s="36">
        <v>11492.5267</v>
      </c>
      <c r="AZ56" s="36">
        <v>766.22400000000005</v>
      </c>
      <c r="BA56" s="36">
        <v>912.07100000000003</v>
      </c>
      <c r="BB56" s="36">
        <v>0.19034512100899992</v>
      </c>
      <c r="BC56" s="114">
        <v>534.71100567626956</v>
      </c>
      <c r="BD56" s="36">
        <v>73.03</v>
      </c>
      <c r="BE56" s="36">
        <v>132.05099999999999</v>
      </c>
      <c r="BF56" s="36">
        <v>130.898</v>
      </c>
      <c r="BG56" s="36">
        <v>60.390999999999998</v>
      </c>
      <c r="BH56" s="36">
        <v>188.203</v>
      </c>
      <c r="BI56" s="36">
        <v>321.14800000000002</v>
      </c>
      <c r="BJ56" s="36">
        <v>162.85600955123999</v>
      </c>
      <c r="BK56" s="36">
        <v>247.148</v>
      </c>
      <c r="BL56" s="36">
        <v>728.4</v>
      </c>
    </row>
    <row r="57" spans="1:64" ht="30" customHeight="1" x14ac:dyDescent="0.2">
      <c r="B57" s="54" t="s">
        <v>467</v>
      </c>
      <c r="C57" s="54" t="e">
        <f>VLOOKUP($B57,#REF!,COLUMNS($B57:C57),0)</f>
        <v>#REF!</v>
      </c>
      <c r="D57" s="66" t="e">
        <f>VLOOKUP($B57,#REF!,COLUMNS($B57:D57),0)</f>
        <v>#REF!</v>
      </c>
      <c r="E57" s="66" t="e">
        <f>VLOOKUP($B57,#REF!,COLUMNS($B57:E57),0)</f>
        <v>#REF!</v>
      </c>
      <c r="F57" s="67" t="e">
        <f>VLOOKUP($B57,#REF!,COLUMNS($B57:F57),0)</f>
        <v>#REF!</v>
      </c>
      <c r="G57" s="68" t="e">
        <f>VLOOKUP($B57,#REF!,COLUMNS($B57:G57),0)</f>
        <v>#REF!</v>
      </c>
      <c r="H57" s="69" t="e">
        <f>VLOOKUP($B57,#REF!,COLUMNS($B57:H57),0)</f>
        <v>#REF!</v>
      </c>
      <c r="I57" s="70" t="e">
        <f>VLOOKUP($B57,#REF!,COLUMNS($B57:I57),0)</f>
        <v>#REF!</v>
      </c>
      <c r="J57" s="71" t="e">
        <f>VLOOKUP($B57,#REF!,COLUMNS($B57:J57),0)</f>
        <v>#REF!</v>
      </c>
      <c r="K57" s="60" t="e">
        <f>VLOOKUP($B57,#REF!,COLUMNS($B57:K57),0)</f>
        <v>#REF!</v>
      </c>
      <c r="L57" s="61" t="e">
        <f>VLOOKUP($B57,#REF!,COLUMNS($B57:L57),0)</f>
        <v>#REF!</v>
      </c>
      <c r="M57" s="61" t="e">
        <f>VLOOKUP($B57,#REF!,COLUMNS($B57:M57),0)</f>
        <v>#REF!</v>
      </c>
      <c r="AD57" s="97" t="s">
        <v>589</v>
      </c>
      <c r="AE57" s="36" t="e">
        <f ca="1">_xll.BDP($AD57,AE$10)</f>
        <v>#NAME?</v>
      </c>
      <c r="AF57" s="36" t="e">
        <f ca="1">_xll.BDH($AD57,AF$10,$C$5,$C$5,"EQY_FUND_CRNCY=USD")</f>
        <v>#NAME?</v>
      </c>
      <c r="AG57" s="36" t="e">
        <f ca="1">_xll.BDH($AD57,AG$10,$C$5,$C$5,"EQY_FUND_CRNCY=USD")</f>
        <v>#NAME?</v>
      </c>
      <c r="AH57" s="36"/>
      <c r="AI57" s="36" t="e">
        <f ca="1">_xll.BDP($AD57,AI$10,"EQY_FUND_CRNCY=USD","FA_ADJUSTED=Y")</f>
        <v>#NAME?</v>
      </c>
      <c r="AJ57" s="36" t="e">
        <f ca="1">_xll.BDP($AD57,AJ$10,"BEST_FPERIOD_OVERRIDE=1TY","EQY_FUND_CRNCY=USD","FA_ADJUSTED=Y")</f>
        <v>#NAME?</v>
      </c>
      <c r="AK57" s="44" t="e">
        <f t="shared" ca="1" si="1"/>
        <v>#NAME?</v>
      </c>
      <c r="AL57" s="36" t="e">
        <f ca="1">_xll.BDP($AD57,AL$10,"EQY_FUND_CRNCY=USD","FA_ADJUSTED=Y")</f>
        <v>#NAME?</v>
      </c>
      <c r="AM57" s="36" t="e">
        <f ca="1">_xll.BDP($AD57,AM$10,"BEST_FPERIOD_OVERRIDE=1TY","EQY_FUND_CRNCY=USD","FA_ADJUSTED=Y")</f>
        <v>#NAME?</v>
      </c>
      <c r="AN57" s="36" t="e">
        <f ca="1">_xll.BDP($AD57,AN$10,"BEST_FPERIOD_OVERRIDE=1TY","EQY_FUND_CRNCY=USD","FA_ADJUSTED=Y")</f>
        <v>#NAME?</v>
      </c>
      <c r="AO57" s="36" t="e">
        <f ca="1">_xll.BDP($AD57,AO$10,"BEST_FPERIOD_OVERRIDE=1TY","EQY_FUND_CRNCY=USD","FA_ADJUSTED=Y")</f>
        <v>#NAME?</v>
      </c>
      <c r="AP57" s="36" t="e">
        <f ca="1">_xll.BDP($AD57,AP$10,"BEST_FPERIOD_OVERRIDE=1TY","EQY_FUND_CRNCY=USD","FA_ADJUSTED=Y")</f>
        <v>#NAME?</v>
      </c>
      <c r="AQ57" s="36" t="e">
        <f ca="1">_xll.BDP($AD57,AQ$10,"EQY_FUND_CRNCY=USD","FA_ADJUSTED=Y")</f>
        <v>#NAME?</v>
      </c>
      <c r="AR57" s="36" t="e">
        <f ca="1">_xll.BDP($AD57,AR$10,"BEST_FPERIOD_OVERRIDE=1TY","EQY_FUND_CRNCY=USD","FA_ADJUSTED=Y")</f>
        <v>#NAME?</v>
      </c>
      <c r="AS57" s="36" t="e">
        <f ca="1">_xll.BDP($AD57,AS$10,"EQY_FUND_CRNCY=USD","FA_ADJUSTED=Y")</f>
        <v>#NAME?</v>
      </c>
      <c r="AT57" s="36" t="e">
        <f ca="1">_xll.BDP($AD57,AT$10,"BEST_FPERIOD_OVERRIDE=1TY","EQY_FUND_CRNCY=USD","FA_ADJUSTED=Y")</f>
        <v>#NAME?</v>
      </c>
      <c r="AV57" s="1" t="s">
        <v>589</v>
      </c>
      <c r="AW57" s="1" t="s">
        <v>505</v>
      </c>
      <c r="AX57" s="36">
        <v>2881.1026999999999</v>
      </c>
      <c r="AY57" s="36">
        <v>2494.9371000000001</v>
      </c>
      <c r="AZ57" s="36">
        <v>255.43600000000001</v>
      </c>
      <c r="BA57" s="36">
        <v>303.84500000000003</v>
      </c>
      <c r="BB57" s="36">
        <v>0.18951518188509064</v>
      </c>
      <c r="BC57" s="114">
        <v>196.15400054931641</v>
      </c>
      <c r="BD57" s="36">
        <v>78.582000000000008</v>
      </c>
      <c r="BE57" s="36">
        <v>42.815999999999995</v>
      </c>
      <c r="BF57" s="36">
        <v>63.854999999999997</v>
      </c>
      <c r="BG57" s="36">
        <v>35.334000000000003</v>
      </c>
      <c r="BH57" s="36">
        <v>67.129000000000005</v>
      </c>
      <c r="BI57" s="36">
        <v>109.622</v>
      </c>
      <c r="BJ57" s="36">
        <v>42.557038674647998</v>
      </c>
      <c r="BK57" s="36">
        <v>67.052999999999997</v>
      </c>
      <c r="BL57" s="36">
        <v>188.41400000000002</v>
      </c>
    </row>
    <row r="58" spans="1:64" ht="30" customHeight="1" x14ac:dyDescent="0.2">
      <c r="B58" s="62" t="s">
        <v>468</v>
      </c>
      <c r="C58" s="54" t="e">
        <f>VLOOKUP($B58,#REF!,COLUMNS($B58:C58),0)</f>
        <v>#REF!</v>
      </c>
      <c r="D58" s="66" t="e">
        <f>VLOOKUP($B58,#REF!,COLUMNS($B58:D58),0)</f>
        <v>#REF!</v>
      </c>
      <c r="E58" s="66" t="e">
        <f>VLOOKUP($B58,#REF!,COLUMNS($B58:E58),0)</f>
        <v>#REF!</v>
      </c>
      <c r="F58" s="67" t="e">
        <f>VLOOKUP($B58,#REF!,COLUMNS($B58:F58),0)</f>
        <v>#REF!</v>
      </c>
      <c r="G58" s="68" t="e">
        <f>VLOOKUP($B58,#REF!,COLUMNS($B58:G58),0)</f>
        <v>#REF!</v>
      </c>
      <c r="H58" s="69" t="e">
        <f>VLOOKUP($B58,#REF!,COLUMNS($B58:H58),0)</f>
        <v>#REF!</v>
      </c>
      <c r="I58" s="70" t="e">
        <f>VLOOKUP($B58,#REF!,COLUMNS($B58:I58),0)</f>
        <v>#REF!</v>
      </c>
      <c r="J58" s="71" t="e">
        <f>VLOOKUP($B58,#REF!,COLUMNS($B58:J58),0)</f>
        <v>#REF!</v>
      </c>
      <c r="K58" s="60" t="e">
        <f>VLOOKUP($B58,#REF!,COLUMNS($B58:K58),0)</f>
        <v>#REF!</v>
      </c>
      <c r="L58" s="61" t="e">
        <f>VLOOKUP($B58,#REF!,COLUMNS($B58:L58),0)</f>
        <v>#REF!</v>
      </c>
      <c r="M58" s="61" t="e">
        <f>VLOOKUP($B58,#REF!,COLUMNS($B58:M58),0)</f>
        <v>#REF!</v>
      </c>
      <c r="AD58" s="113" t="s">
        <v>215</v>
      </c>
      <c r="AE58" s="36" t="e">
        <f ca="1">_xll.BDP($AD58,AE$10)</f>
        <v>#NAME?</v>
      </c>
      <c r="AF58" s="36" t="e">
        <f ca="1">_xll.BDH($AD58,AF$10,$C$5,$C$5,"EQY_FUND_CRNCY=USD")</f>
        <v>#NAME?</v>
      </c>
      <c r="AG58" s="36" t="e">
        <f ca="1">_xll.BDH($AD58,AG$10,$C$5,$C$5,"EQY_FUND_CRNCY=USD")</f>
        <v>#NAME?</v>
      </c>
      <c r="AH58" s="36"/>
      <c r="AI58" s="36" t="e">
        <f ca="1">_xll.BDP($AD58,AI$10,"EQY_FUND_CRNCY=USD","FA_ADJUSTED=Y")</f>
        <v>#NAME?</v>
      </c>
      <c r="AJ58" s="36" t="e">
        <f ca="1">_xll.BDP($AD58,AJ$10,"BEST_FPERIOD_OVERRIDE=1TY","EQY_FUND_CRNCY=USD","FA_ADJUSTED=Y")</f>
        <v>#NAME?</v>
      </c>
      <c r="AK58" s="44" t="e">
        <f t="shared" ca="1" si="1"/>
        <v>#NAME?</v>
      </c>
      <c r="AL58" s="36" t="e">
        <f ca="1">_xll.BDP($AD58,AL$10,"EQY_FUND_CRNCY=USD","FA_ADJUSTED=Y")</f>
        <v>#NAME?</v>
      </c>
      <c r="AM58" s="36" t="e">
        <f ca="1">_xll.BDP($AD58,AM$10,"BEST_FPERIOD_OVERRIDE=1TY","EQY_FUND_CRNCY=USD","FA_ADJUSTED=Y")</f>
        <v>#NAME?</v>
      </c>
      <c r="AN58" s="36" t="e">
        <f ca="1">_xll.BDP($AD58,AN$10,"BEST_FPERIOD_OVERRIDE=1TY","EQY_FUND_CRNCY=USD","FA_ADJUSTED=Y")</f>
        <v>#NAME?</v>
      </c>
      <c r="AO58" s="36" t="e">
        <f ca="1">_xll.BDP($AD58,AO$10,"BEST_FPERIOD_OVERRIDE=1TY","EQY_FUND_CRNCY=USD","FA_ADJUSTED=Y")</f>
        <v>#NAME?</v>
      </c>
      <c r="AP58" s="36" t="e">
        <f ca="1">_xll.BDP($AD58,AP$10,"BEST_FPERIOD_OVERRIDE=1TY","EQY_FUND_CRNCY=USD","FA_ADJUSTED=Y")</f>
        <v>#NAME?</v>
      </c>
      <c r="AQ58" s="36" t="e">
        <f ca="1">_xll.BDP($AD58,AQ$10,"EQY_FUND_CRNCY=USD","FA_ADJUSTED=Y")</f>
        <v>#NAME?</v>
      </c>
      <c r="AR58" s="36" t="e">
        <f ca="1">_xll.BDP($AD58,AR$10,"BEST_FPERIOD_OVERRIDE=1TY","EQY_FUND_CRNCY=USD","FA_ADJUSTED=Y")</f>
        <v>#NAME?</v>
      </c>
      <c r="AS58" s="36" t="e">
        <f ca="1">_xll.BDP($AD58,AS$10,"EQY_FUND_CRNCY=USD","FA_ADJUSTED=Y")</f>
        <v>#NAME?</v>
      </c>
      <c r="AT58" s="36" t="e">
        <f ca="1">_xll.BDP($AD58,AT$10,"BEST_FPERIOD_OVERRIDE=1TY","EQY_FUND_CRNCY=USD","FA_ADJUSTED=Y")</f>
        <v>#NAME?</v>
      </c>
      <c r="AV58" s="1" t="s">
        <v>215</v>
      </c>
      <c r="AW58" s="1" t="s">
        <v>495</v>
      </c>
      <c r="AX58" s="36">
        <v>2033.1171999999999</v>
      </c>
      <c r="AY58" s="36">
        <v>1592.9872</v>
      </c>
      <c r="AZ58" s="36">
        <v>411.06400000000002</v>
      </c>
      <c r="BA58" s="36">
        <v>487.03300000000002</v>
      </c>
      <c r="BB58" s="36">
        <v>0.18481063775957018</v>
      </c>
      <c r="BC58" s="114">
        <v>279.62800469970705</v>
      </c>
      <c r="BD58" s="36">
        <v>75.41</v>
      </c>
      <c r="BE58" s="36">
        <v>215.69499999999999</v>
      </c>
      <c r="BF58" s="36">
        <v>298.46699999999998</v>
      </c>
      <c r="BG58" s="36">
        <v>85.539000000000001</v>
      </c>
      <c r="BH58" s="36">
        <v>-176.494</v>
      </c>
      <c r="BI58" s="36">
        <v>-58.75</v>
      </c>
      <c r="BJ58" s="36">
        <v>-184.54894999999999</v>
      </c>
      <c r="BK58" s="36">
        <v>-70.158000000000001</v>
      </c>
      <c r="BL58" s="36">
        <v>-13.881</v>
      </c>
    </row>
    <row r="59" spans="1:64" ht="30" customHeight="1" x14ac:dyDescent="0.2">
      <c r="B59" s="62" t="s">
        <v>469</v>
      </c>
      <c r="C59" s="54" t="e">
        <f>VLOOKUP($B59,#REF!,COLUMNS($B59:C59),0)</f>
        <v>#REF!</v>
      </c>
      <c r="D59" s="66" t="e">
        <f>VLOOKUP($B59,#REF!,COLUMNS($B59:D59),0)</f>
        <v>#REF!</v>
      </c>
      <c r="E59" s="66" t="e">
        <f>VLOOKUP($B59,#REF!,COLUMNS($B59:E59),0)</f>
        <v>#REF!</v>
      </c>
      <c r="F59" s="67" t="e">
        <f>VLOOKUP($B59,#REF!,COLUMNS($B59:F59),0)</f>
        <v>#REF!</v>
      </c>
      <c r="G59" s="68" t="e">
        <f>VLOOKUP($B59,#REF!,COLUMNS($B59:G59),0)</f>
        <v>#REF!</v>
      </c>
      <c r="H59" s="69" t="e">
        <f>VLOOKUP($B59,#REF!,COLUMNS($B59:H59),0)</f>
        <v>#REF!</v>
      </c>
      <c r="I59" s="70" t="e">
        <f>VLOOKUP($B59,#REF!,COLUMNS($B59:I59),0)</f>
        <v>#REF!</v>
      </c>
      <c r="J59" s="71" t="e">
        <f>VLOOKUP($B59,#REF!,COLUMNS($B59:J59),0)</f>
        <v>#REF!</v>
      </c>
      <c r="K59" s="60" t="e">
        <f>VLOOKUP($B59,#REF!,COLUMNS($B59:K59),0)</f>
        <v>#REF!</v>
      </c>
      <c r="L59" s="61" t="e">
        <f>VLOOKUP($B59,#REF!,COLUMNS($B59:L59),0)</f>
        <v>#REF!</v>
      </c>
      <c r="M59" s="61" t="e">
        <f>VLOOKUP($B59,#REF!,COLUMNS($B59:M59),0)</f>
        <v>#REF!</v>
      </c>
      <c r="AD59" s="97" t="s">
        <v>590</v>
      </c>
      <c r="AE59" s="36" t="e">
        <f ca="1">_xll.BDP($AD59,AE$10)</f>
        <v>#NAME?</v>
      </c>
      <c r="AF59" s="36" t="e">
        <f ca="1">_xll.BDH($AD59,AF$10,$C$5,$C$5,"EQY_FUND_CRNCY=USD")</f>
        <v>#NAME?</v>
      </c>
      <c r="AG59" s="36" t="e">
        <f ca="1">_xll.BDH($AD59,AG$10,$C$5,$C$5,"EQY_FUND_CRNCY=USD")</f>
        <v>#NAME?</v>
      </c>
      <c r="AH59" s="36"/>
      <c r="AI59" s="36" t="e">
        <f ca="1">_xll.BDP($AD59,AI$10,"EQY_FUND_CRNCY=USD","FA_ADJUSTED=Y")</f>
        <v>#NAME?</v>
      </c>
      <c r="AJ59" s="36" t="e">
        <f ca="1">_xll.BDP($AD59,AJ$10,"BEST_FPERIOD_OVERRIDE=1TY","EQY_FUND_CRNCY=USD","FA_ADJUSTED=Y")</f>
        <v>#NAME?</v>
      </c>
      <c r="AK59" s="44" t="e">
        <f t="shared" ca="1" si="1"/>
        <v>#NAME?</v>
      </c>
      <c r="AL59" s="36" t="e">
        <f ca="1">_xll.BDP($AD59,AL$10,"EQY_FUND_CRNCY=USD","FA_ADJUSTED=Y")</f>
        <v>#NAME?</v>
      </c>
      <c r="AM59" s="36" t="e">
        <f ca="1">_xll.BDP($AD59,AM$10,"BEST_FPERIOD_OVERRIDE=1TY","EQY_FUND_CRNCY=USD","FA_ADJUSTED=Y")</f>
        <v>#NAME?</v>
      </c>
      <c r="AN59" s="36" t="e">
        <f ca="1">_xll.BDP($AD59,AN$10,"BEST_FPERIOD_OVERRIDE=1TY","EQY_FUND_CRNCY=USD","FA_ADJUSTED=Y")</f>
        <v>#NAME?</v>
      </c>
      <c r="AO59" s="36" t="e">
        <f ca="1">_xll.BDP($AD59,AO$10,"BEST_FPERIOD_OVERRIDE=1TY","EQY_FUND_CRNCY=USD","FA_ADJUSTED=Y")</f>
        <v>#NAME?</v>
      </c>
      <c r="AP59" s="36" t="e">
        <f ca="1">_xll.BDP($AD59,AP$10,"BEST_FPERIOD_OVERRIDE=1TY","EQY_FUND_CRNCY=USD","FA_ADJUSTED=Y")</f>
        <v>#NAME?</v>
      </c>
      <c r="AQ59" s="36" t="e">
        <f ca="1">_xll.BDP($AD59,AQ$10,"EQY_FUND_CRNCY=USD","FA_ADJUSTED=Y")</f>
        <v>#NAME?</v>
      </c>
      <c r="AR59" s="36" t="e">
        <f ca="1">_xll.BDP($AD59,AR$10,"BEST_FPERIOD_OVERRIDE=1TY","EQY_FUND_CRNCY=USD","FA_ADJUSTED=Y")</f>
        <v>#NAME?</v>
      </c>
      <c r="AS59" s="36" t="e">
        <f ca="1">_xll.BDP($AD59,AS$10,"EQY_FUND_CRNCY=USD","FA_ADJUSTED=Y")</f>
        <v>#NAME?</v>
      </c>
      <c r="AT59" s="36" t="e">
        <f ca="1">_xll.BDP($AD59,AT$10,"BEST_FPERIOD_OVERRIDE=1TY","EQY_FUND_CRNCY=USD","FA_ADJUSTED=Y")</f>
        <v>#NAME?</v>
      </c>
      <c r="AV59" s="1" t="s">
        <v>590</v>
      </c>
      <c r="AW59" s="1" t="s">
        <v>615</v>
      </c>
      <c r="AX59" s="36">
        <v>4212.5946999999996</v>
      </c>
      <c r="AY59" s="36">
        <v>4083.6496999999999</v>
      </c>
      <c r="AZ59" s="36">
        <v>609.726</v>
      </c>
      <c r="BA59" s="36">
        <v>719.86699999999996</v>
      </c>
      <c r="BB59" s="36">
        <v>0.1806401563981197</v>
      </c>
      <c r="BC59" s="114">
        <v>460.99100408935544</v>
      </c>
      <c r="BD59" s="36">
        <v>75.713000000000008</v>
      </c>
      <c r="BE59" s="36">
        <v>138.56399999999999</v>
      </c>
      <c r="BF59" s="36">
        <v>126.273</v>
      </c>
      <c r="BG59" s="36">
        <v>94.323999999999998</v>
      </c>
      <c r="BH59" s="36">
        <v>82.144000000000005</v>
      </c>
      <c r="BI59" s="36">
        <v>175.67000000000002</v>
      </c>
      <c r="BJ59" s="36">
        <v>48.942264632863001</v>
      </c>
      <c r="BK59" s="36">
        <v>109.74000000000001</v>
      </c>
      <c r="BL59" s="36">
        <v>206.56300000000002</v>
      </c>
    </row>
    <row r="60" spans="1:64" ht="30" customHeight="1" x14ac:dyDescent="0.2">
      <c r="B60" s="62" t="s">
        <v>472</v>
      </c>
      <c r="C60" s="54" t="e">
        <f>VLOOKUP($B60,#REF!,COLUMNS($B60:C60),0)</f>
        <v>#REF!</v>
      </c>
      <c r="D60" s="66" t="e">
        <f>VLOOKUP($B60,#REF!,COLUMNS($B60:D60),0)</f>
        <v>#REF!</v>
      </c>
      <c r="E60" s="66" t="e">
        <f>VLOOKUP($B60,#REF!,COLUMNS($B60:E60),0)</f>
        <v>#REF!</v>
      </c>
      <c r="F60" s="67" t="e">
        <f>VLOOKUP($B60,#REF!,COLUMNS($B60:F60),0)</f>
        <v>#REF!</v>
      </c>
      <c r="G60" s="68" t="e">
        <f>VLOOKUP($B60,#REF!,COLUMNS($B60:G60),0)</f>
        <v>#REF!</v>
      </c>
      <c r="H60" s="69" t="e">
        <f>VLOOKUP($B60,#REF!,COLUMNS($B60:H60),0)</f>
        <v>#REF!</v>
      </c>
      <c r="I60" s="70" t="e">
        <f>VLOOKUP($B60,#REF!,COLUMNS($B60:I60),0)</f>
        <v>#REF!</v>
      </c>
      <c r="J60" s="71" t="e">
        <f>VLOOKUP($B60,#REF!,COLUMNS($B60:J60),0)</f>
        <v>#REF!</v>
      </c>
      <c r="K60" s="60" t="e">
        <f>VLOOKUP($B60,#REF!,COLUMNS($B60:K60),0)</f>
        <v>#REF!</v>
      </c>
      <c r="L60" s="61" t="e">
        <f>VLOOKUP($B60,#REF!,COLUMNS($B60:L60),0)</f>
        <v>#REF!</v>
      </c>
      <c r="M60" s="61" t="e">
        <f>VLOOKUP($B60,#REF!,COLUMNS($B60:M60),0)</f>
        <v>#REF!</v>
      </c>
      <c r="AD60" s="97" t="s">
        <v>591</v>
      </c>
      <c r="AE60" s="36" t="e">
        <f ca="1">_xll.BDP($AD60,AE$10)</f>
        <v>#NAME?</v>
      </c>
      <c r="AF60" s="36" t="e">
        <f ca="1">_xll.BDH($AD60,AF$10,$C$5,$C$5,"EQY_FUND_CRNCY=USD")</f>
        <v>#NAME?</v>
      </c>
      <c r="AG60" s="36" t="e">
        <f ca="1">_xll.BDH($AD60,AG$10,$C$5,$C$5,"EQY_FUND_CRNCY=USD")</f>
        <v>#NAME?</v>
      </c>
      <c r="AH60" s="36"/>
      <c r="AI60" s="36" t="e">
        <f ca="1">_xll.BDP($AD60,AI$10,"EQY_FUND_CRNCY=USD","FA_ADJUSTED=Y")</f>
        <v>#NAME?</v>
      </c>
      <c r="AJ60" s="36" t="e">
        <f ca="1">_xll.BDP($AD60,AJ$10,"BEST_FPERIOD_OVERRIDE=1TY","EQY_FUND_CRNCY=USD","FA_ADJUSTED=Y")</f>
        <v>#NAME?</v>
      </c>
      <c r="AK60" s="44" t="e">
        <f t="shared" ca="1" si="1"/>
        <v>#NAME?</v>
      </c>
      <c r="AL60" s="36" t="e">
        <f ca="1">_xll.BDP($AD60,AL$10,"EQY_FUND_CRNCY=USD","FA_ADJUSTED=Y")</f>
        <v>#NAME?</v>
      </c>
      <c r="AM60" s="36" t="e">
        <f ca="1">_xll.BDP($AD60,AM$10,"BEST_FPERIOD_OVERRIDE=1TY","EQY_FUND_CRNCY=USD","FA_ADJUSTED=Y")</f>
        <v>#NAME?</v>
      </c>
      <c r="AN60" s="36" t="e">
        <f ca="1">_xll.BDP($AD60,AN$10,"BEST_FPERIOD_OVERRIDE=1TY","EQY_FUND_CRNCY=USD","FA_ADJUSTED=Y")</f>
        <v>#NAME?</v>
      </c>
      <c r="AO60" s="36" t="e">
        <f ca="1">_xll.BDP($AD60,AO$10,"BEST_FPERIOD_OVERRIDE=1TY","EQY_FUND_CRNCY=USD","FA_ADJUSTED=Y")</f>
        <v>#NAME?</v>
      </c>
      <c r="AP60" s="36" t="e">
        <f ca="1">_xll.BDP($AD60,AP$10,"BEST_FPERIOD_OVERRIDE=1TY","EQY_FUND_CRNCY=USD","FA_ADJUSTED=Y")</f>
        <v>#NAME?</v>
      </c>
      <c r="AQ60" s="36" t="e">
        <f ca="1">_xll.BDP($AD60,AQ$10,"EQY_FUND_CRNCY=USD","FA_ADJUSTED=Y")</f>
        <v>#NAME?</v>
      </c>
      <c r="AR60" s="36" t="e">
        <f ca="1">_xll.BDP($AD60,AR$10,"BEST_FPERIOD_OVERRIDE=1TY","EQY_FUND_CRNCY=USD","FA_ADJUSTED=Y")</f>
        <v>#NAME?</v>
      </c>
      <c r="AS60" s="36" t="e">
        <f ca="1">_xll.BDP($AD60,AS$10,"EQY_FUND_CRNCY=USD","FA_ADJUSTED=Y")</f>
        <v>#NAME?</v>
      </c>
      <c r="AT60" s="36" t="e">
        <f ca="1">_xll.BDP($AD60,AT$10,"BEST_FPERIOD_OVERRIDE=1TY","EQY_FUND_CRNCY=USD","FA_ADJUSTED=Y")</f>
        <v>#NAME?</v>
      </c>
      <c r="AV60" s="1" t="s">
        <v>591</v>
      </c>
      <c r="AW60" s="1" t="s">
        <v>495</v>
      </c>
      <c r="AX60" s="36">
        <v>2101.8870000000002</v>
      </c>
      <c r="AY60" s="36">
        <v>2033.5419999999999</v>
      </c>
      <c r="AZ60" s="36">
        <v>225.50900000000001</v>
      </c>
      <c r="BA60" s="36">
        <v>266.108</v>
      </c>
      <c r="BB60" s="36">
        <v>0.18003272596659103</v>
      </c>
      <c r="BC60" s="114">
        <v>133.13299966430662</v>
      </c>
      <c r="BD60" s="36">
        <v>62.867000000000004</v>
      </c>
      <c r="BE60" s="36">
        <v>27.119999999999997</v>
      </c>
      <c r="BF60" s="36">
        <v>66.569999999999993</v>
      </c>
      <c r="BG60" s="36">
        <v>29.151</v>
      </c>
      <c r="BH60" s="36">
        <v>10.643000000000001</v>
      </c>
      <c r="BI60" s="36">
        <v>40.977000000000004</v>
      </c>
      <c r="BJ60" s="36">
        <v>-2.3560000000000003</v>
      </c>
      <c r="BK60" s="36">
        <v>28.244</v>
      </c>
      <c r="BL60" s="36">
        <v>860.87900000000002</v>
      </c>
    </row>
    <row r="61" spans="1:64" ht="30" customHeight="1" x14ac:dyDescent="0.2">
      <c r="B61" s="62" t="s">
        <v>474</v>
      </c>
      <c r="C61" s="54" t="e">
        <f>VLOOKUP($B61,#REF!,COLUMNS($B61:C61),0)</f>
        <v>#REF!</v>
      </c>
      <c r="D61" s="66" t="e">
        <f>VLOOKUP($B61,#REF!,COLUMNS($B61:D61),0)</f>
        <v>#REF!</v>
      </c>
      <c r="E61" s="66" t="e">
        <f>VLOOKUP($B61,#REF!,COLUMNS($B61:E61),0)</f>
        <v>#REF!</v>
      </c>
      <c r="F61" s="67" t="e">
        <f>VLOOKUP($B61,#REF!,COLUMNS($B61:F61),0)</f>
        <v>#REF!</v>
      </c>
      <c r="G61" s="68" t="e">
        <f>VLOOKUP($B61,#REF!,COLUMNS($B61:G61),0)</f>
        <v>#REF!</v>
      </c>
      <c r="H61" s="69" t="e">
        <f>VLOOKUP($B61,#REF!,COLUMNS($B61:H61),0)</f>
        <v>#REF!</v>
      </c>
      <c r="I61" s="70" t="e">
        <f>VLOOKUP($B61,#REF!,COLUMNS($B61:I61),0)</f>
        <v>#REF!</v>
      </c>
      <c r="J61" s="71" t="e">
        <f>VLOOKUP($B61,#REF!,COLUMNS($B61:J61),0)</f>
        <v>#REF!</v>
      </c>
      <c r="K61" s="60" t="e">
        <f>VLOOKUP($B61,#REF!,COLUMNS($B61:K61),0)</f>
        <v>#REF!</v>
      </c>
      <c r="L61" s="61" t="e">
        <f>VLOOKUP($B61,#REF!,COLUMNS($B61:L61),0)</f>
        <v>#REF!</v>
      </c>
      <c r="M61" s="61" t="e">
        <f>VLOOKUP($B61,#REF!,COLUMNS($B61:M61),0)</f>
        <v>#REF!</v>
      </c>
      <c r="AD61" s="113" t="s">
        <v>241</v>
      </c>
      <c r="AE61" s="36" t="e">
        <f ca="1">_xll.BDP($AD61,AE$10)</f>
        <v>#NAME?</v>
      </c>
      <c r="AF61" s="36" t="e">
        <f ca="1">_xll.BDH($AD61,AF$10,$C$5,$C$5,"EQY_FUND_CRNCY=USD")</f>
        <v>#NAME?</v>
      </c>
      <c r="AG61" s="36" t="e">
        <f ca="1">_xll.BDH($AD61,AG$10,$C$5,$C$5,"EQY_FUND_CRNCY=USD")</f>
        <v>#NAME?</v>
      </c>
      <c r="AH61" s="36"/>
      <c r="AI61" s="36" t="e">
        <f ca="1">_xll.BDP($AD61,AI$10,"EQY_FUND_CRNCY=USD","FA_ADJUSTED=Y")</f>
        <v>#NAME?</v>
      </c>
      <c r="AJ61" s="36" t="e">
        <f ca="1">_xll.BDP($AD61,AJ$10,"BEST_FPERIOD_OVERRIDE=1TY","EQY_FUND_CRNCY=USD","FA_ADJUSTED=Y")</f>
        <v>#NAME?</v>
      </c>
      <c r="AK61" s="44" t="e">
        <f t="shared" ca="1" si="1"/>
        <v>#NAME?</v>
      </c>
      <c r="AL61" s="36" t="e">
        <f ca="1">_xll.BDP($AD61,AL$10,"EQY_FUND_CRNCY=USD","FA_ADJUSTED=Y")</f>
        <v>#NAME?</v>
      </c>
      <c r="AM61" s="36" t="e">
        <f ca="1">_xll.BDP($AD61,AM$10,"BEST_FPERIOD_OVERRIDE=1TY","EQY_FUND_CRNCY=USD","FA_ADJUSTED=Y")</f>
        <v>#NAME?</v>
      </c>
      <c r="AN61" s="36" t="e">
        <f ca="1">_xll.BDP($AD61,AN$10,"BEST_FPERIOD_OVERRIDE=1TY","EQY_FUND_CRNCY=USD","FA_ADJUSTED=Y")</f>
        <v>#NAME?</v>
      </c>
      <c r="AO61" s="36" t="e">
        <f ca="1">_xll.BDP($AD61,AO$10,"BEST_FPERIOD_OVERRIDE=1TY","EQY_FUND_CRNCY=USD","FA_ADJUSTED=Y")</f>
        <v>#NAME?</v>
      </c>
      <c r="AP61" s="36" t="e">
        <f ca="1">_xll.BDP($AD61,AP$10,"BEST_FPERIOD_OVERRIDE=1TY","EQY_FUND_CRNCY=USD","FA_ADJUSTED=Y")</f>
        <v>#NAME?</v>
      </c>
      <c r="AQ61" s="36" t="e">
        <f ca="1">_xll.BDP($AD61,AQ$10,"EQY_FUND_CRNCY=USD","FA_ADJUSTED=Y")</f>
        <v>#NAME?</v>
      </c>
      <c r="AR61" s="36" t="e">
        <f ca="1">_xll.BDP($AD61,AR$10,"BEST_FPERIOD_OVERRIDE=1TY","EQY_FUND_CRNCY=USD","FA_ADJUSTED=Y")</f>
        <v>#NAME?</v>
      </c>
      <c r="AS61" s="36" t="e">
        <f ca="1">_xll.BDP($AD61,AS$10,"EQY_FUND_CRNCY=USD","FA_ADJUSTED=Y")</f>
        <v>#NAME?</v>
      </c>
      <c r="AT61" s="36" t="e">
        <f ca="1">_xll.BDP($AD61,AT$10,"BEST_FPERIOD_OVERRIDE=1TY","EQY_FUND_CRNCY=USD","FA_ADJUSTED=Y")</f>
        <v>#NAME?</v>
      </c>
      <c r="AV61" s="1" t="s">
        <v>241</v>
      </c>
      <c r="AW61" s="1" t="s">
        <v>505</v>
      </c>
      <c r="AX61" s="36">
        <v>1764.7601999999999</v>
      </c>
      <c r="AY61" s="36">
        <v>1606.0791999999999</v>
      </c>
      <c r="AZ61" s="36">
        <v>242.52799999999999</v>
      </c>
      <c r="BA61" s="36">
        <v>285.279</v>
      </c>
      <c r="BB61" s="36">
        <v>0.1762724303997889</v>
      </c>
      <c r="BC61" s="114">
        <v>218.322998046875</v>
      </c>
      <c r="BD61" s="36">
        <v>90.492000000000004</v>
      </c>
      <c r="BE61" s="36">
        <v>47.369</v>
      </c>
      <c r="BF61" s="36">
        <v>135.89599999999999</v>
      </c>
      <c r="BG61" s="36">
        <v>26.823</v>
      </c>
      <c r="BH61" s="36">
        <v>-20.379999999999995</v>
      </c>
      <c r="BI61" s="36">
        <v>11.15</v>
      </c>
      <c r="BJ61" s="36">
        <v>-25.522279999999999</v>
      </c>
      <c r="BK61" s="36">
        <v>2.6310000000000002</v>
      </c>
      <c r="BL61" s="36">
        <v>378.98200000000003</v>
      </c>
    </row>
    <row r="62" spans="1:64" ht="30" customHeight="1" x14ac:dyDescent="0.2">
      <c r="B62" s="62" t="s">
        <v>475</v>
      </c>
      <c r="C62" s="54" t="e">
        <f>VLOOKUP($B62,#REF!,COLUMNS($B62:C62),0)</f>
        <v>#REF!</v>
      </c>
      <c r="D62" s="66" t="e">
        <f>VLOOKUP($B62,#REF!,COLUMNS($B62:D62),0)</f>
        <v>#REF!</v>
      </c>
      <c r="E62" s="66" t="e">
        <f>VLOOKUP($B62,#REF!,COLUMNS($B62:E62),0)</f>
        <v>#REF!</v>
      </c>
      <c r="F62" s="67" t="e">
        <f>VLOOKUP($B62,#REF!,COLUMNS($B62:F62),0)</f>
        <v>#REF!</v>
      </c>
      <c r="G62" s="68" t="e">
        <f>VLOOKUP($B62,#REF!,COLUMNS($B62:G62),0)</f>
        <v>#REF!</v>
      </c>
      <c r="H62" s="69" t="e">
        <f>VLOOKUP($B62,#REF!,COLUMNS($B62:H62),0)</f>
        <v>#REF!</v>
      </c>
      <c r="I62" s="70" t="e">
        <f>VLOOKUP($B62,#REF!,COLUMNS($B62:I62),0)</f>
        <v>#REF!</v>
      </c>
      <c r="J62" s="71" t="e">
        <f>VLOOKUP($B62,#REF!,COLUMNS($B62:J62),0)</f>
        <v>#REF!</v>
      </c>
      <c r="K62" s="60" t="e">
        <f>VLOOKUP($B62,#REF!,COLUMNS($B62:K62),0)</f>
        <v>#REF!</v>
      </c>
      <c r="L62" s="61" t="e">
        <f>VLOOKUP($B62,#REF!,COLUMNS($B62:L62),0)</f>
        <v>#REF!</v>
      </c>
      <c r="M62" s="61" t="e">
        <f>VLOOKUP($B62,#REF!,COLUMNS($B62:M62),0)</f>
        <v>#REF!</v>
      </c>
      <c r="AD62" s="97" t="s">
        <v>592</v>
      </c>
      <c r="AE62" s="36" t="e">
        <f ca="1">_xll.BDP($AD62,AE$10)</f>
        <v>#NAME?</v>
      </c>
      <c r="AF62" s="36" t="e">
        <f ca="1">_xll.BDH($AD62,AF$10,$C$5,$C$5,"EQY_FUND_CRNCY=USD")</f>
        <v>#NAME?</v>
      </c>
      <c r="AG62" s="36" t="e">
        <f ca="1">_xll.BDH($AD62,AG$10,$C$5,$C$5,"EQY_FUND_CRNCY=USD")</f>
        <v>#NAME?</v>
      </c>
      <c r="AH62" s="36"/>
      <c r="AI62" s="36" t="e">
        <f ca="1">_xll.BDP($AD62,AI$10,"EQY_FUND_CRNCY=USD","FA_ADJUSTED=Y")</f>
        <v>#NAME?</v>
      </c>
      <c r="AJ62" s="36" t="e">
        <f ca="1">_xll.BDP($AD62,AJ$10,"BEST_FPERIOD_OVERRIDE=1TY","EQY_FUND_CRNCY=USD","FA_ADJUSTED=Y")</f>
        <v>#NAME?</v>
      </c>
      <c r="AK62" s="44" t="e">
        <f t="shared" ca="1" si="1"/>
        <v>#NAME?</v>
      </c>
      <c r="AL62" s="36" t="e">
        <f ca="1">_xll.BDP($AD62,AL$10,"EQY_FUND_CRNCY=USD","FA_ADJUSTED=Y")</f>
        <v>#NAME?</v>
      </c>
      <c r="AM62" s="36" t="e">
        <f ca="1">_xll.BDP($AD62,AM$10,"BEST_FPERIOD_OVERRIDE=1TY","EQY_FUND_CRNCY=USD","FA_ADJUSTED=Y")</f>
        <v>#NAME?</v>
      </c>
      <c r="AN62" s="36" t="e">
        <f ca="1">_xll.BDP($AD62,AN$10,"BEST_FPERIOD_OVERRIDE=1TY","EQY_FUND_CRNCY=USD","FA_ADJUSTED=Y")</f>
        <v>#NAME?</v>
      </c>
      <c r="AO62" s="36" t="e">
        <f ca="1">_xll.BDP($AD62,AO$10,"BEST_FPERIOD_OVERRIDE=1TY","EQY_FUND_CRNCY=USD","FA_ADJUSTED=Y")</f>
        <v>#NAME?</v>
      </c>
      <c r="AP62" s="36" t="e">
        <f ca="1">_xll.BDP($AD62,AP$10,"BEST_FPERIOD_OVERRIDE=1TY","EQY_FUND_CRNCY=USD","FA_ADJUSTED=Y")</f>
        <v>#NAME?</v>
      </c>
      <c r="AQ62" s="36" t="e">
        <f ca="1">_xll.BDP($AD62,AQ$10,"EQY_FUND_CRNCY=USD","FA_ADJUSTED=Y")</f>
        <v>#NAME?</v>
      </c>
      <c r="AR62" s="36" t="e">
        <f ca="1">_xll.BDP($AD62,AR$10,"BEST_FPERIOD_OVERRIDE=1TY","EQY_FUND_CRNCY=USD","FA_ADJUSTED=Y")</f>
        <v>#NAME?</v>
      </c>
      <c r="AS62" s="36" t="e">
        <f ca="1">_xll.BDP($AD62,AS$10,"EQY_FUND_CRNCY=USD","FA_ADJUSTED=Y")</f>
        <v>#NAME?</v>
      </c>
      <c r="AT62" s="36" t="e">
        <f ca="1">_xll.BDP($AD62,AT$10,"BEST_FPERIOD_OVERRIDE=1TY","EQY_FUND_CRNCY=USD","FA_ADJUSTED=Y")</f>
        <v>#NAME?</v>
      </c>
      <c r="AV62" s="1" t="s">
        <v>592</v>
      </c>
      <c r="AW62" s="1" t="s">
        <v>495</v>
      </c>
      <c r="AX62" s="36">
        <v>1250.7688000000001</v>
      </c>
      <c r="AY62" s="36">
        <v>1000.5308</v>
      </c>
      <c r="AZ62" s="36">
        <v>212.47800000000001</v>
      </c>
      <c r="BA62" s="36">
        <v>249.06300000000002</v>
      </c>
      <c r="BB62" s="36">
        <v>0.17218253183859034</v>
      </c>
      <c r="BC62" s="114">
        <v>147.23399932861327</v>
      </c>
      <c r="BD62" s="36">
        <v>72.100000000000009</v>
      </c>
      <c r="BE62" s="36">
        <v>40.549999999999997</v>
      </c>
      <c r="BF62" s="36">
        <v>87.948999999999998</v>
      </c>
      <c r="BG62" s="36">
        <v>27.706</v>
      </c>
      <c r="BH62" s="36">
        <v>-14.339075949367</v>
      </c>
      <c r="BI62" s="36">
        <v>11.973000000000001</v>
      </c>
      <c r="BJ62" s="36">
        <v>-23.346969999999999</v>
      </c>
      <c r="BK62" s="36">
        <v>5.1749999999999998</v>
      </c>
      <c r="BL62" s="36">
        <v>171.12</v>
      </c>
    </row>
    <row r="63" spans="1:64" ht="30" customHeight="1" x14ac:dyDescent="0.2">
      <c r="B63" s="62" t="s">
        <v>476</v>
      </c>
      <c r="C63" s="54" t="e">
        <f>VLOOKUP($B63,#REF!,COLUMNS($B63:C63),0)</f>
        <v>#REF!</v>
      </c>
      <c r="D63" s="66" t="e">
        <f>VLOOKUP($B63,#REF!,COLUMNS($B63:D63),0)</f>
        <v>#REF!</v>
      </c>
      <c r="E63" s="66" t="e">
        <f>VLOOKUP($B63,#REF!,COLUMNS($B63:E63),0)</f>
        <v>#REF!</v>
      </c>
      <c r="F63" s="67" t="e">
        <f>VLOOKUP($B63,#REF!,COLUMNS($B63:F63),0)</f>
        <v>#REF!</v>
      </c>
      <c r="G63" s="68" t="e">
        <f>VLOOKUP($B63,#REF!,COLUMNS($B63:G63),0)</f>
        <v>#REF!</v>
      </c>
      <c r="H63" s="69" t="e">
        <f>VLOOKUP($B63,#REF!,COLUMNS($B63:H63),0)</f>
        <v>#REF!</v>
      </c>
      <c r="I63" s="70" t="e">
        <f>VLOOKUP($B63,#REF!,COLUMNS($B63:I63),0)</f>
        <v>#REF!</v>
      </c>
      <c r="J63" s="71" t="e">
        <f>VLOOKUP($B63,#REF!,COLUMNS($B63:J63),0)</f>
        <v>#REF!</v>
      </c>
      <c r="K63" s="60" t="e">
        <f>VLOOKUP($B63,#REF!,COLUMNS($B63:K63),0)</f>
        <v>#REF!</v>
      </c>
      <c r="L63" s="61" t="e">
        <f>VLOOKUP($B63,#REF!,COLUMNS($B63:L63),0)</f>
        <v>#REF!</v>
      </c>
      <c r="M63" s="61" t="e">
        <f>VLOOKUP($B63,#REF!,COLUMNS($B63:M63),0)</f>
        <v>#REF!</v>
      </c>
      <c r="AD63" s="97" t="s">
        <v>593</v>
      </c>
      <c r="AE63" s="36" t="e">
        <f ca="1">_xll.BDP($AD63,AE$10)</f>
        <v>#NAME?</v>
      </c>
      <c r="AF63" s="36" t="e">
        <f ca="1">_xll.BDH($AD63,AF$10,$C$5,$C$5,"EQY_FUND_CRNCY=USD")</f>
        <v>#NAME?</v>
      </c>
      <c r="AG63" s="36" t="e">
        <f ca="1">_xll.BDH($AD63,AG$10,$C$5,$C$5,"EQY_FUND_CRNCY=USD")</f>
        <v>#NAME?</v>
      </c>
      <c r="AH63" s="36"/>
      <c r="AI63" s="36" t="e">
        <f ca="1">_xll.BDP($AD63,AI$10,"EQY_FUND_CRNCY=USD","FA_ADJUSTED=Y")</f>
        <v>#NAME?</v>
      </c>
      <c r="AJ63" s="36" t="e">
        <f ca="1">_xll.BDP($AD63,AJ$10,"BEST_FPERIOD_OVERRIDE=1TY","EQY_FUND_CRNCY=USD","FA_ADJUSTED=Y")</f>
        <v>#NAME?</v>
      </c>
      <c r="AK63" s="44" t="e">
        <f t="shared" ca="1" si="1"/>
        <v>#NAME?</v>
      </c>
      <c r="AL63" s="36" t="e">
        <f ca="1">_xll.BDP($AD63,AL$10,"EQY_FUND_CRNCY=USD","FA_ADJUSTED=Y")</f>
        <v>#NAME?</v>
      </c>
      <c r="AM63" s="36" t="e">
        <f ca="1">_xll.BDP($AD63,AM$10,"BEST_FPERIOD_OVERRIDE=1TY","EQY_FUND_CRNCY=USD","FA_ADJUSTED=Y")</f>
        <v>#NAME?</v>
      </c>
      <c r="AN63" s="36" t="e">
        <f ca="1">_xll.BDP($AD63,AN$10,"BEST_FPERIOD_OVERRIDE=1TY","EQY_FUND_CRNCY=USD","FA_ADJUSTED=Y")</f>
        <v>#NAME?</v>
      </c>
      <c r="AO63" s="36" t="e">
        <f ca="1">_xll.BDP($AD63,AO$10,"BEST_FPERIOD_OVERRIDE=1TY","EQY_FUND_CRNCY=USD","FA_ADJUSTED=Y")</f>
        <v>#NAME?</v>
      </c>
      <c r="AP63" s="36" t="e">
        <f ca="1">_xll.BDP($AD63,AP$10,"BEST_FPERIOD_OVERRIDE=1TY","EQY_FUND_CRNCY=USD","FA_ADJUSTED=Y")</f>
        <v>#NAME?</v>
      </c>
      <c r="AQ63" s="36" t="e">
        <f ca="1">_xll.BDP($AD63,AQ$10,"EQY_FUND_CRNCY=USD","FA_ADJUSTED=Y")</f>
        <v>#NAME?</v>
      </c>
      <c r="AR63" s="36" t="e">
        <f ca="1">_xll.BDP($AD63,AR$10,"BEST_FPERIOD_OVERRIDE=1TY","EQY_FUND_CRNCY=USD","FA_ADJUSTED=Y")</f>
        <v>#NAME?</v>
      </c>
      <c r="AS63" s="36" t="e">
        <f ca="1">_xll.BDP($AD63,AS$10,"EQY_FUND_CRNCY=USD","FA_ADJUSTED=Y")</f>
        <v>#NAME?</v>
      </c>
      <c r="AT63" s="36" t="e">
        <f ca="1">_xll.BDP($AD63,AT$10,"BEST_FPERIOD_OVERRIDE=1TY","EQY_FUND_CRNCY=USD","FA_ADJUSTED=Y")</f>
        <v>#NAME?</v>
      </c>
      <c r="AV63" s="1" t="s">
        <v>593</v>
      </c>
      <c r="AW63" s="1" t="s">
        <v>495</v>
      </c>
      <c r="AX63" s="36">
        <v>2787.1313</v>
      </c>
      <c r="AY63" s="36">
        <v>2544.1792999999998</v>
      </c>
      <c r="AZ63" s="36">
        <v>462.851</v>
      </c>
      <c r="BA63" s="36">
        <v>534.75</v>
      </c>
      <c r="BB63" s="36">
        <v>0.15533940728225715</v>
      </c>
      <c r="BC63" s="114">
        <v>273.98900335693361</v>
      </c>
      <c r="BD63" s="36">
        <v>59.332999999999998</v>
      </c>
      <c r="BE63" s="36">
        <v>69.265999999999991</v>
      </c>
      <c r="BF63" s="36">
        <v>65.042000000000002</v>
      </c>
      <c r="BG63" s="36">
        <v>79.686000000000007</v>
      </c>
      <c r="BH63" s="36">
        <v>85.867999999999995</v>
      </c>
      <c r="BI63" s="36">
        <v>150.49700000000001</v>
      </c>
      <c r="BJ63" s="36">
        <v>19.337490000000003</v>
      </c>
      <c r="BK63" s="36">
        <v>76.745000000000005</v>
      </c>
      <c r="BL63" s="36">
        <v>496.33300000000003</v>
      </c>
    </row>
    <row r="64" spans="1:64" ht="30" customHeight="1" x14ac:dyDescent="0.2">
      <c r="B64" s="62" t="s">
        <v>479</v>
      </c>
      <c r="C64" s="54" t="e">
        <f>VLOOKUP($B64,#REF!,COLUMNS($B64:C64),0)</f>
        <v>#REF!</v>
      </c>
      <c r="D64" s="66" t="e">
        <f>VLOOKUP($B64,#REF!,COLUMNS($B64:D64),0)</f>
        <v>#REF!</v>
      </c>
      <c r="E64" s="66" t="e">
        <f>VLOOKUP($B64,#REF!,COLUMNS($B64:E64),0)</f>
        <v>#REF!</v>
      </c>
      <c r="F64" s="67" t="e">
        <f>VLOOKUP($B64,#REF!,COLUMNS($B64:F64),0)</f>
        <v>#REF!</v>
      </c>
      <c r="G64" s="68" t="e">
        <f>VLOOKUP($B64,#REF!,COLUMNS($B64:G64),0)</f>
        <v>#REF!</v>
      </c>
      <c r="H64" s="69" t="e">
        <f>VLOOKUP($B64,#REF!,COLUMNS($B64:H64),0)</f>
        <v>#REF!</v>
      </c>
      <c r="I64" s="70" t="e">
        <f>VLOOKUP($B64,#REF!,COLUMNS($B64:I64),0)</f>
        <v>#REF!</v>
      </c>
      <c r="J64" s="71" t="e">
        <f>VLOOKUP($B64,#REF!,COLUMNS($B64:J64),0)</f>
        <v>#REF!</v>
      </c>
      <c r="K64" s="60" t="e">
        <f>VLOOKUP($B64,#REF!,COLUMNS($B64:K64),0)</f>
        <v>#REF!</v>
      </c>
      <c r="L64" s="61" t="e">
        <f>VLOOKUP($B64,#REF!,COLUMNS($B64:L64),0)</f>
        <v>#REF!</v>
      </c>
      <c r="M64" s="61" t="e">
        <f>VLOOKUP($B64,#REF!,COLUMNS($B64:M64),0)</f>
        <v>#REF!</v>
      </c>
      <c r="AD64" s="113" t="s">
        <v>279</v>
      </c>
      <c r="AE64" s="36" t="e">
        <f ca="1">_xll.BDP($AD64,AE$10)</f>
        <v>#NAME?</v>
      </c>
      <c r="AF64" s="36" t="e">
        <f ca="1">_xll.BDH($AD64,AF$10,$C$5,$C$5,"EQY_FUND_CRNCY=USD")</f>
        <v>#NAME?</v>
      </c>
      <c r="AG64" s="36" t="e">
        <f ca="1">_xll.BDH($AD64,AG$10,$C$5,$C$5,"EQY_FUND_CRNCY=USD")</f>
        <v>#NAME?</v>
      </c>
      <c r="AH64" s="36"/>
      <c r="AI64" s="36" t="e">
        <f ca="1">_xll.BDP($AD64,AI$10,"EQY_FUND_CRNCY=USD","FA_ADJUSTED=Y")</f>
        <v>#NAME?</v>
      </c>
      <c r="AJ64" s="36" t="e">
        <f ca="1">_xll.BDP($AD64,AJ$10,"BEST_FPERIOD_OVERRIDE=1TY","EQY_FUND_CRNCY=USD","FA_ADJUSTED=Y")</f>
        <v>#NAME?</v>
      </c>
      <c r="AK64" s="44" t="e">
        <f t="shared" ca="1" si="1"/>
        <v>#NAME?</v>
      </c>
      <c r="AL64" s="36" t="e">
        <f ca="1">_xll.BDP($AD64,AL$10,"EQY_FUND_CRNCY=USD","FA_ADJUSTED=Y")</f>
        <v>#NAME?</v>
      </c>
      <c r="AM64" s="36" t="e">
        <f ca="1">_xll.BDP($AD64,AM$10,"BEST_FPERIOD_OVERRIDE=1TY","EQY_FUND_CRNCY=USD","FA_ADJUSTED=Y")</f>
        <v>#NAME?</v>
      </c>
      <c r="AN64" s="36" t="e">
        <f ca="1">_xll.BDP($AD64,AN$10,"BEST_FPERIOD_OVERRIDE=1TY","EQY_FUND_CRNCY=USD","FA_ADJUSTED=Y")</f>
        <v>#NAME?</v>
      </c>
      <c r="AO64" s="36" t="e">
        <f ca="1">_xll.BDP($AD64,AO$10,"BEST_FPERIOD_OVERRIDE=1TY","EQY_FUND_CRNCY=USD","FA_ADJUSTED=Y")</f>
        <v>#NAME?</v>
      </c>
      <c r="AP64" s="36" t="e">
        <f ca="1">_xll.BDP($AD64,AP$10,"BEST_FPERIOD_OVERRIDE=1TY","EQY_FUND_CRNCY=USD","FA_ADJUSTED=Y")</f>
        <v>#NAME?</v>
      </c>
      <c r="AQ64" s="36" t="e">
        <f ca="1">_xll.BDP($AD64,AQ$10,"EQY_FUND_CRNCY=USD","FA_ADJUSTED=Y")</f>
        <v>#NAME?</v>
      </c>
      <c r="AR64" s="36" t="e">
        <f ca="1">_xll.BDP($AD64,AR$10,"BEST_FPERIOD_OVERRIDE=1TY","EQY_FUND_CRNCY=USD","FA_ADJUSTED=Y")</f>
        <v>#NAME?</v>
      </c>
      <c r="AS64" s="36" t="e">
        <f ca="1">_xll.BDP($AD64,AS$10,"EQY_FUND_CRNCY=USD","FA_ADJUSTED=Y")</f>
        <v>#NAME?</v>
      </c>
      <c r="AT64" s="36" t="e">
        <f ca="1">_xll.BDP($AD64,AT$10,"BEST_FPERIOD_OVERRIDE=1TY","EQY_FUND_CRNCY=USD","FA_ADJUSTED=Y")</f>
        <v>#NAME?</v>
      </c>
      <c r="AV64" s="1" t="s">
        <v>279</v>
      </c>
      <c r="AW64" s="1" t="s">
        <v>495</v>
      </c>
      <c r="AX64" s="36">
        <v>1427.3811000000001</v>
      </c>
      <c r="AY64" s="36">
        <v>1365.6711</v>
      </c>
      <c r="AZ64" s="36">
        <v>225.61</v>
      </c>
      <c r="BA64" s="36">
        <v>255.92000000000002</v>
      </c>
      <c r="BB64" s="36">
        <v>0.13434688178715493</v>
      </c>
      <c r="BC64" s="114">
        <v>161.06200064086914</v>
      </c>
      <c r="BD64" s="36">
        <v>72.180000000000007</v>
      </c>
      <c r="BE64" s="36">
        <v>68.171999999999997</v>
      </c>
      <c r="BF64" s="36">
        <v>84.161000000000001</v>
      </c>
      <c r="BG64" s="36">
        <v>39.594000000000001</v>
      </c>
      <c r="BH64" s="36">
        <v>-48.74664556962</v>
      </c>
      <c r="BI64" s="36">
        <v>-16.401</v>
      </c>
      <c r="BJ64" s="36">
        <v>-53.88</v>
      </c>
      <c r="BK64" s="36">
        <v>-22.204000000000001</v>
      </c>
      <c r="BL64" s="36">
        <v>101.65600000000001</v>
      </c>
    </row>
    <row r="65" spans="1:64" ht="30" customHeight="1" x14ac:dyDescent="0.2">
      <c r="B65" s="62" t="s">
        <v>481</v>
      </c>
      <c r="C65" s="54" t="e">
        <f>VLOOKUP($B65,#REF!,COLUMNS($B65:C65),0)</f>
        <v>#REF!</v>
      </c>
      <c r="D65" s="66" t="e">
        <f>VLOOKUP($B65,#REF!,COLUMNS($B65:D65),0)</f>
        <v>#REF!</v>
      </c>
      <c r="E65" s="66" t="e">
        <f>VLOOKUP($B65,#REF!,COLUMNS($B65:E65),0)</f>
        <v>#REF!</v>
      </c>
      <c r="F65" s="67" t="e">
        <f>VLOOKUP($B65,#REF!,COLUMNS($B65:F65),0)</f>
        <v>#REF!</v>
      </c>
      <c r="G65" s="68" t="e">
        <f>VLOOKUP($B65,#REF!,COLUMNS($B65:G65),0)</f>
        <v>#REF!</v>
      </c>
      <c r="H65" s="69" t="e">
        <f>VLOOKUP($B65,#REF!,COLUMNS($B65:H65),0)</f>
        <v>#REF!</v>
      </c>
      <c r="I65" s="70" t="e">
        <f>VLOOKUP($B65,#REF!,COLUMNS($B65:I65),0)</f>
        <v>#REF!</v>
      </c>
      <c r="J65" s="71" t="e">
        <f>VLOOKUP($B65,#REF!,COLUMNS($B65:J65),0)</f>
        <v>#REF!</v>
      </c>
      <c r="K65" s="60" t="e">
        <f>VLOOKUP($B65,#REF!,COLUMNS($B65:K65),0)</f>
        <v>#REF!</v>
      </c>
      <c r="L65" s="61" t="e">
        <f>VLOOKUP($B65,#REF!,COLUMNS($B65:L65),0)</f>
        <v>#REF!</v>
      </c>
      <c r="M65" s="61" t="e">
        <f>VLOOKUP($B65,#REF!,COLUMNS($B65:M65),0)</f>
        <v>#REF!</v>
      </c>
      <c r="AD65" s="97" t="s">
        <v>594</v>
      </c>
      <c r="AE65" s="36" t="e">
        <f ca="1">_xll.BDP($AD65,AE$10)</f>
        <v>#NAME?</v>
      </c>
      <c r="AF65" s="36" t="e">
        <f ca="1">_xll.BDH($AD65,AF$10,$C$5,$C$5,"EQY_FUND_CRNCY=USD")</f>
        <v>#NAME?</v>
      </c>
      <c r="AG65" s="36" t="e">
        <f ca="1">_xll.BDH($AD65,AG$10,$C$5,$C$5,"EQY_FUND_CRNCY=USD")</f>
        <v>#NAME?</v>
      </c>
      <c r="AH65" s="36"/>
      <c r="AI65" s="36" t="e">
        <f ca="1">_xll.BDP($AD65,AI$10,"EQY_FUND_CRNCY=USD","FA_ADJUSTED=Y")</f>
        <v>#NAME?</v>
      </c>
      <c r="AJ65" s="36" t="e">
        <f ca="1">_xll.BDP($AD65,AJ$10,"BEST_FPERIOD_OVERRIDE=1TY","EQY_FUND_CRNCY=USD","FA_ADJUSTED=Y")</f>
        <v>#NAME?</v>
      </c>
      <c r="AK65" s="44" t="e">
        <f t="shared" ca="1" si="1"/>
        <v>#NAME?</v>
      </c>
      <c r="AL65" s="36" t="e">
        <f ca="1">_xll.BDP($AD65,AL$10,"EQY_FUND_CRNCY=USD","FA_ADJUSTED=Y")</f>
        <v>#NAME?</v>
      </c>
      <c r="AM65" s="36" t="e">
        <f ca="1">_xll.BDP($AD65,AM$10,"BEST_FPERIOD_OVERRIDE=1TY","EQY_FUND_CRNCY=USD","FA_ADJUSTED=Y")</f>
        <v>#NAME?</v>
      </c>
      <c r="AN65" s="36" t="e">
        <f ca="1">_xll.BDP($AD65,AN$10,"BEST_FPERIOD_OVERRIDE=1TY","EQY_FUND_CRNCY=USD","FA_ADJUSTED=Y")</f>
        <v>#NAME?</v>
      </c>
      <c r="AO65" s="36" t="e">
        <f ca="1">_xll.BDP($AD65,AO$10,"BEST_FPERIOD_OVERRIDE=1TY","EQY_FUND_CRNCY=USD","FA_ADJUSTED=Y")</f>
        <v>#NAME?</v>
      </c>
      <c r="AP65" s="36" t="e">
        <f ca="1">_xll.BDP($AD65,AP$10,"BEST_FPERIOD_OVERRIDE=1TY","EQY_FUND_CRNCY=USD","FA_ADJUSTED=Y")</f>
        <v>#NAME?</v>
      </c>
      <c r="AQ65" s="36" t="e">
        <f ca="1">_xll.BDP($AD65,AQ$10,"EQY_FUND_CRNCY=USD","FA_ADJUSTED=Y")</f>
        <v>#NAME?</v>
      </c>
      <c r="AR65" s="36" t="e">
        <f ca="1">_xll.BDP($AD65,AR$10,"BEST_FPERIOD_OVERRIDE=1TY","EQY_FUND_CRNCY=USD","FA_ADJUSTED=Y")</f>
        <v>#NAME?</v>
      </c>
      <c r="AS65" s="36" t="e">
        <f ca="1">_xll.BDP($AD65,AS$10,"EQY_FUND_CRNCY=USD","FA_ADJUSTED=Y")</f>
        <v>#NAME?</v>
      </c>
      <c r="AT65" s="36" t="e">
        <f ca="1">_xll.BDP($AD65,AT$10,"BEST_FPERIOD_OVERRIDE=1TY","EQY_FUND_CRNCY=USD","FA_ADJUSTED=Y")</f>
        <v>#NAME?</v>
      </c>
      <c r="AV65" s="1" t="s">
        <v>594</v>
      </c>
      <c r="AW65" s="1" t="s">
        <v>495</v>
      </c>
      <c r="AX65" s="36">
        <v>4015.1587</v>
      </c>
      <c r="AY65" s="36">
        <v>4014.4976999999999</v>
      </c>
      <c r="AZ65" s="36">
        <v>1130.17</v>
      </c>
      <c r="BA65" s="36">
        <v>1221.8890000000001</v>
      </c>
      <c r="BB65" s="36">
        <v>8.1155047470734543E-2</v>
      </c>
      <c r="BC65" s="114">
        <v>883.36700305175782</v>
      </c>
      <c r="BD65" s="36">
        <v>82.8</v>
      </c>
      <c r="BE65" s="36">
        <v>156.73099999999999</v>
      </c>
      <c r="BF65" s="36">
        <v>346.96100000000001</v>
      </c>
      <c r="BG65" s="36">
        <v>160.36600000000001</v>
      </c>
      <c r="BH65" s="36">
        <v>389.65500000000003</v>
      </c>
      <c r="BI65" s="36">
        <v>448.25</v>
      </c>
      <c r="BJ65" s="36">
        <v>85.247472264912005</v>
      </c>
      <c r="BK65" s="36">
        <v>282.01300000000003</v>
      </c>
      <c r="BL65" s="36">
        <v>282.3</v>
      </c>
    </row>
    <row r="66" spans="1:64" ht="30" customHeight="1" x14ac:dyDescent="0.2">
      <c r="B66" s="63"/>
      <c r="C66" s="63"/>
      <c r="G66" s="64" t="s">
        <v>483</v>
      </c>
      <c r="H66" s="29" t="e">
        <f t="shared" ref="H66:M66" si="13">AVERAGE(H57:H65)</f>
        <v>#REF!</v>
      </c>
      <c r="I66" s="30" t="e">
        <f t="shared" si="13"/>
        <v>#REF!</v>
      </c>
      <c r="J66" s="72" t="e">
        <f t="shared" si="13"/>
        <v>#REF!</v>
      </c>
      <c r="K66" s="32" t="e">
        <f t="shared" si="13"/>
        <v>#REF!</v>
      </c>
      <c r="L66" s="33" t="e">
        <f t="shared" si="13"/>
        <v>#REF!</v>
      </c>
      <c r="M66" s="33" t="e">
        <f t="shared" si="13"/>
        <v>#REF!</v>
      </c>
      <c r="AD66" s="97" t="s">
        <v>595</v>
      </c>
      <c r="AE66" s="36" t="e">
        <f ca="1">_xll.BDP($AD66,AE$10)</f>
        <v>#NAME?</v>
      </c>
      <c r="AF66" s="36" t="e">
        <f ca="1">_xll.BDH($AD66,AF$10,$C$5,$C$5,"EQY_FUND_CRNCY=USD")</f>
        <v>#NAME?</v>
      </c>
      <c r="AG66" s="36" t="e">
        <f ca="1">_xll.BDH($AD66,AG$10,$C$5,$C$5,"EQY_FUND_CRNCY=USD")</f>
        <v>#NAME?</v>
      </c>
      <c r="AH66" s="36"/>
      <c r="AI66" s="36" t="e">
        <f ca="1">_xll.BDP($AD66,AI$10,"EQY_FUND_CRNCY=USD","FA_ADJUSTED=Y")</f>
        <v>#NAME?</v>
      </c>
      <c r="AJ66" s="36" t="e">
        <f ca="1">_xll.BDP($AD66,AJ$10,"BEST_FPERIOD_OVERRIDE=1TY","EQY_FUND_CRNCY=USD","FA_ADJUSTED=Y")</f>
        <v>#NAME?</v>
      </c>
      <c r="AK66" s="44" t="e">
        <f t="shared" ca="1" si="1"/>
        <v>#NAME?</v>
      </c>
      <c r="AL66" s="36" t="e">
        <f ca="1">_xll.BDP($AD66,AL$10,"EQY_FUND_CRNCY=USD","FA_ADJUSTED=Y")</f>
        <v>#NAME?</v>
      </c>
      <c r="AM66" s="36" t="e">
        <f ca="1">_xll.BDP($AD66,AM$10,"BEST_FPERIOD_OVERRIDE=1TY","EQY_FUND_CRNCY=USD","FA_ADJUSTED=Y")</f>
        <v>#NAME?</v>
      </c>
      <c r="AN66" s="36" t="e">
        <f ca="1">_xll.BDP($AD66,AN$10,"BEST_FPERIOD_OVERRIDE=1TY","EQY_FUND_CRNCY=USD","FA_ADJUSTED=Y")</f>
        <v>#NAME?</v>
      </c>
      <c r="AO66" s="36" t="e">
        <f ca="1">_xll.BDP($AD66,AO$10,"BEST_FPERIOD_OVERRIDE=1TY","EQY_FUND_CRNCY=USD","FA_ADJUSTED=Y")</f>
        <v>#NAME?</v>
      </c>
      <c r="AP66" s="36" t="e">
        <f ca="1">_xll.BDP($AD66,AP$10,"BEST_FPERIOD_OVERRIDE=1TY","EQY_FUND_CRNCY=USD","FA_ADJUSTED=Y")</f>
        <v>#NAME?</v>
      </c>
      <c r="AQ66" s="36" t="e">
        <f ca="1">_xll.BDP($AD66,AQ$10,"EQY_FUND_CRNCY=USD","FA_ADJUSTED=Y")</f>
        <v>#NAME?</v>
      </c>
      <c r="AR66" s="36" t="e">
        <f ca="1">_xll.BDP($AD66,AR$10,"BEST_FPERIOD_OVERRIDE=1TY","EQY_FUND_CRNCY=USD","FA_ADJUSTED=Y")</f>
        <v>#NAME?</v>
      </c>
      <c r="AS66" s="36" t="e">
        <f ca="1">_xll.BDP($AD66,AS$10,"EQY_FUND_CRNCY=USD","FA_ADJUSTED=Y")</f>
        <v>#NAME?</v>
      </c>
      <c r="AT66" s="36" t="e">
        <f ca="1">_xll.BDP($AD66,AT$10,"BEST_FPERIOD_OVERRIDE=1TY","EQY_FUND_CRNCY=USD","FA_ADJUSTED=Y")</f>
        <v>#NAME?</v>
      </c>
      <c r="AV66" s="1" t="s">
        <v>595</v>
      </c>
      <c r="AW66" s="1" t="s">
        <v>495</v>
      </c>
      <c r="AX66" s="36">
        <v>3607.0270999999998</v>
      </c>
      <c r="AY66" s="36">
        <v>4256.9540999999999</v>
      </c>
      <c r="AZ66" s="36">
        <v>1158.5079999999998</v>
      </c>
      <c r="BA66" s="36">
        <v>1252.3330000000001</v>
      </c>
      <c r="BB66" s="36">
        <v>8.0987787740784078E-2</v>
      </c>
      <c r="BC66" s="114">
        <v>974.26899780273436</v>
      </c>
      <c r="BD66" s="36">
        <v>83.78</v>
      </c>
      <c r="BE66" s="36">
        <v>46.003999999999998</v>
      </c>
      <c r="BF66" s="36">
        <v>330.29599999999999</v>
      </c>
      <c r="BG66" s="36">
        <v>323.517</v>
      </c>
      <c r="BH66" s="36">
        <v>412.85069230769199</v>
      </c>
      <c r="BI66" s="36">
        <v>528.46699999999998</v>
      </c>
      <c r="BJ66" s="36">
        <v>150.78399999999999</v>
      </c>
      <c r="BK66" s="36">
        <v>330.483</v>
      </c>
      <c r="BL66" s="36">
        <v>222.1</v>
      </c>
    </row>
    <row r="67" spans="1:64" ht="30" customHeight="1" x14ac:dyDescent="0.2">
      <c r="B67" s="63"/>
      <c r="C67" s="63"/>
      <c r="G67" s="64" t="s">
        <v>484</v>
      </c>
      <c r="H67" s="29" t="e">
        <f t="shared" ref="H67:M67" si="14">MEDIAN(H57:H65)</f>
        <v>#REF!</v>
      </c>
      <c r="I67" s="30" t="e">
        <f t="shared" si="14"/>
        <v>#REF!</v>
      </c>
      <c r="J67" s="72" t="e">
        <f t="shared" si="14"/>
        <v>#REF!</v>
      </c>
      <c r="K67" s="32" t="e">
        <f t="shared" si="14"/>
        <v>#REF!</v>
      </c>
      <c r="L67" s="33" t="e">
        <f t="shared" si="14"/>
        <v>#REF!</v>
      </c>
      <c r="M67" s="33" t="e">
        <f t="shared" si="14"/>
        <v>#REF!</v>
      </c>
      <c r="AD67" s="113" t="s">
        <v>275</v>
      </c>
      <c r="AE67" s="36" t="e">
        <f ca="1">_xll.BDP($AD67,AE$10)</f>
        <v>#NAME?</v>
      </c>
      <c r="AF67" s="36" t="e">
        <f ca="1">_xll.BDH($AD67,AF$10,$C$5,$C$5,"EQY_FUND_CRNCY=USD")</f>
        <v>#NAME?</v>
      </c>
      <c r="AG67" s="36" t="e">
        <f ca="1">_xll.BDH($AD67,AG$10,$C$5,$C$5,"EQY_FUND_CRNCY=USD")</f>
        <v>#NAME?</v>
      </c>
      <c r="AH67" s="36"/>
      <c r="AI67" s="36" t="e">
        <f ca="1">_xll.BDP($AD67,AI$10,"EQY_FUND_CRNCY=USD","FA_ADJUSTED=Y")</f>
        <v>#NAME?</v>
      </c>
      <c r="AJ67" s="36" t="e">
        <f ca="1">_xll.BDP($AD67,AJ$10,"BEST_FPERIOD_OVERRIDE=1TY","EQY_FUND_CRNCY=USD","FA_ADJUSTED=Y")</f>
        <v>#NAME?</v>
      </c>
      <c r="AK67" s="44" t="e">
        <f t="shared" ca="1" si="1"/>
        <v>#NAME?</v>
      </c>
      <c r="AL67" s="36" t="e">
        <f ca="1">_xll.BDP($AD67,AL$10,"EQY_FUND_CRNCY=USD","FA_ADJUSTED=Y")</f>
        <v>#NAME?</v>
      </c>
      <c r="AM67" s="36" t="e">
        <f ca="1">_xll.BDP($AD67,AM$10,"BEST_FPERIOD_OVERRIDE=1TY","EQY_FUND_CRNCY=USD","FA_ADJUSTED=Y")</f>
        <v>#NAME?</v>
      </c>
      <c r="AN67" s="36" t="e">
        <f ca="1">_xll.BDP($AD67,AN$10,"BEST_FPERIOD_OVERRIDE=1TY","EQY_FUND_CRNCY=USD","FA_ADJUSTED=Y")</f>
        <v>#NAME?</v>
      </c>
      <c r="AO67" s="36" t="e">
        <f ca="1">_xll.BDP($AD67,AO$10,"BEST_FPERIOD_OVERRIDE=1TY","EQY_FUND_CRNCY=USD","FA_ADJUSTED=Y")</f>
        <v>#NAME?</v>
      </c>
      <c r="AP67" s="36" t="e">
        <f ca="1">_xll.BDP($AD67,AP$10,"BEST_FPERIOD_OVERRIDE=1TY","EQY_FUND_CRNCY=USD","FA_ADJUSTED=Y")</f>
        <v>#NAME?</v>
      </c>
      <c r="AQ67" s="36" t="e">
        <f ca="1">_xll.BDP($AD67,AQ$10,"EQY_FUND_CRNCY=USD","FA_ADJUSTED=Y")</f>
        <v>#NAME?</v>
      </c>
      <c r="AR67" s="36" t="e">
        <f ca="1">_xll.BDP($AD67,AR$10,"BEST_FPERIOD_OVERRIDE=1TY","EQY_FUND_CRNCY=USD","FA_ADJUSTED=Y")</f>
        <v>#NAME?</v>
      </c>
      <c r="AS67" s="36" t="e">
        <f ca="1">_xll.BDP($AD67,AS$10,"EQY_FUND_CRNCY=USD","FA_ADJUSTED=Y")</f>
        <v>#NAME?</v>
      </c>
      <c r="AT67" s="36" t="e">
        <f ca="1">_xll.BDP($AD67,AT$10,"BEST_FPERIOD_OVERRIDE=1TY","EQY_FUND_CRNCY=USD","FA_ADJUSTED=Y")</f>
        <v>#NAME?</v>
      </c>
      <c r="AV67" s="1" t="s">
        <v>275</v>
      </c>
      <c r="AW67" s="1" t="s">
        <v>495</v>
      </c>
      <c r="AX67" s="36">
        <v>1422.6449</v>
      </c>
      <c r="AY67" s="36">
        <v>722.08690000000001</v>
      </c>
      <c r="AZ67" s="36">
        <v>506.92600000000004</v>
      </c>
      <c r="BA67" s="36">
        <v>514</v>
      </c>
      <c r="BB67" s="36">
        <v>1.3954699502491508E-2</v>
      </c>
      <c r="BC67" s="114">
        <v>407.5589940185547</v>
      </c>
      <c r="BD67" s="36" t="s">
        <v>480</v>
      </c>
      <c r="BE67" s="36">
        <v>78.765999999999991</v>
      </c>
      <c r="BF67" s="36">
        <v>174.61199999999999</v>
      </c>
      <c r="BG67" s="36">
        <v>80.161000000000001</v>
      </c>
      <c r="BH67" s="36">
        <v>47.558000000000007</v>
      </c>
      <c r="BI67" s="36" t="s">
        <v>480</v>
      </c>
      <c r="BJ67" s="36">
        <v>42.201000000000001</v>
      </c>
      <c r="BK67" s="36" t="s">
        <v>480</v>
      </c>
      <c r="BL67" s="36">
        <v>-189.75900000000001</v>
      </c>
    </row>
    <row r="68" spans="1:64" ht="30" customHeight="1" x14ac:dyDescent="0.2">
      <c r="B68" s="65"/>
      <c r="C68" s="65"/>
      <c r="G68" s="64" t="s">
        <v>485</v>
      </c>
      <c r="H68" s="29" t="e">
        <f t="shared" ref="H68:M68" si="15">MAX(H57:H65)</f>
        <v>#REF!</v>
      </c>
      <c r="I68" s="30" t="e">
        <f t="shared" si="15"/>
        <v>#REF!</v>
      </c>
      <c r="J68" s="72" t="e">
        <f t="shared" si="15"/>
        <v>#REF!</v>
      </c>
      <c r="K68" s="32" t="e">
        <f t="shared" si="15"/>
        <v>#REF!</v>
      </c>
      <c r="L68" s="33" t="e">
        <f t="shared" si="15"/>
        <v>#REF!</v>
      </c>
      <c r="M68" s="33" t="e">
        <f t="shared" si="15"/>
        <v>#REF!</v>
      </c>
      <c r="AD68" s="113" t="s">
        <v>596</v>
      </c>
      <c r="AE68" s="36" t="e">
        <f ca="1">_xll.BDP($AD68,AE$10)</f>
        <v>#NAME?</v>
      </c>
      <c r="AF68" s="36" t="e">
        <f ca="1">_xll.BDH($AD68,AF$10,$C$5,$C$5,"EQY_FUND_CRNCY=USD")</f>
        <v>#NAME?</v>
      </c>
      <c r="AG68" s="36" t="e">
        <f ca="1">_xll.BDH($AD68,AG$10,$C$5,$C$5,"EQY_FUND_CRNCY=USD")</f>
        <v>#NAME?</v>
      </c>
      <c r="AH68" s="36"/>
      <c r="AI68" s="36" t="e">
        <f ca="1">_xll.BDP($AD68,AI$10,"EQY_FUND_CRNCY=USD","FA_ADJUSTED=Y")</f>
        <v>#NAME?</v>
      </c>
      <c r="AJ68" s="36" t="e">
        <f ca="1">_xll.BDP($AD68,AJ$10,"BEST_FPERIOD_OVERRIDE=1TY","EQY_FUND_CRNCY=USD","FA_ADJUSTED=Y")</f>
        <v>#NAME?</v>
      </c>
      <c r="AK68" s="44" t="e">
        <f t="shared" ca="1" si="1"/>
        <v>#NAME?</v>
      </c>
      <c r="AL68" s="36" t="e">
        <f ca="1">_xll.BDP($AD68,AL$10,"EQY_FUND_CRNCY=USD","FA_ADJUSTED=Y")</f>
        <v>#NAME?</v>
      </c>
      <c r="AM68" s="36" t="e">
        <f ca="1">_xll.BDP($AD68,AM$10,"BEST_FPERIOD_OVERRIDE=1TY","EQY_FUND_CRNCY=USD","FA_ADJUSTED=Y")</f>
        <v>#NAME?</v>
      </c>
      <c r="AN68" s="36" t="e">
        <f ca="1">_xll.BDP($AD68,AN$10,"BEST_FPERIOD_OVERRIDE=1TY","EQY_FUND_CRNCY=USD","FA_ADJUSTED=Y")</f>
        <v>#NAME?</v>
      </c>
      <c r="AO68" s="36" t="e">
        <f ca="1">_xll.BDP($AD68,AO$10,"BEST_FPERIOD_OVERRIDE=1TY","EQY_FUND_CRNCY=USD","FA_ADJUSTED=Y")</f>
        <v>#NAME?</v>
      </c>
      <c r="AP68" s="36" t="e">
        <f ca="1">_xll.BDP($AD68,AP$10,"BEST_FPERIOD_OVERRIDE=1TY","EQY_FUND_CRNCY=USD","FA_ADJUSTED=Y")</f>
        <v>#NAME?</v>
      </c>
      <c r="AQ68" s="36" t="e">
        <f ca="1">_xll.BDP($AD68,AQ$10,"EQY_FUND_CRNCY=USD","FA_ADJUSTED=Y")</f>
        <v>#NAME?</v>
      </c>
      <c r="AR68" s="36" t="e">
        <f ca="1">_xll.BDP($AD68,AR$10,"BEST_FPERIOD_OVERRIDE=1TY","EQY_FUND_CRNCY=USD","FA_ADJUSTED=Y")</f>
        <v>#NAME?</v>
      </c>
      <c r="AS68" s="36" t="e">
        <f ca="1">_xll.BDP($AD68,AS$10,"EQY_FUND_CRNCY=USD","FA_ADJUSTED=Y")</f>
        <v>#NAME?</v>
      </c>
      <c r="AT68" s="36" t="e">
        <f ca="1">_xll.BDP($AD68,AT$10,"BEST_FPERIOD_OVERRIDE=1TY","EQY_FUND_CRNCY=USD","FA_ADJUSTED=Y")</f>
        <v>#NAME?</v>
      </c>
      <c r="AV68" s="1" t="s">
        <v>596</v>
      </c>
      <c r="AW68" s="1" t="s">
        <v>616</v>
      </c>
      <c r="AX68" s="36">
        <v>4187.5559999999996</v>
      </c>
      <c r="AY68" s="36">
        <v>3802.556</v>
      </c>
      <c r="AZ68" s="36">
        <v>2202</v>
      </c>
      <c r="BA68" s="36">
        <v>2153.799</v>
      </c>
      <c r="BB68" s="36">
        <v>-2.1889645776566713E-2</v>
      </c>
      <c r="BC68" s="114">
        <v>1035</v>
      </c>
      <c r="BD68" s="36">
        <v>51.146000000000001</v>
      </c>
      <c r="BE68" s="36">
        <v>306</v>
      </c>
      <c r="BF68" s="36" t="s">
        <v>480</v>
      </c>
      <c r="BG68" s="36" t="s">
        <v>480</v>
      </c>
      <c r="BH68" s="36">
        <v>220</v>
      </c>
      <c r="BI68" s="36">
        <v>366.33</v>
      </c>
      <c r="BJ68" s="36">
        <v>70.963692307692</v>
      </c>
      <c r="BK68" s="36">
        <v>171.05500000000001</v>
      </c>
      <c r="BL68" s="36">
        <v>431.33300000000003</v>
      </c>
    </row>
    <row r="69" spans="1:64" ht="30" customHeight="1" x14ac:dyDescent="0.2">
      <c r="B69" s="65"/>
      <c r="C69" s="65"/>
      <c r="G69" s="64" t="s">
        <v>486</v>
      </c>
      <c r="H69" s="29" t="e">
        <f t="shared" ref="H69:M69" si="16">MIN(H57:H65)</f>
        <v>#REF!</v>
      </c>
      <c r="I69" s="30" t="e">
        <f t="shared" si="16"/>
        <v>#REF!</v>
      </c>
      <c r="J69" s="72" t="e">
        <f t="shared" si="16"/>
        <v>#REF!</v>
      </c>
      <c r="K69" s="32" t="e">
        <f t="shared" si="16"/>
        <v>#REF!</v>
      </c>
      <c r="L69" s="33" t="e">
        <f t="shared" si="16"/>
        <v>#REF!</v>
      </c>
      <c r="M69" s="33" t="e">
        <f t="shared" si="16"/>
        <v>#REF!</v>
      </c>
      <c r="AD69" s="2" t="s">
        <v>597</v>
      </c>
      <c r="AE69" s="36" t="e">
        <f ca="1">_xll.BDP($AD69,AE$10)</f>
        <v>#NAME?</v>
      </c>
      <c r="AF69" s="36" t="e">
        <f ca="1">_xll.BDH($AD69,AF$10,$C$5,$C$5,"EQY_FUND_CRNCY=USD")</f>
        <v>#NAME?</v>
      </c>
      <c r="AG69" s="36" t="e">
        <f ca="1">_xll.BDH($AD69,AG$10,$C$5,$C$5,"EQY_FUND_CRNCY=USD")</f>
        <v>#NAME?</v>
      </c>
      <c r="AH69" s="36"/>
      <c r="AI69" s="36" t="e">
        <f ca="1">_xll.BDP($AD69,AI$10,"EQY_FUND_CRNCY=USD","FA_ADJUSTED=Y")</f>
        <v>#NAME?</v>
      </c>
      <c r="AJ69" s="36" t="e">
        <f ca="1">_xll.BDP($AD69,AJ$10,"BEST_FPERIOD_OVERRIDE=1TY","EQY_FUND_CRNCY=USD","FA_ADJUSTED=Y")</f>
        <v>#NAME?</v>
      </c>
      <c r="AK69" s="44" t="e">
        <f t="shared" ca="1" si="1"/>
        <v>#NAME?</v>
      </c>
      <c r="AL69" s="36" t="e">
        <f ca="1">_xll.BDP($AD69,AL$10,"EQY_FUND_CRNCY=USD","FA_ADJUSTED=Y")</f>
        <v>#NAME?</v>
      </c>
      <c r="AM69" s="36" t="e">
        <f ca="1">_xll.BDP($AD69,AM$10,"BEST_FPERIOD_OVERRIDE=1TY","EQY_FUND_CRNCY=USD","FA_ADJUSTED=Y")</f>
        <v>#NAME?</v>
      </c>
      <c r="AN69" s="36" t="e">
        <f ca="1">_xll.BDP($AD69,AN$10,"BEST_FPERIOD_OVERRIDE=1TY","EQY_FUND_CRNCY=USD","FA_ADJUSTED=Y")</f>
        <v>#NAME?</v>
      </c>
      <c r="AO69" s="36" t="e">
        <f ca="1">_xll.BDP($AD69,AO$10,"BEST_FPERIOD_OVERRIDE=1TY","EQY_FUND_CRNCY=USD","FA_ADJUSTED=Y")</f>
        <v>#NAME?</v>
      </c>
      <c r="AP69" s="36" t="e">
        <f ca="1">_xll.BDP($AD69,AP$10,"BEST_FPERIOD_OVERRIDE=1TY","EQY_FUND_CRNCY=USD","FA_ADJUSTED=Y")</f>
        <v>#NAME?</v>
      </c>
      <c r="AQ69" s="36" t="e">
        <f ca="1">_xll.BDP($AD69,AQ$10,"EQY_FUND_CRNCY=USD","FA_ADJUSTED=Y")</f>
        <v>#NAME?</v>
      </c>
      <c r="AR69" s="36" t="e">
        <f ca="1">_xll.BDP($AD69,AR$10,"BEST_FPERIOD_OVERRIDE=1TY","EQY_FUND_CRNCY=USD","FA_ADJUSTED=Y")</f>
        <v>#NAME?</v>
      </c>
      <c r="AS69" s="36" t="e">
        <f ca="1">_xll.BDP($AD69,AS$10,"EQY_FUND_CRNCY=USD","FA_ADJUSTED=Y")</f>
        <v>#NAME?</v>
      </c>
      <c r="AT69" s="36" t="e">
        <f ca="1">_xll.BDP($AD69,AT$10,"BEST_FPERIOD_OVERRIDE=1TY","EQY_FUND_CRNCY=USD","FA_ADJUSTED=Y")</f>
        <v>#NAME?</v>
      </c>
      <c r="AV69" s="1" t="s">
        <v>597</v>
      </c>
      <c r="AW69" s="1" t="s">
        <v>617</v>
      </c>
      <c r="AX69" s="36">
        <v>529.0883</v>
      </c>
      <c r="AY69" s="36">
        <v>498.00700000000001</v>
      </c>
      <c r="AZ69" s="36">
        <v>45.913776851069429</v>
      </c>
      <c r="BA69" s="36">
        <v>104.675</v>
      </c>
      <c r="BB69" s="36">
        <v>1.2798168039962041</v>
      </c>
      <c r="BC69" s="114">
        <v>32.362014866124603</v>
      </c>
      <c r="BD69" s="36">
        <v>61.2</v>
      </c>
      <c r="BE69" s="36">
        <v>11.413988746902495</v>
      </c>
      <c r="BF69" s="36">
        <v>8.1589877207270067</v>
      </c>
      <c r="BG69" s="36">
        <v>9.0291365099026333</v>
      </c>
      <c r="BH69" s="36">
        <v>12.963605572070199</v>
      </c>
      <c r="BI69" s="36">
        <v>36.387</v>
      </c>
      <c r="BJ69" s="36">
        <v>5.1382688847482347</v>
      </c>
      <c r="BK69" s="36">
        <v>22.562999999999999</v>
      </c>
      <c r="BL69" s="36">
        <v>-4.5419999999999998</v>
      </c>
    </row>
    <row r="70" spans="1:64" x14ac:dyDescent="0.2">
      <c r="AD70" s="2" t="s">
        <v>71</v>
      </c>
      <c r="AE70" s="36" t="e">
        <f ca="1">_xll.BDP($AD70,AE$10)</f>
        <v>#NAME?</v>
      </c>
      <c r="AF70" s="36" t="e">
        <f ca="1">_xll.BDH($AD70,AF$10,$C$5,$C$5,"EQY_FUND_CRNCY=USD")</f>
        <v>#NAME?</v>
      </c>
      <c r="AG70" s="36" t="e">
        <f ca="1">_xll.BDH($AD70,AG$10,$C$5,$C$5,"EQY_FUND_CRNCY=USD")</f>
        <v>#NAME?</v>
      </c>
      <c r="AH70" s="36"/>
      <c r="AI70" s="36" t="e">
        <f ca="1">_xll.BDP($AD70,AI$10,"EQY_FUND_CRNCY=USD","FA_ADJUSTED=Y")</f>
        <v>#NAME?</v>
      </c>
      <c r="AJ70" s="36" t="e">
        <f ca="1">_xll.BDP($AD70,AJ$10,"BEST_FPERIOD_OVERRIDE=1TY","EQY_FUND_CRNCY=USD","FA_ADJUSTED=Y")</f>
        <v>#NAME?</v>
      </c>
      <c r="AK70" s="44" t="e">
        <f t="shared" ca="1" si="1"/>
        <v>#NAME?</v>
      </c>
      <c r="AL70" s="36" t="e">
        <f ca="1">_xll.BDP($AD70,AL$10,"EQY_FUND_CRNCY=USD","FA_ADJUSTED=Y")</f>
        <v>#NAME?</v>
      </c>
      <c r="AM70" s="36" t="e">
        <f ca="1">_xll.BDP($AD70,AM$10,"BEST_FPERIOD_OVERRIDE=1TY","EQY_FUND_CRNCY=USD","FA_ADJUSTED=Y")</f>
        <v>#NAME?</v>
      </c>
      <c r="AN70" s="36" t="e">
        <f ca="1">_xll.BDP($AD70,AN$10,"BEST_FPERIOD_OVERRIDE=1TY","EQY_FUND_CRNCY=USD","FA_ADJUSTED=Y")</f>
        <v>#NAME?</v>
      </c>
      <c r="AO70" s="36" t="e">
        <f ca="1">_xll.BDP($AD70,AO$10,"BEST_FPERIOD_OVERRIDE=1TY","EQY_FUND_CRNCY=USD","FA_ADJUSTED=Y")</f>
        <v>#NAME?</v>
      </c>
      <c r="AP70" s="36" t="e">
        <f ca="1">_xll.BDP($AD70,AP$10,"BEST_FPERIOD_OVERRIDE=1TY","EQY_FUND_CRNCY=USD","FA_ADJUSTED=Y")</f>
        <v>#NAME?</v>
      </c>
      <c r="AQ70" s="36" t="e">
        <f ca="1">_xll.BDP($AD70,AQ$10,"EQY_FUND_CRNCY=USD","FA_ADJUSTED=Y")</f>
        <v>#NAME?</v>
      </c>
      <c r="AR70" s="36" t="e">
        <f ca="1">_xll.BDP($AD70,AR$10,"BEST_FPERIOD_OVERRIDE=1TY","EQY_FUND_CRNCY=USD","FA_ADJUSTED=Y")</f>
        <v>#NAME?</v>
      </c>
      <c r="AS70" s="36" t="e">
        <f ca="1">_xll.BDP($AD70,AS$10,"EQY_FUND_CRNCY=USD","FA_ADJUSTED=Y")</f>
        <v>#NAME?</v>
      </c>
      <c r="AT70" s="36" t="e">
        <f ca="1">_xll.BDP($AD70,AT$10,"BEST_FPERIOD_OVERRIDE=1TY","EQY_FUND_CRNCY=USD","FA_ADJUSTED=Y")</f>
        <v>#NAME?</v>
      </c>
      <c r="AV70" s="1" t="s">
        <v>71</v>
      </c>
      <c r="AW70" s="1" t="s">
        <v>495</v>
      </c>
      <c r="AX70" s="36">
        <v>12015.716899999999</v>
      </c>
      <c r="AY70" s="36">
        <v>18131.316900000002</v>
      </c>
      <c r="AZ70" s="36">
        <v>2174.3449999999998</v>
      </c>
      <c r="BA70" s="36">
        <v>4355.393</v>
      </c>
      <c r="BB70" s="36">
        <v>1.003082767454107</v>
      </c>
      <c r="BC70" s="114">
        <v>895.99100952148433</v>
      </c>
      <c r="BD70" s="36">
        <v>41.5</v>
      </c>
      <c r="BE70" s="36">
        <v>153.334</v>
      </c>
      <c r="BF70" s="36">
        <v>118.449</v>
      </c>
      <c r="BG70" s="36">
        <v>120.17400000000001</v>
      </c>
      <c r="BH70" s="36">
        <v>748.41300000000001</v>
      </c>
      <c r="BI70" s="36">
        <v>1565</v>
      </c>
      <c r="BJ70" s="36">
        <v>260.79930813918901</v>
      </c>
      <c r="BK70" s="36">
        <v>771.38900000000001</v>
      </c>
      <c r="BL70" s="36">
        <v>25.371000000000002</v>
      </c>
    </row>
    <row r="71" spans="1:64" ht="30" customHeight="1" x14ac:dyDescent="0.2">
      <c r="A71" s="2" t="s">
        <v>457</v>
      </c>
      <c r="B71" s="45" t="s">
        <v>489</v>
      </c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2" t="s">
        <v>457</v>
      </c>
      <c r="AD71" s="2" t="s">
        <v>598</v>
      </c>
      <c r="AE71" s="36" t="e">
        <f ca="1">_xll.BDP($AD71,AE$10)</f>
        <v>#NAME?</v>
      </c>
      <c r="AF71" s="36" t="e">
        <f ca="1">_xll.BDH($AD71,AF$10,$C$5,$C$5,"EQY_FUND_CRNCY=USD")</f>
        <v>#NAME?</v>
      </c>
      <c r="AG71" s="36" t="e">
        <f ca="1">_xll.BDH($AD71,AG$10,$C$5,$C$5,"EQY_FUND_CRNCY=USD")</f>
        <v>#NAME?</v>
      </c>
      <c r="AH71" s="36"/>
      <c r="AI71" s="36" t="e">
        <f ca="1">_xll.BDP($AD71,AI$10,"EQY_FUND_CRNCY=USD","FA_ADJUSTED=Y")</f>
        <v>#NAME?</v>
      </c>
      <c r="AJ71" s="36" t="e">
        <f ca="1">_xll.BDP($AD71,AJ$10,"BEST_FPERIOD_OVERRIDE=1TY","EQY_FUND_CRNCY=USD","FA_ADJUSTED=Y")</f>
        <v>#NAME?</v>
      </c>
      <c r="AK71" s="44" t="e">
        <f t="shared" ca="1" si="1"/>
        <v>#NAME?</v>
      </c>
      <c r="AL71" s="36" t="e">
        <f ca="1">_xll.BDP($AD71,AL$10,"EQY_FUND_CRNCY=USD","FA_ADJUSTED=Y")</f>
        <v>#NAME?</v>
      </c>
      <c r="AM71" s="36" t="e">
        <f ca="1">_xll.BDP($AD71,AM$10,"BEST_FPERIOD_OVERRIDE=1TY","EQY_FUND_CRNCY=USD","FA_ADJUSTED=Y")</f>
        <v>#NAME?</v>
      </c>
      <c r="AN71" s="36" t="e">
        <f ca="1">_xll.BDP($AD71,AN$10,"BEST_FPERIOD_OVERRIDE=1TY","EQY_FUND_CRNCY=USD","FA_ADJUSTED=Y")</f>
        <v>#NAME?</v>
      </c>
      <c r="AO71" s="36" t="e">
        <f ca="1">_xll.BDP($AD71,AO$10,"BEST_FPERIOD_OVERRIDE=1TY","EQY_FUND_CRNCY=USD","FA_ADJUSTED=Y")</f>
        <v>#NAME?</v>
      </c>
      <c r="AP71" s="36" t="e">
        <f ca="1">_xll.BDP($AD71,AP$10,"BEST_FPERIOD_OVERRIDE=1TY","EQY_FUND_CRNCY=USD","FA_ADJUSTED=Y")</f>
        <v>#NAME?</v>
      </c>
      <c r="AQ71" s="36" t="e">
        <f ca="1">_xll.BDP($AD71,AQ$10,"EQY_FUND_CRNCY=USD","FA_ADJUSTED=Y")</f>
        <v>#NAME?</v>
      </c>
      <c r="AR71" s="36" t="e">
        <f ca="1">_xll.BDP($AD71,AR$10,"BEST_FPERIOD_OVERRIDE=1TY","EQY_FUND_CRNCY=USD","FA_ADJUSTED=Y")</f>
        <v>#NAME?</v>
      </c>
      <c r="AS71" s="36" t="e">
        <f ca="1">_xll.BDP($AD71,AS$10,"EQY_FUND_CRNCY=USD","FA_ADJUSTED=Y")</f>
        <v>#NAME?</v>
      </c>
      <c r="AT71" s="36" t="e">
        <f ca="1">_xll.BDP($AD71,AT$10,"BEST_FPERIOD_OVERRIDE=1TY","EQY_FUND_CRNCY=USD","FA_ADJUSTED=Y")</f>
        <v>#NAME?</v>
      </c>
      <c r="AV71" s="1" t="s">
        <v>598</v>
      </c>
      <c r="AW71" s="1" t="s">
        <v>617</v>
      </c>
      <c r="AX71" s="36">
        <v>12918.899100000001</v>
      </c>
      <c r="AY71" s="36">
        <v>11310.248799999999</v>
      </c>
      <c r="AZ71" s="36">
        <v>1762.6579999999999</v>
      </c>
      <c r="BA71" s="36">
        <v>3002.8670000000002</v>
      </c>
      <c r="BB71" s="36">
        <v>0.70360160621062073</v>
      </c>
      <c r="BC71" s="114">
        <v>927.55099047851559</v>
      </c>
      <c r="BD71" s="36">
        <v>59.75</v>
      </c>
      <c r="BE71" s="36">
        <v>196.37299999999999</v>
      </c>
      <c r="BF71" s="36">
        <v>256.09199999999998</v>
      </c>
      <c r="BG71" s="36">
        <v>247.828</v>
      </c>
      <c r="BH71" s="36">
        <v>287.15600000000006</v>
      </c>
      <c r="BI71" s="36">
        <v>789.154</v>
      </c>
      <c r="BJ71" s="36">
        <v>192.85892999999999</v>
      </c>
      <c r="BK71" s="36">
        <v>621.00700000000006</v>
      </c>
      <c r="BL71" s="36">
        <v>62.160000000000004</v>
      </c>
    </row>
    <row r="72" spans="1:64" ht="47.25" x14ac:dyDescent="0.2">
      <c r="B72" s="10" t="s">
        <v>424</v>
      </c>
      <c r="C72" s="10" t="s">
        <v>425</v>
      </c>
      <c r="D72" s="11" t="s">
        <v>426</v>
      </c>
      <c r="E72" s="11" t="s">
        <v>427</v>
      </c>
      <c r="F72" s="12" t="s">
        <v>428</v>
      </c>
      <c r="G72" s="13"/>
      <c r="H72" s="14" t="s">
        <v>429</v>
      </c>
      <c r="I72" s="13"/>
      <c r="J72" s="12" t="s">
        <v>430</v>
      </c>
      <c r="K72" s="12" t="s">
        <v>431</v>
      </c>
      <c r="L72" s="15" t="s">
        <v>432</v>
      </c>
      <c r="M72" s="15" t="s">
        <v>433</v>
      </c>
      <c r="AD72" s="2" t="s">
        <v>599</v>
      </c>
      <c r="AE72" s="36" t="e">
        <f ca="1">_xll.BDP($AD72,AE$10)</f>
        <v>#NAME?</v>
      </c>
      <c r="AF72" s="36" t="e">
        <f ca="1">_xll.BDH($AD72,AF$10,$C$5,$C$5,"EQY_FUND_CRNCY=USD")</f>
        <v>#NAME?</v>
      </c>
      <c r="AG72" s="36" t="e">
        <f ca="1">_xll.BDH($AD72,AG$10,$C$5,$C$5,"EQY_FUND_CRNCY=USD")</f>
        <v>#NAME?</v>
      </c>
      <c r="AH72" s="36"/>
      <c r="AI72" s="36" t="e">
        <f ca="1">_xll.BDP($AD72,AI$10,"EQY_FUND_CRNCY=USD","FA_ADJUSTED=Y")</f>
        <v>#NAME?</v>
      </c>
      <c r="AJ72" s="36" t="e">
        <f ca="1">_xll.BDP($AD72,AJ$10,"BEST_FPERIOD_OVERRIDE=1TY","EQY_FUND_CRNCY=USD","FA_ADJUSTED=Y")</f>
        <v>#NAME?</v>
      </c>
      <c r="AK72" s="44" t="e">
        <f t="shared" ca="1" si="1"/>
        <v>#NAME?</v>
      </c>
      <c r="AL72" s="36" t="e">
        <f ca="1">_xll.BDP($AD72,AL$10,"EQY_FUND_CRNCY=USD","FA_ADJUSTED=Y")</f>
        <v>#NAME?</v>
      </c>
      <c r="AM72" s="36" t="e">
        <f ca="1">_xll.BDP($AD72,AM$10,"BEST_FPERIOD_OVERRIDE=1TY","EQY_FUND_CRNCY=USD","FA_ADJUSTED=Y")</f>
        <v>#NAME?</v>
      </c>
      <c r="AN72" s="36" t="e">
        <f ca="1">_xll.BDP($AD72,AN$10,"BEST_FPERIOD_OVERRIDE=1TY","EQY_FUND_CRNCY=USD","FA_ADJUSTED=Y")</f>
        <v>#NAME?</v>
      </c>
      <c r="AO72" s="36" t="e">
        <f ca="1">_xll.BDP($AD72,AO$10,"BEST_FPERIOD_OVERRIDE=1TY","EQY_FUND_CRNCY=USD","FA_ADJUSTED=Y")</f>
        <v>#NAME?</v>
      </c>
      <c r="AP72" s="36" t="e">
        <f ca="1">_xll.BDP($AD72,AP$10,"BEST_FPERIOD_OVERRIDE=1TY","EQY_FUND_CRNCY=USD","FA_ADJUSTED=Y")</f>
        <v>#NAME?</v>
      </c>
      <c r="AQ72" s="36" t="e">
        <f ca="1">_xll.BDP($AD72,AQ$10,"EQY_FUND_CRNCY=USD","FA_ADJUSTED=Y")</f>
        <v>#NAME?</v>
      </c>
      <c r="AR72" s="36" t="e">
        <f ca="1">_xll.BDP($AD72,AR$10,"BEST_FPERIOD_OVERRIDE=1TY","EQY_FUND_CRNCY=USD","FA_ADJUSTED=Y")</f>
        <v>#NAME?</v>
      </c>
      <c r="AS72" s="36" t="e">
        <f ca="1">_xll.BDP($AD72,AS$10,"EQY_FUND_CRNCY=USD","FA_ADJUSTED=Y")</f>
        <v>#NAME?</v>
      </c>
      <c r="AT72" s="36" t="e">
        <f ca="1">_xll.BDP($AD72,AT$10,"BEST_FPERIOD_OVERRIDE=1TY","EQY_FUND_CRNCY=USD","FA_ADJUSTED=Y")</f>
        <v>#NAME?</v>
      </c>
      <c r="AV72" s="1" t="s">
        <v>599</v>
      </c>
      <c r="AW72" s="1" t="s">
        <v>495</v>
      </c>
      <c r="AX72" s="36">
        <v>5240.2406000000001</v>
      </c>
      <c r="AY72" s="36">
        <v>5116.1342000000004</v>
      </c>
      <c r="AZ72" s="36">
        <v>662.16275290332658</v>
      </c>
      <c r="BA72" s="36">
        <v>964.04100000000005</v>
      </c>
      <c r="BB72" s="36">
        <v>0.4558973541973701</v>
      </c>
      <c r="BC72" s="114">
        <v>462.07363936766961</v>
      </c>
      <c r="BD72" s="36">
        <v>75.2</v>
      </c>
      <c r="BE72" s="36">
        <v>154.31598291557478</v>
      </c>
      <c r="BF72" s="36">
        <v>169.76960474098371</v>
      </c>
      <c r="BG72" s="36">
        <v>72.929738302088708</v>
      </c>
      <c r="BH72" s="36">
        <v>163.30981038419148</v>
      </c>
      <c r="BI72" s="36">
        <v>231.39099999999999</v>
      </c>
      <c r="BJ72" s="36">
        <v>77.683937329779184</v>
      </c>
      <c r="BK72" s="36">
        <v>154.88400000000001</v>
      </c>
      <c r="BL72" s="36">
        <v>217.4</v>
      </c>
    </row>
    <row r="73" spans="1:64" ht="15.75" x14ac:dyDescent="0.2">
      <c r="B73" s="18"/>
      <c r="C73" s="18"/>
      <c r="D73" s="18"/>
      <c r="E73" s="18"/>
      <c r="F73" s="19" t="s">
        <v>440</v>
      </c>
      <c r="G73" s="20" t="s">
        <v>441</v>
      </c>
      <c r="H73" s="19" t="s">
        <v>440</v>
      </c>
      <c r="I73" s="20" t="s">
        <v>441</v>
      </c>
      <c r="J73" s="19" t="s">
        <v>441</v>
      </c>
      <c r="K73" s="19" t="s">
        <v>440</v>
      </c>
      <c r="L73" s="20" t="s">
        <v>440</v>
      </c>
      <c r="M73" s="20" t="s">
        <v>440</v>
      </c>
      <c r="AD73" s="2" t="s">
        <v>600</v>
      </c>
      <c r="AE73" s="36" t="e">
        <f ca="1">_xll.BDP($AD73,AE$10)</f>
        <v>#NAME?</v>
      </c>
      <c r="AF73" s="36" t="e">
        <f ca="1">_xll.BDH($AD73,AF$10,$C$5,$C$5,"EQY_FUND_CRNCY=USD")</f>
        <v>#NAME?</v>
      </c>
      <c r="AG73" s="36" t="e">
        <f ca="1">_xll.BDH($AD73,AG$10,$C$5,$C$5,"EQY_FUND_CRNCY=USD")</f>
        <v>#NAME?</v>
      </c>
      <c r="AH73" s="36"/>
      <c r="AI73" s="36" t="e">
        <f ca="1">_xll.BDP($AD73,AI$10,"EQY_FUND_CRNCY=USD","FA_ADJUSTED=Y")</f>
        <v>#NAME?</v>
      </c>
      <c r="AJ73" s="36" t="e">
        <f ca="1">_xll.BDP($AD73,AJ$10,"BEST_FPERIOD_OVERRIDE=1TY","EQY_FUND_CRNCY=USD","FA_ADJUSTED=Y")</f>
        <v>#NAME?</v>
      </c>
      <c r="AK73" s="44" t="e">
        <f t="shared" ca="1" si="1"/>
        <v>#NAME?</v>
      </c>
      <c r="AL73" s="36" t="e">
        <f ca="1">_xll.BDP($AD73,AL$10,"EQY_FUND_CRNCY=USD","FA_ADJUSTED=Y")</f>
        <v>#NAME?</v>
      </c>
      <c r="AM73" s="36" t="e">
        <f ca="1">_xll.BDP($AD73,AM$10,"BEST_FPERIOD_OVERRIDE=1TY","EQY_FUND_CRNCY=USD","FA_ADJUSTED=Y")</f>
        <v>#NAME?</v>
      </c>
      <c r="AN73" s="36" t="e">
        <f ca="1">_xll.BDP($AD73,AN$10,"BEST_FPERIOD_OVERRIDE=1TY","EQY_FUND_CRNCY=USD","FA_ADJUSTED=Y")</f>
        <v>#NAME?</v>
      </c>
      <c r="AO73" s="36" t="e">
        <f ca="1">_xll.BDP($AD73,AO$10,"BEST_FPERIOD_OVERRIDE=1TY","EQY_FUND_CRNCY=USD","FA_ADJUSTED=Y")</f>
        <v>#NAME?</v>
      </c>
      <c r="AP73" s="36" t="e">
        <f ca="1">_xll.BDP($AD73,AP$10,"BEST_FPERIOD_OVERRIDE=1TY","EQY_FUND_CRNCY=USD","FA_ADJUSTED=Y")</f>
        <v>#NAME?</v>
      </c>
      <c r="AQ73" s="36" t="e">
        <f ca="1">_xll.BDP($AD73,AQ$10,"EQY_FUND_CRNCY=USD","FA_ADJUSTED=Y")</f>
        <v>#NAME?</v>
      </c>
      <c r="AR73" s="36" t="e">
        <f ca="1">_xll.BDP($AD73,AR$10,"BEST_FPERIOD_OVERRIDE=1TY","EQY_FUND_CRNCY=USD","FA_ADJUSTED=Y")</f>
        <v>#NAME?</v>
      </c>
      <c r="AS73" s="36" t="e">
        <f ca="1">_xll.BDP($AD73,AS$10,"EQY_FUND_CRNCY=USD","FA_ADJUSTED=Y")</f>
        <v>#NAME?</v>
      </c>
      <c r="AT73" s="36" t="e">
        <f ca="1">_xll.BDP($AD73,AT$10,"BEST_FPERIOD_OVERRIDE=1TY","EQY_FUND_CRNCY=USD","FA_ADJUSTED=Y")</f>
        <v>#NAME?</v>
      </c>
      <c r="AV73" s="1" t="s">
        <v>600</v>
      </c>
      <c r="AW73" s="1" t="s">
        <v>615</v>
      </c>
      <c r="AX73" s="36">
        <v>1793.5098</v>
      </c>
      <c r="AY73" s="36">
        <v>1670.4738</v>
      </c>
      <c r="AZ73" s="36">
        <v>505.65300000000002</v>
      </c>
      <c r="BA73" s="36">
        <v>700.99199999999996</v>
      </c>
      <c r="BB73" s="36">
        <v>0.38631037490136499</v>
      </c>
      <c r="BC73" s="114">
        <v>233.04500000000002</v>
      </c>
      <c r="BD73" s="36">
        <v>46.325000000000003</v>
      </c>
      <c r="BE73" s="36">
        <v>17.2</v>
      </c>
      <c r="BF73" s="36" t="s">
        <v>480</v>
      </c>
      <c r="BG73" s="36" t="s">
        <v>480</v>
      </c>
      <c r="BH73" s="36">
        <v>12.508000000000003</v>
      </c>
      <c r="BI73" s="36">
        <v>35.655999999999999</v>
      </c>
      <c r="BJ73" s="36">
        <v>-25.145819318402001</v>
      </c>
      <c r="BK73" s="36">
        <v>1.286</v>
      </c>
      <c r="BL73" s="36">
        <v>354.21300000000002</v>
      </c>
    </row>
    <row r="74" spans="1:64" ht="30" customHeight="1" x14ac:dyDescent="0.2">
      <c r="B74" s="46" t="str">
        <f t="shared" ref="B74:L74" si="17">B$9</f>
        <v>Databricks</v>
      </c>
      <c r="C74" s="46" t="str">
        <f t="shared" si="17"/>
        <v>Advanced big data processing company.</v>
      </c>
      <c r="D74" s="47">
        <f t="shared" si="17"/>
        <v>0</v>
      </c>
      <c r="E74" s="47">
        <f t="shared" si="17"/>
        <v>0</v>
      </c>
      <c r="F74" s="48">
        <f t="shared" si="17"/>
        <v>0</v>
      </c>
      <c r="G74" s="49">
        <f t="shared" si="17"/>
        <v>0</v>
      </c>
      <c r="H74" s="50" t="e">
        <f t="shared" si="17"/>
        <v>#DIV/0!</v>
      </c>
      <c r="I74" s="51" t="e">
        <f t="shared" si="17"/>
        <v>#DIV/0!</v>
      </c>
      <c r="J74" s="52" t="e">
        <f t="shared" si="17"/>
        <v>#DIV/0!</v>
      </c>
      <c r="K74" s="52" t="e">
        <f t="shared" si="17"/>
        <v>#DIV/0!</v>
      </c>
      <c r="L74" s="53" t="e">
        <f t="shared" si="17"/>
        <v>#DIV/0!</v>
      </c>
      <c r="M74" s="53" t="e">
        <f>M$9</f>
        <v>#DIV/0!</v>
      </c>
      <c r="AD74" s="2" t="s">
        <v>601</v>
      </c>
      <c r="AE74" s="36" t="e">
        <f ca="1">_xll.BDP($AD74,AE$10)</f>
        <v>#NAME?</v>
      </c>
      <c r="AF74" s="36" t="e">
        <f ca="1">_xll.BDH($AD74,AF$10,$C$5,$C$5,"EQY_FUND_CRNCY=USD")</f>
        <v>#NAME?</v>
      </c>
      <c r="AG74" s="36" t="e">
        <f ca="1">_xll.BDH($AD74,AG$10,$C$5,$C$5,"EQY_FUND_CRNCY=USD")</f>
        <v>#NAME?</v>
      </c>
      <c r="AH74" s="36"/>
      <c r="AI74" s="36" t="e">
        <f ca="1">_xll.BDP($AD74,AI$10,"EQY_FUND_CRNCY=USD","FA_ADJUSTED=Y")</f>
        <v>#NAME?</v>
      </c>
      <c r="AJ74" s="36" t="e">
        <f ca="1">_xll.BDP($AD74,AJ$10,"BEST_FPERIOD_OVERRIDE=1TY","EQY_FUND_CRNCY=USD","FA_ADJUSTED=Y")</f>
        <v>#NAME?</v>
      </c>
      <c r="AK74" s="44" t="e">
        <f t="shared" ca="1" si="1"/>
        <v>#NAME?</v>
      </c>
      <c r="AL74" s="36" t="e">
        <f ca="1">_xll.BDP($AD74,AL$10,"EQY_FUND_CRNCY=USD","FA_ADJUSTED=Y")</f>
        <v>#NAME?</v>
      </c>
      <c r="AM74" s="36" t="e">
        <f ca="1">_xll.BDP($AD74,AM$10,"BEST_FPERIOD_OVERRIDE=1TY","EQY_FUND_CRNCY=USD","FA_ADJUSTED=Y")</f>
        <v>#NAME?</v>
      </c>
      <c r="AN74" s="36" t="e">
        <f ca="1">_xll.BDP($AD74,AN$10,"BEST_FPERIOD_OVERRIDE=1TY","EQY_FUND_CRNCY=USD","FA_ADJUSTED=Y")</f>
        <v>#NAME?</v>
      </c>
      <c r="AO74" s="36" t="e">
        <f ca="1">_xll.BDP($AD74,AO$10,"BEST_FPERIOD_OVERRIDE=1TY","EQY_FUND_CRNCY=USD","FA_ADJUSTED=Y")</f>
        <v>#NAME?</v>
      </c>
      <c r="AP74" s="36" t="e">
        <f ca="1">_xll.BDP($AD74,AP$10,"BEST_FPERIOD_OVERRIDE=1TY","EQY_FUND_CRNCY=USD","FA_ADJUSTED=Y")</f>
        <v>#NAME?</v>
      </c>
      <c r="AQ74" s="36" t="e">
        <f ca="1">_xll.BDP($AD74,AQ$10,"EQY_FUND_CRNCY=USD","FA_ADJUSTED=Y")</f>
        <v>#NAME?</v>
      </c>
      <c r="AR74" s="36" t="e">
        <f ca="1">_xll.BDP($AD74,AR$10,"BEST_FPERIOD_OVERRIDE=1TY","EQY_FUND_CRNCY=USD","FA_ADJUSTED=Y")</f>
        <v>#NAME?</v>
      </c>
      <c r="AS74" s="36" t="e">
        <f ca="1">_xll.BDP($AD74,AS$10,"EQY_FUND_CRNCY=USD","FA_ADJUSTED=Y")</f>
        <v>#NAME?</v>
      </c>
      <c r="AT74" s="36" t="e">
        <f ca="1">_xll.BDP($AD74,AT$10,"BEST_FPERIOD_OVERRIDE=1TY","EQY_FUND_CRNCY=USD","FA_ADJUSTED=Y")</f>
        <v>#NAME?</v>
      </c>
      <c r="AV74" s="1" t="s">
        <v>601</v>
      </c>
      <c r="AW74" s="1" t="s">
        <v>505</v>
      </c>
      <c r="AX74" s="36">
        <v>1445.5060000000001</v>
      </c>
      <c r="AY74" s="36">
        <v>1375.1850999999999</v>
      </c>
      <c r="AZ74" s="36">
        <v>50.944830456625908</v>
      </c>
      <c r="BA74" s="36">
        <v>68.814000000000007</v>
      </c>
      <c r="BB74" s="36">
        <v>0.35075530496833807</v>
      </c>
      <c r="BC74" s="114">
        <v>50.927435366140706</v>
      </c>
      <c r="BD74" s="36">
        <v>99.9</v>
      </c>
      <c r="BE74" s="36">
        <v>0</v>
      </c>
      <c r="BF74" s="36" t="s">
        <v>480</v>
      </c>
      <c r="BG74" s="36" t="s">
        <v>480</v>
      </c>
      <c r="BH74" s="36">
        <v>-15.660510996069489</v>
      </c>
      <c r="BI74" s="36">
        <v>-24.952000000000002</v>
      </c>
      <c r="BJ74" s="36">
        <v>-16.377704596026192</v>
      </c>
      <c r="BK74" s="36">
        <v>-24.887</v>
      </c>
      <c r="BL74" s="36">
        <v>348.45100000000002</v>
      </c>
    </row>
    <row r="75" spans="1:64" ht="30" customHeight="1" x14ac:dyDescent="0.2">
      <c r="B75" s="54" t="s">
        <v>466</v>
      </c>
      <c r="C75" s="54" t="e">
        <f>VLOOKUP($B75,#REF!,COLUMNS($B75:C75),0)</f>
        <v>#REF!</v>
      </c>
      <c r="D75" s="66" t="e">
        <f>VLOOKUP($B75,#REF!,COLUMNS($B75:D75),0)</f>
        <v>#REF!</v>
      </c>
      <c r="E75" s="66" t="e">
        <f>VLOOKUP($B75,#REF!,COLUMNS($B75:E75),0)</f>
        <v>#REF!</v>
      </c>
      <c r="F75" s="67" t="e">
        <f>VLOOKUP($B75,#REF!,COLUMNS($B75:F75),0)</f>
        <v>#REF!</v>
      </c>
      <c r="G75" s="68" t="e">
        <f>VLOOKUP($B75,#REF!,COLUMNS($B75:G75),0)</f>
        <v>#REF!</v>
      </c>
      <c r="H75" s="69" t="e">
        <f>VLOOKUP($B75,#REF!,COLUMNS($B75:H75),0)</f>
        <v>#REF!</v>
      </c>
      <c r="I75" s="70" t="e">
        <f>VLOOKUP($B75,#REF!,COLUMNS($B75:I75),0)</f>
        <v>#REF!</v>
      </c>
      <c r="J75" s="71" t="e">
        <f>VLOOKUP($B75,#REF!,COLUMNS($B75:J75),0)</f>
        <v>#REF!</v>
      </c>
      <c r="K75" s="60" t="e">
        <f>VLOOKUP($B75,#REF!,COLUMNS($B75:K75),0)</f>
        <v>#REF!</v>
      </c>
      <c r="L75" s="61" t="e">
        <f>VLOOKUP($B75,#REF!,COLUMNS($B75:L75),0)</f>
        <v>#REF!</v>
      </c>
      <c r="M75" s="61" t="e">
        <f>VLOOKUP($B75,#REF!,COLUMNS($B75:M75),0)</f>
        <v>#REF!</v>
      </c>
      <c r="AD75" s="2" t="s">
        <v>602</v>
      </c>
      <c r="AE75" s="36" t="e">
        <f ca="1">_xll.BDP($AD75,AE$10)</f>
        <v>#NAME?</v>
      </c>
      <c r="AF75" s="36" t="e">
        <f ca="1">_xll.BDH($AD75,AF$10,$C$5,$C$5,"EQY_FUND_CRNCY=USD")</f>
        <v>#NAME?</v>
      </c>
      <c r="AG75" s="36" t="e">
        <f ca="1">_xll.BDH($AD75,AG$10,$C$5,$C$5,"EQY_FUND_CRNCY=USD")</f>
        <v>#NAME?</v>
      </c>
      <c r="AH75" s="36"/>
      <c r="AI75" s="36" t="e">
        <f ca="1">_xll.BDP($AD75,AI$10,"EQY_FUND_CRNCY=USD","FA_ADJUSTED=Y")</f>
        <v>#NAME?</v>
      </c>
      <c r="AJ75" s="36" t="e">
        <f ca="1">_xll.BDP($AD75,AJ$10,"BEST_FPERIOD_OVERRIDE=1TY","EQY_FUND_CRNCY=USD","FA_ADJUSTED=Y")</f>
        <v>#NAME?</v>
      </c>
      <c r="AK75" s="44" t="e">
        <f t="shared" ca="1" si="1"/>
        <v>#NAME?</v>
      </c>
      <c r="AL75" s="36" t="e">
        <f ca="1">_xll.BDP($AD75,AL$10,"EQY_FUND_CRNCY=USD","FA_ADJUSTED=Y")</f>
        <v>#NAME?</v>
      </c>
      <c r="AM75" s="36" t="e">
        <f ca="1">_xll.BDP($AD75,AM$10,"BEST_FPERIOD_OVERRIDE=1TY","EQY_FUND_CRNCY=USD","FA_ADJUSTED=Y")</f>
        <v>#NAME?</v>
      </c>
      <c r="AN75" s="36" t="e">
        <f ca="1">_xll.BDP($AD75,AN$10,"BEST_FPERIOD_OVERRIDE=1TY","EQY_FUND_CRNCY=USD","FA_ADJUSTED=Y")</f>
        <v>#NAME?</v>
      </c>
      <c r="AO75" s="36" t="e">
        <f ca="1">_xll.BDP($AD75,AO$10,"BEST_FPERIOD_OVERRIDE=1TY","EQY_FUND_CRNCY=USD","FA_ADJUSTED=Y")</f>
        <v>#NAME?</v>
      </c>
      <c r="AP75" s="36" t="e">
        <f ca="1">_xll.BDP($AD75,AP$10,"BEST_FPERIOD_OVERRIDE=1TY","EQY_FUND_CRNCY=USD","FA_ADJUSTED=Y")</f>
        <v>#NAME?</v>
      </c>
      <c r="AQ75" s="36" t="e">
        <f ca="1">_xll.BDP($AD75,AQ$10,"EQY_FUND_CRNCY=USD","FA_ADJUSTED=Y")</f>
        <v>#NAME?</v>
      </c>
      <c r="AR75" s="36" t="e">
        <f ca="1">_xll.BDP($AD75,AR$10,"BEST_FPERIOD_OVERRIDE=1TY","EQY_FUND_CRNCY=USD","FA_ADJUSTED=Y")</f>
        <v>#NAME?</v>
      </c>
      <c r="AS75" s="36" t="e">
        <f ca="1">_xll.BDP($AD75,AS$10,"EQY_FUND_CRNCY=USD","FA_ADJUSTED=Y")</f>
        <v>#NAME?</v>
      </c>
      <c r="AT75" s="36" t="e">
        <f ca="1">_xll.BDP($AD75,AT$10,"BEST_FPERIOD_OVERRIDE=1TY","EQY_FUND_CRNCY=USD","FA_ADJUSTED=Y")</f>
        <v>#NAME?</v>
      </c>
      <c r="AV75" s="1" t="s">
        <v>602</v>
      </c>
      <c r="AW75" s="1" t="s">
        <v>617</v>
      </c>
      <c r="AX75" s="36">
        <v>10521.658299999999</v>
      </c>
      <c r="AY75" s="36">
        <v>11136.6034</v>
      </c>
      <c r="AZ75" s="36">
        <v>2027.4701488016447</v>
      </c>
      <c r="BA75" s="36">
        <v>2646.6010000000001</v>
      </c>
      <c r="BB75" s="36">
        <v>0.30537113040322628</v>
      </c>
      <c r="BC75" s="114">
        <v>1679.9929314420062</v>
      </c>
      <c r="BD75" s="36">
        <v>84.125</v>
      </c>
      <c r="BE75" s="36">
        <v>808.46222965286324</v>
      </c>
      <c r="BF75" s="36">
        <v>397.17667897950406</v>
      </c>
      <c r="BG75" s="36">
        <v>169.33572698676082</v>
      </c>
      <c r="BH75" s="36">
        <v>942.26823079258611</v>
      </c>
      <c r="BI75" s="36">
        <v>1179.587</v>
      </c>
      <c r="BJ75" s="36">
        <v>205.69174478129477</v>
      </c>
      <c r="BK75" s="36">
        <v>402.25299999999999</v>
      </c>
      <c r="BL75" s="36">
        <v>147.19200000000001</v>
      </c>
    </row>
    <row r="76" spans="1:64" ht="30" customHeight="1" x14ac:dyDescent="0.2">
      <c r="B76" s="62" t="s">
        <v>469</v>
      </c>
      <c r="C76" s="62" t="e">
        <f>VLOOKUP($B76,#REF!,COLUMNS($B76:C76),0)</f>
        <v>#REF!</v>
      </c>
      <c r="D76" s="66" t="e">
        <f>VLOOKUP($B76,#REF!,COLUMNS($B76:D76),0)</f>
        <v>#REF!</v>
      </c>
      <c r="E76" s="66" t="e">
        <f>VLOOKUP($B76,#REF!,COLUMNS($B76:E76),0)</f>
        <v>#REF!</v>
      </c>
      <c r="F76" s="67" t="e">
        <f>VLOOKUP($B76,#REF!,COLUMNS($B76:F76),0)</f>
        <v>#REF!</v>
      </c>
      <c r="G76" s="68" t="e">
        <f>VLOOKUP($B76,#REF!,COLUMNS($B76:G76),0)</f>
        <v>#REF!</v>
      </c>
      <c r="H76" s="69" t="e">
        <f>VLOOKUP($B76,#REF!,COLUMNS($B76:H76),0)</f>
        <v>#REF!</v>
      </c>
      <c r="I76" s="70" t="e">
        <f>VLOOKUP($B76,#REF!,COLUMNS($B76:I76),0)</f>
        <v>#REF!</v>
      </c>
      <c r="J76" s="71" t="e">
        <f>VLOOKUP($B76,#REF!,COLUMNS($B76:J76),0)</f>
        <v>#REF!</v>
      </c>
      <c r="K76" s="60" t="e">
        <f>VLOOKUP($B76,#REF!,COLUMNS($B76:K76),0)</f>
        <v>#REF!</v>
      </c>
      <c r="L76" s="61" t="e">
        <f>VLOOKUP($B76,#REF!,COLUMNS($B76:L76),0)</f>
        <v>#REF!</v>
      </c>
      <c r="M76" s="61" t="e">
        <f>VLOOKUP($B76,#REF!,COLUMNS($B76:M76),0)</f>
        <v>#REF!</v>
      </c>
      <c r="AD76" s="2" t="s">
        <v>603</v>
      </c>
      <c r="AE76" s="36" t="e">
        <f ca="1">_xll.BDP($AD76,AE$10)</f>
        <v>#NAME?</v>
      </c>
      <c r="AF76" s="36" t="e">
        <f ca="1">_xll.BDH($AD76,AF$10,$C$5,$C$5,"EQY_FUND_CRNCY=USD")</f>
        <v>#NAME?</v>
      </c>
      <c r="AG76" s="36" t="e">
        <f ca="1">_xll.BDH($AD76,AG$10,$C$5,$C$5,"EQY_FUND_CRNCY=USD")</f>
        <v>#NAME?</v>
      </c>
      <c r="AH76" s="36"/>
      <c r="AI76" s="36" t="e">
        <f ca="1">_xll.BDP($AD76,AI$10,"EQY_FUND_CRNCY=USD","FA_ADJUSTED=Y")</f>
        <v>#NAME?</v>
      </c>
      <c r="AJ76" s="36" t="e">
        <f ca="1">_xll.BDP($AD76,AJ$10,"BEST_FPERIOD_OVERRIDE=1TY","EQY_FUND_CRNCY=USD","FA_ADJUSTED=Y")</f>
        <v>#NAME?</v>
      </c>
      <c r="AK76" s="44" t="e">
        <f t="shared" ca="1" si="1"/>
        <v>#NAME?</v>
      </c>
      <c r="AL76" s="36" t="e">
        <f ca="1">_xll.BDP($AD76,AL$10,"EQY_FUND_CRNCY=USD","FA_ADJUSTED=Y")</f>
        <v>#NAME?</v>
      </c>
      <c r="AM76" s="36" t="e">
        <f ca="1">_xll.BDP($AD76,AM$10,"BEST_FPERIOD_OVERRIDE=1TY","EQY_FUND_CRNCY=USD","FA_ADJUSTED=Y")</f>
        <v>#NAME?</v>
      </c>
      <c r="AN76" s="36" t="e">
        <f ca="1">_xll.BDP($AD76,AN$10,"BEST_FPERIOD_OVERRIDE=1TY","EQY_FUND_CRNCY=USD","FA_ADJUSTED=Y")</f>
        <v>#NAME?</v>
      </c>
      <c r="AO76" s="36" t="e">
        <f ca="1">_xll.BDP($AD76,AO$10,"BEST_FPERIOD_OVERRIDE=1TY","EQY_FUND_CRNCY=USD","FA_ADJUSTED=Y")</f>
        <v>#NAME?</v>
      </c>
      <c r="AP76" s="36" t="e">
        <f ca="1">_xll.BDP($AD76,AP$10,"BEST_FPERIOD_OVERRIDE=1TY","EQY_FUND_CRNCY=USD","FA_ADJUSTED=Y")</f>
        <v>#NAME?</v>
      </c>
      <c r="AQ76" s="36" t="e">
        <f ca="1">_xll.BDP($AD76,AQ$10,"EQY_FUND_CRNCY=USD","FA_ADJUSTED=Y")</f>
        <v>#NAME?</v>
      </c>
      <c r="AR76" s="36" t="e">
        <f ca="1">_xll.BDP($AD76,AR$10,"BEST_FPERIOD_OVERRIDE=1TY","EQY_FUND_CRNCY=USD","FA_ADJUSTED=Y")</f>
        <v>#NAME?</v>
      </c>
      <c r="AS76" s="36" t="e">
        <f ca="1">_xll.BDP($AD76,AS$10,"EQY_FUND_CRNCY=USD","FA_ADJUSTED=Y")</f>
        <v>#NAME?</v>
      </c>
      <c r="AT76" s="36" t="e">
        <f ca="1">_xll.BDP($AD76,AT$10,"BEST_FPERIOD_OVERRIDE=1TY","EQY_FUND_CRNCY=USD","FA_ADJUSTED=Y")</f>
        <v>#NAME?</v>
      </c>
      <c r="AV76" s="1" t="s">
        <v>603</v>
      </c>
      <c r="AW76" s="1" t="s">
        <v>615</v>
      </c>
      <c r="AX76" s="36">
        <v>1496.2534000000001</v>
      </c>
      <c r="AY76" s="36">
        <v>1498.6233999999999</v>
      </c>
      <c r="AZ76" s="36">
        <v>169.74299999999999</v>
      </c>
      <c r="BA76" s="36">
        <v>217.958</v>
      </c>
      <c r="BB76" s="36">
        <v>0.2840470593780009</v>
      </c>
      <c r="BC76" s="114">
        <v>52.637000358581545</v>
      </c>
      <c r="BD76" s="36">
        <v>34.075000000000003</v>
      </c>
      <c r="BE76" s="36">
        <v>5.6280000000000001</v>
      </c>
      <c r="BF76" s="36">
        <v>5.5419999999999998</v>
      </c>
      <c r="BG76" s="36">
        <v>21.181000000000001</v>
      </c>
      <c r="BH76" s="36">
        <v>17.134</v>
      </c>
      <c r="BI76" s="36">
        <v>36.538000000000004</v>
      </c>
      <c r="BJ76" s="36">
        <v>8.8915167711629994</v>
      </c>
      <c r="BK76" s="36">
        <v>19.253</v>
      </c>
      <c r="BL76" s="36">
        <v>107.494</v>
      </c>
    </row>
    <row r="77" spans="1:64" ht="30" customHeight="1" x14ac:dyDescent="0.2">
      <c r="B77" s="62" t="s">
        <v>475</v>
      </c>
      <c r="C77" s="62" t="e">
        <f>VLOOKUP($B77,#REF!,COLUMNS($B77:C77),0)</f>
        <v>#REF!</v>
      </c>
      <c r="D77" s="66" t="e">
        <f>VLOOKUP($B77,#REF!,COLUMNS($B77:D77),0)</f>
        <v>#REF!</v>
      </c>
      <c r="E77" s="66" t="e">
        <f>VLOOKUP($B77,#REF!,COLUMNS($B77:E77),0)</f>
        <v>#REF!</v>
      </c>
      <c r="F77" s="67" t="e">
        <f>VLOOKUP($B77,#REF!,COLUMNS($B77:F77),0)</f>
        <v>#REF!</v>
      </c>
      <c r="G77" s="68" t="e">
        <f>VLOOKUP($B77,#REF!,COLUMNS($B77:G77),0)</f>
        <v>#REF!</v>
      </c>
      <c r="H77" s="69" t="e">
        <f>VLOOKUP($B77,#REF!,COLUMNS($B77:H77),0)</f>
        <v>#REF!</v>
      </c>
      <c r="I77" s="70" t="e">
        <f>VLOOKUP($B77,#REF!,COLUMNS($B77:I77),0)</f>
        <v>#REF!</v>
      </c>
      <c r="J77" s="71" t="e">
        <f>VLOOKUP($B77,#REF!,COLUMNS($B77:J77),0)</f>
        <v>#REF!</v>
      </c>
      <c r="K77" s="60" t="e">
        <f>VLOOKUP($B77,#REF!,COLUMNS($B77:K77),0)</f>
        <v>#REF!</v>
      </c>
      <c r="L77" s="61" t="e">
        <f>VLOOKUP($B77,#REF!,COLUMNS($B77:L77),0)</f>
        <v>#REF!</v>
      </c>
      <c r="M77" s="61" t="e">
        <f>VLOOKUP($B77,#REF!,COLUMNS($B77:M77),0)</f>
        <v>#REF!</v>
      </c>
      <c r="AD77" s="2" t="s">
        <v>247</v>
      </c>
      <c r="AE77" s="36" t="e">
        <f ca="1">_xll.BDP($AD77,AE$10)</f>
        <v>#NAME?</v>
      </c>
      <c r="AF77" s="36" t="e">
        <f ca="1">_xll.BDH($AD77,AF$10,$C$5,$C$5,"EQY_FUND_CRNCY=USD")</f>
        <v>#NAME?</v>
      </c>
      <c r="AG77" s="36" t="e">
        <f ca="1">_xll.BDH($AD77,AG$10,$C$5,$C$5,"EQY_FUND_CRNCY=USD")</f>
        <v>#NAME?</v>
      </c>
      <c r="AH77" s="36"/>
      <c r="AI77" s="36" t="e">
        <f ca="1">_xll.BDP($AD77,AI$10,"EQY_FUND_CRNCY=USD","FA_ADJUSTED=Y")</f>
        <v>#NAME?</v>
      </c>
      <c r="AJ77" s="36" t="e">
        <f ca="1">_xll.BDP($AD77,AJ$10,"BEST_FPERIOD_OVERRIDE=1TY","EQY_FUND_CRNCY=USD","FA_ADJUSTED=Y")</f>
        <v>#NAME?</v>
      </c>
      <c r="AK77" s="44" t="e">
        <f t="shared" ca="1" si="1"/>
        <v>#NAME?</v>
      </c>
      <c r="AL77" s="36" t="e">
        <f ca="1">_xll.BDP($AD77,AL$10,"EQY_FUND_CRNCY=USD","FA_ADJUSTED=Y")</f>
        <v>#NAME?</v>
      </c>
      <c r="AM77" s="36" t="e">
        <f ca="1">_xll.BDP($AD77,AM$10,"BEST_FPERIOD_OVERRIDE=1TY","EQY_FUND_CRNCY=USD","FA_ADJUSTED=Y")</f>
        <v>#NAME?</v>
      </c>
      <c r="AN77" s="36" t="e">
        <f ca="1">_xll.BDP($AD77,AN$10,"BEST_FPERIOD_OVERRIDE=1TY","EQY_FUND_CRNCY=USD","FA_ADJUSTED=Y")</f>
        <v>#NAME?</v>
      </c>
      <c r="AO77" s="36" t="e">
        <f ca="1">_xll.BDP($AD77,AO$10,"BEST_FPERIOD_OVERRIDE=1TY","EQY_FUND_CRNCY=USD","FA_ADJUSTED=Y")</f>
        <v>#NAME?</v>
      </c>
      <c r="AP77" s="36" t="e">
        <f ca="1">_xll.BDP($AD77,AP$10,"BEST_FPERIOD_OVERRIDE=1TY","EQY_FUND_CRNCY=USD","FA_ADJUSTED=Y")</f>
        <v>#NAME?</v>
      </c>
      <c r="AQ77" s="36" t="e">
        <f ca="1">_xll.BDP($AD77,AQ$10,"EQY_FUND_CRNCY=USD","FA_ADJUSTED=Y")</f>
        <v>#NAME?</v>
      </c>
      <c r="AR77" s="36" t="e">
        <f ca="1">_xll.BDP($AD77,AR$10,"BEST_FPERIOD_OVERRIDE=1TY","EQY_FUND_CRNCY=USD","FA_ADJUSTED=Y")</f>
        <v>#NAME?</v>
      </c>
      <c r="AS77" s="36" t="e">
        <f ca="1">_xll.BDP($AD77,AS$10,"EQY_FUND_CRNCY=USD","FA_ADJUSTED=Y")</f>
        <v>#NAME?</v>
      </c>
      <c r="AT77" s="36" t="e">
        <f ca="1">_xll.BDP($AD77,AT$10,"BEST_FPERIOD_OVERRIDE=1TY","EQY_FUND_CRNCY=USD","FA_ADJUSTED=Y")</f>
        <v>#NAME?</v>
      </c>
      <c r="AV77" s="1" t="s">
        <v>247</v>
      </c>
      <c r="AW77" s="1" t="s">
        <v>495</v>
      </c>
      <c r="AX77" s="36">
        <v>1761.6745000000001</v>
      </c>
      <c r="AY77" s="36">
        <v>2281.3764999999999</v>
      </c>
      <c r="AZ77" s="36">
        <v>430.33699999999999</v>
      </c>
      <c r="BA77" s="36">
        <v>547.33299999999997</v>
      </c>
      <c r="BB77" s="36">
        <v>0.27187065021134593</v>
      </c>
      <c r="BC77" s="114">
        <v>273.81199511718751</v>
      </c>
      <c r="BD77" s="36">
        <v>64.75</v>
      </c>
      <c r="BE77" s="36">
        <v>33.853999999999999</v>
      </c>
      <c r="BF77" s="36">
        <v>16.303000000000001</v>
      </c>
      <c r="BG77" s="36">
        <v>59.975999999999999</v>
      </c>
      <c r="BH77" s="36">
        <v>145.13300000000001</v>
      </c>
      <c r="BI77" s="36">
        <v>186.70000000000002</v>
      </c>
      <c r="BJ77" s="36">
        <v>106.145</v>
      </c>
      <c r="BK77" s="36">
        <v>128.31700000000001</v>
      </c>
      <c r="BL77" s="36">
        <v>74.016999999999996</v>
      </c>
    </row>
    <row r="78" spans="1:64" ht="30" customHeight="1" x14ac:dyDescent="0.2">
      <c r="B78" s="62" t="s">
        <v>477</v>
      </c>
      <c r="C78" s="62" t="e">
        <f>VLOOKUP($B78,#REF!,COLUMNS($B78:C78),0)</f>
        <v>#REF!</v>
      </c>
      <c r="D78" s="66" t="e">
        <f>VLOOKUP($B78,#REF!,COLUMNS($B78:D78),0)</f>
        <v>#REF!</v>
      </c>
      <c r="E78" s="66" t="e">
        <f>VLOOKUP($B78,#REF!,COLUMNS($B78:E78),0)</f>
        <v>#REF!</v>
      </c>
      <c r="F78" s="67" t="e">
        <f>VLOOKUP($B78,#REF!,COLUMNS($B78:F78),0)</f>
        <v>#REF!</v>
      </c>
      <c r="G78" s="68" t="e">
        <f>VLOOKUP($B78,#REF!,COLUMNS($B78:G78),0)</f>
        <v>#REF!</v>
      </c>
      <c r="H78" s="69" t="e">
        <f>VLOOKUP($B78,#REF!,COLUMNS($B78:H78),0)</f>
        <v>#REF!</v>
      </c>
      <c r="I78" s="70" t="e">
        <f>VLOOKUP($B78,#REF!,COLUMNS($B78:I78),0)</f>
        <v>#REF!</v>
      </c>
      <c r="J78" s="71" t="e">
        <f>VLOOKUP($B78,#REF!,COLUMNS($B78:J78),0)</f>
        <v>#REF!</v>
      </c>
      <c r="K78" s="60" t="e">
        <f>VLOOKUP($B78,#REF!,COLUMNS($B78:K78),0)</f>
        <v>#REF!</v>
      </c>
      <c r="L78" s="61" t="e">
        <f>VLOOKUP($B78,#REF!,COLUMNS($B78:L78),0)</f>
        <v>#REF!</v>
      </c>
      <c r="M78" s="61" t="e">
        <f>VLOOKUP($B78,#REF!,COLUMNS($B78:M78),0)</f>
        <v>#REF!</v>
      </c>
      <c r="AD78" s="2" t="s">
        <v>31</v>
      </c>
      <c r="AE78" s="36" t="e">
        <f ca="1">_xll.BDP($AD78,AE$10)</f>
        <v>#NAME?</v>
      </c>
      <c r="AF78" s="36" t="e">
        <f ca="1">_xll.BDH($AD78,AF$10,$C$5,$C$5,"EQY_FUND_CRNCY=USD")</f>
        <v>#NAME?</v>
      </c>
      <c r="AG78" s="36" t="e">
        <f ca="1">_xll.BDH($AD78,AG$10,$C$5,$C$5,"EQY_FUND_CRNCY=USD")</f>
        <v>#NAME?</v>
      </c>
      <c r="AH78" s="36"/>
      <c r="AI78" s="36" t="e">
        <f ca="1">_xll.BDP($AD78,AI$10,"EQY_FUND_CRNCY=USD","FA_ADJUSTED=Y")</f>
        <v>#NAME?</v>
      </c>
      <c r="AJ78" s="36" t="e">
        <f ca="1">_xll.BDP($AD78,AJ$10,"BEST_FPERIOD_OVERRIDE=1TY","EQY_FUND_CRNCY=USD","FA_ADJUSTED=Y")</f>
        <v>#NAME?</v>
      </c>
      <c r="AK78" s="44" t="e">
        <f t="shared" ref="AK78:AK104" ca="1" si="18">(AJ78/AI78)-1</f>
        <v>#NAME?</v>
      </c>
      <c r="AL78" s="36" t="e">
        <f ca="1">_xll.BDP($AD78,AL$10,"EQY_FUND_CRNCY=USD","FA_ADJUSTED=Y")</f>
        <v>#NAME?</v>
      </c>
      <c r="AM78" s="36" t="e">
        <f ca="1">_xll.BDP($AD78,AM$10,"BEST_FPERIOD_OVERRIDE=1TY","EQY_FUND_CRNCY=USD","FA_ADJUSTED=Y")</f>
        <v>#NAME?</v>
      </c>
      <c r="AN78" s="36" t="e">
        <f ca="1">_xll.BDP($AD78,AN$10,"BEST_FPERIOD_OVERRIDE=1TY","EQY_FUND_CRNCY=USD","FA_ADJUSTED=Y")</f>
        <v>#NAME?</v>
      </c>
      <c r="AO78" s="36" t="e">
        <f ca="1">_xll.BDP($AD78,AO$10,"BEST_FPERIOD_OVERRIDE=1TY","EQY_FUND_CRNCY=USD","FA_ADJUSTED=Y")</f>
        <v>#NAME?</v>
      </c>
      <c r="AP78" s="36" t="e">
        <f ca="1">_xll.BDP($AD78,AP$10,"BEST_FPERIOD_OVERRIDE=1TY","EQY_FUND_CRNCY=USD","FA_ADJUSTED=Y")</f>
        <v>#NAME?</v>
      </c>
      <c r="AQ78" s="36" t="e">
        <f ca="1">_xll.BDP($AD78,AQ$10,"EQY_FUND_CRNCY=USD","FA_ADJUSTED=Y")</f>
        <v>#NAME?</v>
      </c>
      <c r="AR78" s="36" t="e">
        <f ca="1">_xll.BDP($AD78,AR$10,"BEST_FPERIOD_OVERRIDE=1TY","EQY_FUND_CRNCY=USD","FA_ADJUSTED=Y")</f>
        <v>#NAME?</v>
      </c>
      <c r="AS78" s="36" t="e">
        <f ca="1">_xll.BDP($AD78,AS$10,"EQY_FUND_CRNCY=USD","FA_ADJUSTED=Y")</f>
        <v>#NAME?</v>
      </c>
      <c r="AT78" s="36" t="e">
        <f ca="1">_xll.BDP($AD78,AT$10,"BEST_FPERIOD_OVERRIDE=1TY","EQY_FUND_CRNCY=USD","FA_ADJUSTED=Y")</f>
        <v>#NAME?</v>
      </c>
      <c r="AV78" s="1" t="s">
        <v>31</v>
      </c>
      <c r="AW78" s="1" t="s">
        <v>495</v>
      </c>
      <c r="AX78" s="36">
        <v>27602.536499999998</v>
      </c>
      <c r="AY78" s="36">
        <v>27891.836500000001</v>
      </c>
      <c r="AZ78" s="36">
        <v>2240.6999999999998</v>
      </c>
      <c r="BA78" s="36">
        <v>2807.2000000000003</v>
      </c>
      <c r="BB78" s="36">
        <v>0.25282277859597468</v>
      </c>
      <c r="BC78" s="114">
        <v>1953.5000061035157</v>
      </c>
      <c r="BD78" s="36">
        <v>89.308000000000007</v>
      </c>
      <c r="BE78" s="36">
        <v>755.5</v>
      </c>
      <c r="BF78" s="36">
        <v>1087.3</v>
      </c>
      <c r="BG78" s="36">
        <v>305.2</v>
      </c>
      <c r="BH78" s="36">
        <v>-131.1</v>
      </c>
      <c r="BI78" s="36">
        <v>635.5</v>
      </c>
      <c r="BJ78" s="36">
        <v>-301.367196788814</v>
      </c>
      <c r="BK78" s="36">
        <v>429.976</v>
      </c>
      <c r="BL78" s="36">
        <v>37.355000000000004</v>
      </c>
    </row>
    <row r="79" spans="1:64" ht="30" customHeight="1" x14ac:dyDescent="0.2">
      <c r="B79" s="62" t="s">
        <v>478</v>
      </c>
      <c r="C79" s="62" t="e">
        <f>VLOOKUP($B79,#REF!,COLUMNS($B79:C79),0)</f>
        <v>#REF!</v>
      </c>
      <c r="D79" s="66" t="e">
        <f>VLOOKUP($B79,#REF!,COLUMNS($B79:D79),0)</f>
        <v>#REF!</v>
      </c>
      <c r="E79" s="66" t="e">
        <f>VLOOKUP($B79,#REF!,COLUMNS($B79:E79),0)</f>
        <v>#REF!</v>
      </c>
      <c r="F79" s="67" t="e">
        <f>VLOOKUP($B79,#REF!,COLUMNS($B79:F79),0)</f>
        <v>#REF!</v>
      </c>
      <c r="G79" s="68" t="e">
        <f>VLOOKUP($B79,#REF!,COLUMNS($B79:G79),0)</f>
        <v>#REF!</v>
      </c>
      <c r="H79" s="69" t="e">
        <f>VLOOKUP($B79,#REF!,COLUMNS($B79:H79),0)</f>
        <v>#REF!</v>
      </c>
      <c r="I79" s="70" t="e">
        <f>VLOOKUP($B79,#REF!,COLUMNS($B79:I79),0)</f>
        <v>#REF!</v>
      </c>
      <c r="J79" s="71" t="e">
        <f>VLOOKUP($B79,#REF!,COLUMNS($B79:J79),0)</f>
        <v>#REF!</v>
      </c>
      <c r="K79" s="60" t="e">
        <f>VLOOKUP($B79,#REF!,COLUMNS($B79:K79),0)</f>
        <v>#REF!</v>
      </c>
      <c r="L79" s="61" t="e">
        <f>VLOOKUP($B79,#REF!,COLUMNS($B79:L79),0)</f>
        <v>#REF!</v>
      </c>
      <c r="M79" s="61" t="e">
        <f>VLOOKUP($B79,#REF!,COLUMNS($B79:M79),0)</f>
        <v>#REF!</v>
      </c>
      <c r="AD79" s="2" t="s">
        <v>11</v>
      </c>
      <c r="AE79" s="36" t="e">
        <f ca="1">_xll.BDP($AD79,AE$10)</f>
        <v>#NAME?</v>
      </c>
      <c r="AF79" s="36" t="e">
        <f ca="1">_xll.BDH($AD79,AF$10,$C$5,$C$5,"EQY_FUND_CRNCY=USD")</f>
        <v>#NAME?</v>
      </c>
      <c r="AG79" s="36" t="e">
        <f ca="1">_xll.BDH($AD79,AG$10,$C$5,$C$5,"EQY_FUND_CRNCY=USD")</f>
        <v>#NAME?</v>
      </c>
      <c r="AH79" s="36"/>
      <c r="AI79" s="36" t="e">
        <f ca="1">_xll.BDP($AD79,AI$10,"EQY_FUND_CRNCY=USD","FA_ADJUSTED=Y")</f>
        <v>#NAME?</v>
      </c>
      <c r="AJ79" s="36" t="e">
        <f ca="1">_xll.BDP($AD79,AJ$10,"BEST_FPERIOD_OVERRIDE=1TY","EQY_FUND_CRNCY=USD","FA_ADJUSTED=Y")</f>
        <v>#NAME?</v>
      </c>
      <c r="AK79" s="44" t="e">
        <f t="shared" ca="1" si="18"/>
        <v>#NAME?</v>
      </c>
      <c r="AL79" s="36" t="e">
        <f ca="1">_xll.BDP($AD79,AL$10,"EQY_FUND_CRNCY=USD","FA_ADJUSTED=Y")</f>
        <v>#NAME?</v>
      </c>
      <c r="AM79" s="36" t="e">
        <f ca="1">_xll.BDP($AD79,AM$10,"BEST_FPERIOD_OVERRIDE=1TY","EQY_FUND_CRNCY=USD","FA_ADJUSTED=Y")</f>
        <v>#NAME?</v>
      </c>
      <c r="AN79" s="36" t="e">
        <f ca="1">_xll.BDP($AD79,AN$10,"BEST_FPERIOD_OVERRIDE=1TY","EQY_FUND_CRNCY=USD","FA_ADJUSTED=Y")</f>
        <v>#NAME?</v>
      </c>
      <c r="AO79" s="36" t="e">
        <f ca="1">_xll.BDP($AD79,AO$10,"BEST_FPERIOD_OVERRIDE=1TY","EQY_FUND_CRNCY=USD","FA_ADJUSTED=Y")</f>
        <v>#NAME?</v>
      </c>
      <c r="AP79" s="36" t="e">
        <f ca="1">_xll.BDP($AD79,AP$10,"BEST_FPERIOD_OVERRIDE=1TY","EQY_FUND_CRNCY=USD","FA_ADJUSTED=Y")</f>
        <v>#NAME?</v>
      </c>
      <c r="AQ79" s="36" t="e">
        <f ca="1">_xll.BDP($AD79,AQ$10,"EQY_FUND_CRNCY=USD","FA_ADJUSTED=Y")</f>
        <v>#NAME?</v>
      </c>
      <c r="AR79" s="36" t="e">
        <f ca="1">_xll.BDP($AD79,AR$10,"BEST_FPERIOD_OVERRIDE=1TY","EQY_FUND_CRNCY=USD","FA_ADJUSTED=Y")</f>
        <v>#NAME?</v>
      </c>
      <c r="AS79" s="36" t="e">
        <f ca="1">_xll.BDP($AD79,AS$10,"EQY_FUND_CRNCY=USD","FA_ADJUSTED=Y")</f>
        <v>#NAME?</v>
      </c>
      <c r="AT79" s="36" t="e">
        <f ca="1">_xll.BDP($AD79,AT$10,"BEST_FPERIOD_OVERRIDE=1TY","EQY_FUND_CRNCY=USD","FA_ADJUSTED=Y")</f>
        <v>#NAME?</v>
      </c>
      <c r="AV79" s="1" t="s">
        <v>11</v>
      </c>
      <c r="AW79" s="1" t="s">
        <v>495</v>
      </c>
      <c r="AX79" s="36">
        <v>102631.22470000001</v>
      </c>
      <c r="AY79" s="36">
        <v>102880.22470000001</v>
      </c>
      <c r="AZ79" s="36">
        <v>11817.844000000001</v>
      </c>
      <c r="BA79" s="36">
        <v>14404.651</v>
      </c>
      <c r="BB79" s="36">
        <v>0.2188899261151187</v>
      </c>
      <c r="BC79" s="114">
        <v>8749.5439453125</v>
      </c>
      <c r="BD79" s="36">
        <v>76.641000000000005</v>
      </c>
      <c r="BE79" s="36">
        <v>1553.0729999999999</v>
      </c>
      <c r="BF79" s="36">
        <v>4829.2910000000002</v>
      </c>
      <c r="BG79" s="36">
        <v>1088.3579999999999</v>
      </c>
      <c r="BH79" s="36">
        <v>1308.0920000000001</v>
      </c>
      <c r="BI79" s="36">
        <v>3506.19</v>
      </c>
      <c r="BJ79" s="36">
        <v>482.47887560000004</v>
      </c>
      <c r="BK79" s="36">
        <v>1884.8969999999999</v>
      </c>
      <c r="BL79" s="36">
        <v>88.109000000000009</v>
      </c>
    </row>
    <row r="80" spans="1:64" ht="30" customHeight="1" x14ac:dyDescent="0.2">
      <c r="B80" s="63"/>
      <c r="C80" s="63"/>
      <c r="G80" s="64" t="s">
        <v>483</v>
      </c>
      <c r="H80" s="29" t="e">
        <f>AVERAGE(H75:H79)</f>
        <v>#REF!</v>
      </c>
      <c r="I80" s="30" t="e">
        <f>AVERAGE(I75:I79)</f>
        <v>#REF!</v>
      </c>
      <c r="J80" s="72" t="e">
        <f>AVERAGE(J75:J79)</f>
        <v>#REF!</v>
      </c>
      <c r="K80" s="32" t="e">
        <f>AVERAGE(K75:K79)</f>
        <v>#REF!</v>
      </c>
      <c r="L80" s="33" t="e">
        <f t="shared" ref="L80" si="19">AVERAGE(L75:L79)</f>
        <v>#REF!</v>
      </c>
      <c r="M80" s="33" t="e">
        <f>AVERAGE(M75:M79)</f>
        <v>#REF!</v>
      </c>
      <c r="AD80" s="2" t="s">
        <v>9</v>
      </c>
      <c r="AE80" s="36" t="e">
        <f ca="1">_xll.BDP($AD80,AE$10)</f>
        <v>#NAME?</v>
      </c>
      <c r="AF80" s="36" t="e">
        <f ca="1">_xll.BDH($AD80,AF$10,$C$5,$C$5,"EQY_FUND_CRNCY=USD")</f>
        <v>#NAME?</v>
      </c>
      <c r="AG80" s="36" t="e">
        <f ca="1">_xll.BDH($AD80,AG$10,$C$5,$C$5,"EQY_FUND_CRNCY=USD")</f>
        <v>#NAME?</v>
      </c>
      <c r="AH80" s="36"/>
      <c r="AI80" s="36" t="e">
        <f ca="1">_xll.BDP($AD80,AI$10,"EQY_FUND_CRNCY=USD","FA_ADJUSTED=Y")</f>
        <v>#NAME?</v>
      </c>
      <c r="AJ80" s="36" t="e">
        <f ca="1">_xll.BDP($AD80,AJ$10,"BEST_FPERIOD_OVERRIDE=1TY","EQY_FUND_CRNCY=USD","FA_ADJUSTED=Y")</f>
        <v>#NAME?</v>
      </c>
      <c r="AK80" s="44" t="e">
        <f t="shared" ca="1" si="18"/>
        <v>#NAME?</v>
      </c>
      <c r="AL80" s="36" t="e">
        <f ca="1">_xll.BDP($AD80,AL$10,"EQY_FUND_CRNCY=USD","FA_ADJUSTED=Y")</f>
        <v>#NAME?</v>
      </c>
      <c r="AM80" s="36" t="e">
        <f ca="1">_xll.BDP($AD80,AM$10,"BEST_FPERIOD_OVERRIDE=1TY","EQY_FUND_CRNCY=USD","FA_ADJUSTED=Y")</f>
        <v>#NAME?</v>
      </c>
      <c r="AN80" s="36" t="e">
        <f ca="1">_xll.BDP($AD80,AN$10,"BEST_FPERIOD_OVERRIDE=1TY","EQY_FUND_CRNCY=USD","FA_ADJUSTED=Y")</f>
        <v>#NAME?</v>
      </c>
      <c r="AO80" s="36" t="e">
        <f ca="1">_xll.BDP($AD80,AO$10,"BEST_FPERIOD_OVERRIDE=1TY","EQY_FUND_CRNCY=USD","FA_ADJUSTED=Y")</f>
        <v>#NAME?</v>
      </c>
      <c r="AP80" s="36" t="e">
        <f ca="1">_xll.BDP($AD80,AP$10,"BEST_FPERIOD_OVERRIDE=1TY","EQY_FUND_CRNCY=USD","FA_ADJUSTED=Y")</f>
        <v>#NAME?</v>
      </c>
      <c r="AQ80" s="36" t="e">
        <f ca="1">_xll.BDP($AD80,AQ$10,"EQY_FUND_CRNCY=USD","FA_ADJUSTED=Y")</f>
        <v>#NAME?</v>
      </c>
      <c r="AR80" s="36" t="e">
        <f ca="1">_xll.BDP($AD80,AR$10,"BEST_FPERIOD_OVERRIDE=1TY","EQY_FUND_CRNCY=USD","FA_ADJUSTED=Y")</f>
        <v>#NAME?</v>
      </c>
      <c r="AS80" s="36" t="e">
        <f ca="1">_xll.BDP($AD80,AS$10,"EQY_FUND_CRNCY=USD","FA_ADJUSTED=Y")</f>
        <v>#NAME?</v>
      </c>
      <c r="AT80" s="36" t="e">
        <f ca="1">_xll.BDP($AD80,AT$10,"BEST_FPERIOD_OVERRIDE=1TY","EQY_FUND_CRNCY=USD","FA_ADJUSTED=Y")</f>
        <v>#NAME?</v>
      </c>
      <c r="AV80" s="1" t="s">
        <v>9</v>
      </c>
      <c r="AW80" s="1" t="s">
        <v>495</v>
      </c>
      <c r="AX80" s="36">
        <v>118367.5016</v>
      </c>
      <c r="AY80" s="36">
        <v>115297.6856</v>
      </c>
      <c r="AZ80" s="36">
        <v>8571.9779999999992</v>
      </c>
      <c r="BA80" s="36">
        <v>10315.565000000001</v>
      </c>
      <c r="BB80" s="36">
        <v>0.20340544504430613</v>
      </c>
      <c r="BC80" s="114">
        <v>7465.3680576171873</v>
      </c>
      <c r="BD80" s="36">
        <v>88.408000000000001</v>
      </c>
      <c r="BE80" s="36">
        <v>1224.059</v>
      </c>
      <c r="BF80" s="36">
        <v>2197.5920000000001</v>
      </c>
      <c r="BG80" s="36">
        <v>624.70600000000002</v>
      </c>
      <c r="BH80" s="36">
        <v>3089.8100000000004</v>
      </c>
      <c r="BI80" s="36">
        <v>4722.8</v>
      </c>
      <c r="BJ80" s="36">
        <v>2415.5068601730072</v>
      </c>
      <c r="BK80" s="36">
        <v>3792.5219999999999</v>
      </c>
      <c r="BL80" s="36">
        <v>49.454999999999998</v>
      </c>
    </row>
    <row r="81" spans="1:64" ht="30" customHeight="1" x14ac:dyDescent="0.2">
      <c r="B81" s="63"/>
      <c r="C81" s="63"/>
      <c r="G81" s="64" t="s">
        <v>484</v>
      </c>
      <c r="H81" s="29" t="e">
        <f>MEDIAN(H75:H79)</f>
        <v>#REF!</v>
      </c>
      <c r="I81" s="30" t="e">
        <f>MEDIAN(I75:I79)</f>
        <v>#REF!</v>
      </c>
      <c r="J81" s="72" t="e">
        <f>MEDIAN(J75:J79)</f>
        <v>#REF!</v>
      </c>
      <c r="K81" s="32" t="e">
        <f>MEDIAN(K75:K79)</f>
        <v>#REF!</v>
      </c>
      <c r="L81" s="33" t="e">
        <f t="shared" ref="L81" si="20">MEDIAN(L75:L79)</f>
        <v>#REF!</v>
      </c>
      <c r="M81" s="33" t="e">
        <f>MEDIAN(M75:M79)</f>
        <v>#REF!</v>
      </c>
      <c r="AD81" s="2" t="s">
        <v>251</v>
      </c>
      <c r="AE81" s="36" t="e">
        <f ca="1">_xll.BDP($AD81,AE$10)</f>
        <v>#NAME?</v>
      </c>
      <c r="AF81" s="36" t="e">
        <f ca="1">_xll.BDH($AD81,AF$10,$C$5,$C$5,"EQY_FUND_CRNCY=USD")</f>
        <v>#NAME?</v>
      </c>
      <c r="AG81" s="36" t="e">
        <f ca="1">_xll.BDH($AD81,AG$10,$C$5,$C$5,"EQY_FUND_CRNCY=USD")</f>
        <v>#NAME?</v>
      </c>
      <c r="AH81" s="36"/>
      <c r="AI81" s="36" t="e">
        <f ca="1">_xll.BDP($AD81,AI$10,"EQY_FUND_CRNCY=USD","FA_ADJUSTED=Y")</f>
        <v>#NAME?</v>
      </c>
      <c r="AJ81" s="36" t="e">
        <f ca="1">_xll.BDP($AD81,AJ$10,"BEST_FPERIOD_OVERRIDE=1TY","EQY_FUND_CRNCY=USD","FA_ADJUSTED=Y")</f>
        <v>#NAME?</v>
      </c>
      <c r="AK81" s="44" t="e">
        <f t="shared" ca="1" si="18"/>
        <v>#NAME?</v>
      </c>
      <c r="AL81" s="36" t="e">
        <f ca="1">_xll.BDP($AD81,AL$10,"EQY_FUND_CRNCY=USD","FA_ADJUSTED=Y")</f>
        <v>#NAME?</v>
      </c>
      <c r="AM81" s="36" t="e">
        <f ca="1">_xll.BDP($AD81,AM$10,"BEST_FPERIOD_OVERRIDE=1TY","EQY_FUND_CRNCY=USD","FA_ADJUSTED=Y")</f>
        <v>#NAME?</v>
      </c>
      <c r="AN81" s="36" t="e">
        <f ca="1">_xll.BDP($AD81,AN$10,"BEST_FPERIOD_OVERRIDE=1TY","EQY_FUND_CRNCY=USD","FA_ADJUSTED=Y")</f>
        <v>#NAME?</v>
      </c>
      <c r="AO81" s="36" t="e">
        <f ca="1">_xll.BDP($AD81,AO$10,"BEST_FPERIOD_OVERRIDE=1TY","EQY_FUND_CRNCY=USD","FA_ADJUSTED=Y")</f>
        <v>#NAME?</v>
      </c>
      <c r="AP81" s="36" t="e">
        <f ca="1">_xll.BDP($AD81,AP$10,"BEST_FPERIOD_OVERRIDE=1TY","EQY_FUND_CRNCY=USD","FA_ADJUSTED=Y")</f>
        <v>#NAME?</v>
      </c>
      <c r="AQ81" s="36" t="e">
        <f ca="1">_xll.BDP($AD81,AQ$10,"EQY_FUND_CRNCY=USD","FA_ADJUSTED=Y")</f>
        <v>#NAME?</v>
      </c>
      <c r="AR81" s="36" t="e">
        <f ca="1">_xll.BDP($AD81,AR$10,"BEST_FPERIOD_OVERRIDE=1TY","EQY_FUND_CRNCY=USD","FA_ADJUSTED=Y")</f>
        <v>#NAME?</v>
      </c>
      <c r="AS81" s="36" t="e">
        <f ca="1">_xll.BDP($AD81,AS$10,"EQY_FUND_CRNCY=USD","FA_ADJUSTED=Y")</f>
        <v>#NAME?</v>
      </c>
      <c r="AT81" s="36" t="e">
        <f ca="1">_xll.BDP($AD81,AT$10,"BEST_FPERIOD_OVERRIDE=1TY","EQY_FUND_CRNCY=USD","FA_ADJUSTED=Y")</f>
        <v>#NAME?</v>
      </c>
      <c r="AV81" s="1" t="s">
        <v>251</v>
      </c>
      <c r="AW81" s="1" t="s">
        <v>495</v>
      </c>
      <c r="AX81" s="36">
        <v>1713.3579</v>
      </c>
      <c r="AY81" s="36">
        <v>1550.0755999999999</v>
      </c>
      <c r="AZ81" s="36">
        <v>143.75199999999998</v>
      </c>
      <c r="BA81" s="36">
        <v>169.75800000000001</v>
      </c>
      <c r="BB81" s="36">
        <v>0.18090878735600224</v>
      </c>
      <c r="BC81" s="114">
        <v>101.70600183105469</v>
      </c>
      <c r="BD81" s="36">
        <v>69.040000000000006</v>
      </c>
      <c r="BE81" s="36">
        <v>23.690999999999999</v>
      </c>
      <c r="BF81" s="36">
        <v>29.28</v>
      </c>
      <c r="BG81" s="36">
        <v>13.855</v>
      </c>
      <c r="BH81" s="36">
        <v>35.331999999999994</v>
      </c>
      <c r="BI81" s="36">
        <v>46.706000000000003</v>
      </c>
      <c r="BJ81" s="36">
        <v>20.335000000000001</v>
      </c>
      <c r="BK81" s="36">
        <v>25.542000000000002</v>
      </c>
      <c r="BL81" s="36">
        <v>352.72500000000002</v>
      </c>
    </row>
    <row r="82" spans="1:64" ht="30" customHeight="1" x14ac:dyDescent="0.2">
      <c r="B82" s="65"/>
      <c r="C82" s="65"/>
      <c r="G82" s="64" t="s">
        <v>485</v>
      </c>
      <c r="H82" s="29" t="e">
        <f>MAX(H75:H79)</f>
        <v>#REF!</v>
      </c>
      <c r="I82" s="30" t="e">
        <f>MAX(I75:I79)</f>
        <v>#REF!</v>
      </c>
      <c r="J82" s="72" t="e">
        <f>MAX(J75:J79)</f>
        <v>#REF!</v>
      </c>
      <c r="K82" s="32" t="e">
        <f>MAX(K75:K79)</f>
        <v>#REF!</v>
      </c>
      <c r="L82" s="33" t="e">
        <f t="shared" ref="L82" si="21">MAX(L75:L79)</f>
        <v>#REF!</v>
      </c>
      <c r="M82" s="33" t="e">
        <f>MAX(M75:M79)</f>
        <v>#REF!</v>
      </c>
      <c r="AD82" s="2" t="s">
        <v>604</v>
      </c>
      <c r="AE82" s="36" t="e">
        <f ca="1">_xll.BDP($AD82,AE$10)</f>
        <v>#NAME?</v>
      </c>
      <c r="AF82" s="36" t="e">
        <f ca="1">_xll.BDH($AD82,AF$10,$C$5,$C$5,"EQY_FUND_CRNCY=USD")</f>
        <v>#NAME?</v>
      </c>
      <c r="AG82" s="36" t="e">
        <f ca="1">_xll.BDH($AD82,AG$10,$C$5,$C$5,"EQY_FUND_CRNCY=USD")</f>
        <v>#NAME?</v>
      </c>
      <c r="AH82" s="36"/>
      <c r="AI82" s="36" t="e">
        <f ca="1">_xll.BDP($AD82,AI$10,"EQY_FUND_CRNCY=USD","FA_ADJUSTED=Y")</f>
        <v>#NAME?</v>
      </c>
      <c r="AJ82" s="36" t="e">
        <f ca="1">_xll.BDP($AD82,AJ$10,"BEST_FPERIOD_OVERRIDE=1TY","EQY_FUND_CRNCY=USD","FA_ADJUSTED=Y")</f>
        <v>#NAME?</v>
      </c>
      <c r="AK82" s="44" t="e">
        <f t="shared" ca="1" si="18"/>
        <v>#NAME?</v>
      </c>
      <c r="AL82" s="36" t="e">
        <f ca="1">_xll.BDP($AD82,AL$10,"EQY_FUND_CRNCY=USD","FA_ADJUSTED=Y")</f>
        <v>#NAME?</v>
      </c>
      <c r="AM82" s="36" t="e">
        <f ca="1">_xll.BDP($AD82,AM$10,"BEST_FPERIOD_OVERRIDE=1TY","EQY_FUND_CRNCY=USD","FA_ADJUSTED=Y")</f>
        <v>#NAME?</v>
      </c>
      <c r="AN82" s="36" t="e">
        <f ca="1">_xll.BDP($AD82,AN$10,"BEST_FPERIOD_OVERRIDE=1TY","EQY_FUND_CRNCY=USD","FA_ADJUSTED=Y")</f>
        <v>#NAME?</v>
      </c>
      <c r="AO82" s="36" t="e">
        <f ca="1">_xll.BDP($AD82,AO$10,"BEST_FPERIOD_OVERRIDE=1TY","EQY_FUND_CRNCY=USD","FA_ADJUSTED=Y")</f>
        <v>#NAME?</v>
      </c>
      <c r="AP82" s="36" t="e">
        <f ca="1">_xll.BDP($AD82,AP$10,"BEST_FPERIOD_OVERRIDE=1TY","EQY_FUND_CRNCY=USD","FA_ADJUSTED=Y")</f>
        <v>#NAME?</v>
      </c>
      <c r="AQ82" s="36" t="e">
        <f ca="1">_xll.BDP($AD82,AQ$10,"EQY_FUND_CRNCY=USD","FA_ADJUSTED=Y")</f>
        <v>#NAME?</v>
      </c>
      <c r="AR82" s="36" t="e">
        <f ca="1">_xll.BDP($AD82,AR$10,"BEST_FPERIOD_OVERRIDE=1TY","EQY_FUND_CRNCY=USD","FA_ADJUSTED=Y")</f>
        <v>#NAME?</v>
      </c>
      <c r="AS82" s="36" t="e">
        <f ca="1">_xll.BDP($AD82,AS$10,"EQY_FUND_CRNCY=USD","FA_ADJUSTED=Y")</f>
        <v>#NAME?</v>
      </c>
      <c r="AT82" s="36" t="e">
        <f ca="1">_xll.BDP($AD82,AT$10,"BEST_FPERIOD_OVERRIDE=1TY","EQY_FUND_CRNCY=USD","FA_ADJUSTED=Y")</f>
        <v>#NAME?</v>
      </c>
      <c r="AV82" s="1" t="s">
        <v>604</v>
      </c>
      <c r="AW82" s="1" t="s">
        <v>617</v>
      </c>
      <c r="AX82" s="36">
        <v>813.54549999999995</v>
      </c>
      <c r="AY82" s="36">
        <v>751.91750000000002</v>
      </c>
      <c r="AZ82" s="36">
        <v>332.99599999999998</v>
      </c>
      <c r="BA82" s="36">
        <v>392.42</v>
      </c>
      <c r="BB82" s="36">
        <v>0.17845259402515357</v>
      </c>
      <c r="BC82" s="114">
        <v>180.10199858093262</v>
      </c>
      <c r="BD82" s="36">
        <v>65.22</v>
      </c>
      <c r="BE82" s="36">
        <v>92.42</v>
      </c>
      <c r="BF82" s="36">
        <v>104.35599999999999</v>
      </c>
      <c r="BG82" s="36">
        <v>34.424999999999997</v>
      </c>
      <c r="BH82" s="36">
        <v>-42.642000000000003</v>
      </c>
      <c r="BI82" s="36">
        <v>44.050000000000004</v>
      </c>
      <c r="BJ82" s="36">
        <v>-26.043469999999999</v>
      </c>
      <c r="BK82" s="36">
        <v>42.425000000000004</v>
      </c>
      <c r="BL82" s="36">
        <v>28.193000000000001</v>
      </c>
    </row>
    <row r="83" spans="1:64" ht="30" customHeight="1" x14ac:dyDescent="0.2">
      <c r="B83" s="65"/>
      <c r="C83" s="65"/>
      <c r="G83" s="64" t="s">
        <v>486</v>
      </c>
      <c r="H83" s="29" t="e">
        <f>MIN(H75:H79)</f>
        <v>#REF!</v>
      </c>
      <c r="I83" s="30" t="e">
        <f>MIN(I75:I79)</f>
        <v>#REF!</v>
      </c>
      <c r="J83" s="72" t="e">
        <f>MIN(J75:J79)</f>
        <v>#REF!</v>
      </c>
      <c r="K83" s="32" t="e">
        <f>MIN(K75:K79)</f>
        <v>#REF!</v>
      </c>
      <c r="L83" s="33" t="e">
        <f t="shared" ref="L83" si="22">MIN(L75:L79)</f>
        <v>#REF!</v>
      </c>
      <c r="M83" s="33" t="e">
        <f>MIN(M75:M79)</f>
        <v>#REF!</v>
      </c>
      <c r="AD83" s="2" t="s">
        <v>605</v>
      </c>
      <c r="AE83" s="36" t="e">
        <f ca="1">_xll.BDP($AD83,AE$10)</f>
        <v>#NAME?</v>
      </c>
      <c r="AF83" s="36" t="e">
        <f ca="1">_xll.BDH($AD83,AF$10,$C$5,$C$5,"EQY_FUND_CRNCY=USD")</f>
        <v>#NAME?</v>
      </c>
      <c r="AG83" s="36" t="e">
        <f ca="1">_xll.BDH($AD83,AG$10,$C$5,$C$5,"EQY_FUND_CRNCY=USD")</f>
        <v>#NAME?</v>
      </c>
      <c r="AH83" s="36"/>
      <c r="AI83" s="36" t="e">
        <f ca="1">_xll.BDP($AD83,AI$10,"EQY_FUND_CRNCY=USD","FA_ADJUSTED=Y")</f>
        <v>#NAME?</v>
      </c>
      <c r="AJ83" s="36" t="e">
        <f ca="1">_xll.BDP($AD83,AJ$10,"BEST_FPERIOD_OVERRIDE=1TY","EQY_FUND_CRNCY=USD","FA_ADJUSTED=Y")</f>
        <v>#NAME?</v>
      </c>
      <c r="AK83" s="44" t="e">
        <f t="shared" ca="1" si="18"/>
        <v>#NAME?</v>
      </c>
      <c r="AL83" s="36" t="e">
        <f ca="1">_xll.BDP($AD83,AL$10,"EQY_FUND_CRNCY=USD","FA_ADJUSTED=Y")</f>
        <v>#NAME?</v>
      </c>
      <c r="AM83" s="36" t="e">
        <f ca="1">_xll.BDP($AD83,AM$10,"BEST_FPERIOD_OVERRIDE=1TY","EQY_FUND_CRNCY=USD","FA_ADJUSTED=Y")</f>
        <v>#NAME?</v>
      </c>
      <c r="AN83" s="36" t="e">
        <f ca="1">_xll.BDP($AD83,AN$10,"BEST_FPERIOD_OVERRIDE=1TY","EQY_FUND_CRNCY=USD","FA_ADJUSTED=Y")</f>
        <v>#NAME?</v>
      </c>
      <c r="AO83" s="36" t="e">
        <f ca="1">_xll.BDP($AD83,AO$10,"BEST_FPERIOD_OVERRIDE=1TY","EQY_FUND_CRNCY=USD","FA_ADJUSTED=Y")</f>
        <v>#NAME?</v>
      </c>
      <c r="AP83" s="36" t="e">
        <f ca="1">_xll.BDP($AD83,AP$10,"BEST_FPERIOD_OVERRIDE=1TY","EQY_FUND_CRNCY=USD","FA_ADJUSTED=Y")</f>
        <v>#NAME?</v>
      </c>
      <c r="AQ83" s="36" t="e">
        <f ca="1">_xll.BDP($AD83,AQ$10,"EQY_FUND_CRNCY=USD","FA_ADJUSTED=Y")</f>
        <v>#NAME?</v>
      </c>
      <c r="AR83" s="36" t="e">
        <f ca="1">_xll.BDP($AD83,AR$10,"BEST_FPERIOD_OVERRIDE=1TY","EQY_FUND_CRNCY=USD","FA_ADJUSTED=Y")</f>
        <v>#NAME?</v>
      </c>
      <c r="AS83" s="36" t="e">
        <f ca="1">_xll.BDP($AD83,AS$10,"EQY_FUND_CRNCY=USD","FA_ADJUSTED=Y")</f>
        <v>#NAME?</v>
      </c>
      <c r="AT83" s="36" t="e">
        <f ca="1">_xll.BDP($AD83,AT$10,"BEST_FPERIOD_OVERRIDE=1TY","EQY_FUND_CRNCY=USD","FA_ADJUSTED=Y")</f>
        <v>#NAME?</v>
      </c>
      <c r="AV83" s="1" t="s">
        <v>605</v>
      </c>
      <c r="AW83" s="1" t="s">
        <v>615</v>
      </c>
      <c r="AX83" s="36">
        <v>928.77229999999997</v>
      </c>
      <c r="AY83" s="36">
        <v>877.18060000000003</v>
      </c>
      <c r="AZ83" s="36">
        <v>67.067000000000007</v>
      </c>
      <c r="BA83" s="36">
        <v>79</v>
      </c>
      <c r="BB83" s="36">
        <v>0.1779265510608794</v>
      </c>
      <c r="BC83" s="114">
        <v>63.660000076293947</v>
      </c>
      <c r="BD83" s="36">
        <v>94</v>
      </c>
      <c r="BE83" s="36">
        <v>13.173999999999999</v>
      </c>
      <c r="BF83" s="36">
        <v>8.2569999999999997</v>
      </c>
      <c r="BG83" s="36">
        <v>8.7360000000000007</v>
      </c>
      <c r="BH83" s="36">
        <v>20.859000000000002</v>
      </c>
      <c r="BI83" s="36">
        <v>25.6</v>
      </c>
      <c r="BJ83" s="36">
        <v>15.805099999999999</v>
      </c>
      <c r="BK83" s="36">
        <v>17.850000000000001</v>
      </c>
      <c r="BL83" s="36">
        <v>-73.906999999999996</v>
      </c>
    </row>
    <row r="84" spans="1:64" x14ac:dyDescent="0.2">
      <c r="AD84" s="2" t="s">
        <v>55</v>
      </c>
      <c r="AE84" s="36" t="e">
        <f ca="1">_xll.BDP($AD84,AE$10)</f>
        <v>#NAME?</v>
      </c>
      <c r="AF84" s="36" t="e">
        <f ca="1">_xll.BDH($AD84,AF$10,$C$5,$C$5,"EQY_FUND_CRNCY=USD")</f>
        <v>#NAME?</v>
      </c>
      <c r="AG84" s="36" t="e">
        <f ca="1">_xll.BDH($AD84,AG$10,$C$5,$C$5,"EQY_FUND_CRNCY=USD")</f>
        <v>#NAME?</v>
      </c>
      <c r="AH84" s="36"/>
      <c r="AI84" s="36" t="e">
        <f ca="1">_xll.BDP($AD84,AI$10,"EQY_FUND_CRNCY=USD","FA_ADJUSTED=Y")</f>
        <v>#NAME?</v>
      </c>
      <c r="AJ84" s="36" t="e">
        <f ca="1">_xll.BDP($AD84,AJ$10,"BEST_FPERIOD_OVERRIDE=1TY","EQY_FUND_CRNCY=USD","FA_ADJUSTED=Y")</f>
        <v>#NAME?</v>
      </c>
      <c r="AK84" s="44" t="e">
        <f t="shared" ca="1" si="18"/>
        <v>#NAME?</v>
      </c>
      <c r="AL84" s="36" t="e">
        <f ca="1">_xll.BDP($AD84,AL$10,"EQY_FUND_CRNCY=USD","FA_ADJUSTED=Y")</f>
        <v>#NAME?</v>
      </c>
      <c r="AM84" s="36" t="e">
        <f ca="1">_xll.BDP($AD84,AM$10,"BEST_FPERIOD_OVERRIDE=1TY","EQY_FUND_CRNCY=USD","FA_ADJUSTED=Y")</f>
        <v>#NAME?</v>
      </c>
      <c r="AN84" s="36" t="e">
        <f ca="1">_xll.BDP($AD84,AN$10,"BEST_FPERIOD_OVERRIDE=1TY","EQY_FUND_CRNCY=USD","FA_ADJUSTED=Y")</f>
        <v>#NAME?</v>
      </c>
      <c r="AO84" s="36" t="e">
        <f ca="1">_xll.BDP($AD84,AO$10,"BEST_FPERIOD_OVERRIDE=1TY","EQY_FUND_CRNCY=USD","FA_ADJUSTED=Y")</f>
        <v>#NAME?</v>
      </c>
      <c r="AP84" s="36" t="e">
        <f ca="1">_xll.BDP($AD84,AP$10,"BEST_FPERIOD_OVERRIDE=1TY","EQY_FUND_CRNCY=USD","FA_ADJUSTED=Y")</f>
        <v>#NAME?</v>
      </c>
      <c r="AQ84" s="36" t="e">
        <f ca="1">_xll.BDP($AD84,AQ$10,"EQY_FUND_CRNCY=USD","FA_ADJUSTED=Y")</f>
        <v>#NAME?</v>
      </c>
      <c r="AR84" s="36" t="e">
        <f ca="1">_xll.BDP($AD84,AR$10,"BEST_FPERIOD_OVERRIDE=1TY","EQY_FUND_CRNCY=USD","FA_ADJUSTED=Y")</f>
        <v>#NAME?</v>
      </c>
      <c r="AS84" s="36" t="e">
        <f ca="1">_xll.BDP($AD84,AS$10,"EQY_FUND_CRNCY=USD","FA_ADJUSTED=Y")</f>
        <v>#NAME?</v>
      </c>
      <c r="AT84" s="36" t="e">
        <f ca="1">_xll.BDP($AD84,AT$10,"BEST_FPERIOD_OVERRIDE=1TY","EQY_FUND_CRNCY=USD","FA_ADJUSTED=Y")</f>
        <v>#NAME?</v>
      </c>
      <c r="AV84" s="1" t="s">
        <v>55</v>
      </c>
      <c r="AW84" s="1" t="s">
        <v>495</v>
      </c>
      <c r="AX84" s="36">
        <v>14096.200999999999</v>
      </c>
      <c r="AY84" s="36">
        <v>14038.7557</v>
      </c>
      <c r="AZ84" s="36">
        <v>2794.5149999999999</v>
      </c>
      <c r="BA84" s="36">
        <v>3253.5360000000001</v>
      </c>
      <c r="BB84" s="36">
        <v>0.16425784080600758</v>
      </c>
      <c r="BC84" s="114">
        <v>2459.358009765625</v>
      </c>
      <c r="BD84" s="36">
        <v>66.7</v>
      </c>
      <c r="BE84" s="36">
        <v>341.4</v>
      </c>
      <c r="BF84" s="36">
        <v>180.9</v>
      </c>
      <c r="BG84" s="36">
        <v>193.1</v>
      </c>
      <c r="BH84" s="36">
        <v>707.22400000000005</v>
      </c>
      <c r="BI84" s="36">
        <v>838.06700000000001</v>
      </c>
      <c r="BJ84" s="36">
        <v>288.48589500000003</v>
      </c>
      <c r="BK84" s="36">
        <v>622.91700000000003</v>
      </c>
      <c r="BL84" s="36" t="s">
        <v>480</v>
      </c>
    </row>
    <row r="85" spans="1:64" ht="30" customHeight="1" x14ac:dyDescent="0.2">
      <c r="A85" s="2" t="s">
        <v>457</v>
      </c>
      <c r="C85" s="45" t="s">
        <v>490</v>
      </c>
      <c r="D85" s="45"/>
      <c r="E85" s="45"/>
      <c r="F85" s="45"/>
      <c r="G85" s="45"/>
      <c r="H85" s="45"/>
      <c r="I85" s="45"/>
      <c r="J85" s="45"/>
      <c r="N85" s="65" t="s">
        <v>457</v>
      </c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2" t="s">
        <v>199</v>
      </c>
      <c r="AE85" s="36" t="e">
        <f ca="1">_xll.BDP($AD85,AE$10)</f>
        <v>#NAME?</v>
      </c>
      <c r="AF85" s="36" t="e">
        <f ca="1">_xll.BDH($AD85,AF$10,$C$5,$C$5,"EQY_FUND_CRNCY=USD")</f>
        <v>#NAME?</v>
      </c>
      <c r="AG85" s="36" t="e">
        <f ca="1">_xll.BDH($AD85,AG$10,$C$5,$C$5,"EQY_FUND_CRNCY=USD")</f>
        <v>#NAME?</v>
      </c>
      <c r="AH85" s="36"/>
      <c r="AI85" s="36" t="e">
        <f ca="1">_xll.BDP($AD85,AI$10,"EQY_FUND_CRNCY=USD","FA_ADJUSTED=Y")</f>
        <v>#NAME?</v>
      </c>
      <c r="AJ85" s="36" t="e">
        <f ca="1">_xll.BDP($AD85,AJ$10,"BEST_FPERIOD_OVERRIDE=1TY","EQY_FUND_CRNCY=USD","FA_ADJUSTED=Y")</f>
        <v>#NAME?</v>
      </c>
      <c r="AK85" s="44" t="e">
        <f t="shared" ca="1" si="18"/>
        <v>#NAME?</v>
      </c>
      <c r="AL85" s="36" t="e">
        <f ca="1">_xll.BDP($AD85,AL$10,"EQY_FUND_CRNCY=USD","FA_ADJUSTED=Y")</f>
        <v>#NAME?</v>
      </c>
      <c r="AM85" s="36" t="e">
        <f ca="1">_xll.BDP($AD85,AM$10,"BEST_FPERIOD_OVERRIDE=1TY","EQY_FUND_CRNCY=USD","FA_ADJUSTED=Y")</f>
        <v>#NAME?</v>
      </c>
      <c r="AN85" s="36" t="e">
        <f ca="1">_xll.BDP($AD85,AN$10,"BEST_FPERIOD_OVERRIDE=1TY","EQY_FUND_CRNCY=USD","FA_ADJUSTED=Y")</f>
        <v>#NAME?</v>
      </c>
      <c r="AO85" s="36" t="e">
        <f ca="1">_xll.BDP($AD85,AO$10,"BEST_FPERIOD_OVERRIDE=1TY","EQY_FUND_CRNCY=USD","FA_ADJUSTED=Y")</f>
        <v>#NAME?</v>
      </c>
      <c r="AP85" s="36" t="e">
        <f ca="1">_xll.BDP($AD85,AP$10,"BEST_FPERIOD_OVERRIDE=1TY","EQY_FUND_CRNCY=USD","FA_ADJUSTED=Y")</f>
        <v>#NAME?</v>
      </c>
      <c r="AQ85" s="36" t="e">
        <f ca="1">_xll.BDP($AD85,AQ$10,"EQY_FUND_CRNCY=USD","FA_ADJUSTED=Y")</f>
        <v>#NAME?</v>
      </c>
      <c r="AR85" s="36" t="e">
        <f ca="1">_xll.BDP($AD85,AR$10,"BEST_FPERIOD_OVERRIDE=1TY","EQY_FUND_CRNCY=USD","FA_ADJUSTED=Y")</f>
        <v>#NAME?</v>
      </c>
      <c r="AS85" s="36" t="e">
        <f ca="1">_xll.BDP($AD85,AS$10,"EQY_FUND_CRNCY=USD","FA_ADJUSTED=Y")</f>
        <v>#NAME?</v>
      </c>
      <c r="AT85" s="36" t="e">
        <f ca="1">_xll.BDP($AD85,AT$10,"BEST_FPERIOD_OVERRIDE=1TY","EQY_FUND_CRNCY=USD","FA_ADJUSTED=Y")</f>
        <v>#NAME?</v>
      </c>
      <c r="AV85" s="1" t="s">
        <v>199</v>
      </c>
      <c r="AW85" s="1" t="s">
        <v>495</v>
      </c>
      <c r="AX85" s="36">
        <v>2414.8827999999999</v>
      </c>
      <c r="AY85" s="36">
        <v>2733.4158000000002</v>
      </c>
      <c r="AZ85" s="36">
        <v>757.60300000000007</v>
      </c>
      <c r="BA85" s="36">
        <v>863.7</v>
      </c>
      <c r="BB85" s="36">
        <v>0.14004300405357428</v>
      </c>
      <c r="BC85" s="114">
        <v>512.96599737548831</v>
      </c>
      <c r="BD85" s="36">
        <v>67.867000000000004</v>
      </c>
      <c r="BE85" s="36">
        <v>0</v>
      </c>
      <c r="BF85" s="36" t="s">
        <v>480</v>
      </c>
      <c r="BG85" s="36">
        <v>121.01</v>
      </c>
      <c r="BH85" s="36">
        <v>106.039</v>
      </c>
      <c r="BI85" s="36">
        <v>170.54</v>
      </c>
      <c r="BJ85" s="36">
        <v>32.882268060742</v>
      </c>
      <c r="BK85" s="36">
        <v>91.412999999999997</v>
      </c>
      <c r="BL85" s="36" t="s">
        <v>480</v>
      </c>
    </row>
    <row r="86" spans="1:64" ht="31.5" x14ac:dyDescent="0.2">
      <c r="C86" s="10" t="s">
        <v>491</v>
      </c>
      <c r="D86" s="11" t="s">
        <v>492</v>
      </c>
      <c r="E86" s="14" t="s">
        <v>429</v>
      </c>
      <c r="F86" s="13"/>
      <c r="G86" s="12" t="s">
        <v>430</v>
      </c>
      <c r="H86" s="12" t="s">
        <v>431</v>
      </c>
      <c r="I86" s="15" t="s">
        <v>432</v>
      </c>
      <c r="J86" s="15" t="s">
        <v>433</v>
      </c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2" t="s">
        <v>101</v>
      </c>
      <c r="AE86" s="36" t="e">
        <f ca="1">_xll.BDP($AD86,AE$10)</f>
        <v>#NAME?</v>
      </c>
      <c r="AF86" s="36" t="e">
        <f ca="1">_xll.BDH($AD86,AF$10,$C$5,$C$5,"EQY_FUND_CRNCY=USD")</f>
        <v>#NAME?</v>
      </c>
      <c r="AG86" s="36" t="e">
        <f ca="1">_xll.BDH($AD86,AG$10,$C$5,$C$5,"EQY_FUND_CRNCY=USD")</f>
        <v>#NAME?</v>
      </c>
      <c r="AH86" s="36"/>
      <c r="AI86" s="36" t="e">
        <f ca="1">_xll.BDP($AD86,AI$10,"EQY_FUND_CRNCY=USD","FA_ADJUSTED=Y")</f>
        <v>#NAME?</v>
      </c>
      <c r="AJ86" s="36" t="e">
        <f ca="1">_xll.BDP($AD86,AJ$10,"BEST_FPERIOD_OVERRIDE=1TY","EQY_FUND_CRNCY=USD","FA_ADJUSTED=Y")</f>
        <v>#NAME?</v>
      </c>
      <c r="AK86" s="44" t="e">
        <f t="shared" ca="1" si="18"/>
        <v>#NAME?</v>
      </c>
      <c r="AL86" s="36" t="e">
        <f ca="1">_xll.BDP($AD86,AL$10,"EQY_FUND_CRNCY=USD","FA_ADJUSTED=Y")</f>
        <v>#NAME?</v>
      </c>
      <c r="AM86" s="36" t="e">
        <f ca="1">_xll.BDP($AD86,AM$10,"BEST_FPERIOD_OVERRIDE=1TY","EQY_FUND_CRNCY=USD","FA_ADJUSTED=Y")</f>
        <v>#NAME?</v>
      </c>
      <c r="AN86" s="36" t="e">
        <f ca="1">_xll.BDP($AD86,AN$10,"BEST_FPERIOD_OVERRIDE=1TY","EQY_FUND_CRNCY=USD","FA_ADJUSTED=Y")</f>
        <v>#NAME?</v>
      </c>
      <c r="AO86" s="36" t="e">
        <f ca="1">_xll.BDP($AD86,AO$10,"BEST_FPERIOD_OVERRIDE=1TY","EQY_FUND_CRNCY=USD","FA_ADJUSTED=Y")</f>
        <v>#NAME?</v>
      </c>
      <c r="AP86" s="36" t="e">
        <f ca="1">_xll.BDP($AD86,AP$10,"BEST_FPERIOD_OVERRIDE=1TY","EQY_FUND_CRNCY=USD","FA_ADJUSTED=Y")</f>
        <v>#NAME?</v>
      </c>
      <c r="AQ86" s="36" t="e">
        <f ca="1">_xll.BDP($AD86,AQ$10,"EQY_FUND_CRNCY=USD","FA_ADJUSTED=Y")</f>
        <v>#NAME?</v>
      </c>
      <c r="AR86" s="36" t="e">
        <f ca="1">_xll.BDP($AD86,AR$10,"BEST_FPERIOD_OVERRIDE=1TY","EQY_FUND_CRNCY=USD","FA_ADJUSTED=Y")</f>
        <v>#NAME?</v>
      </c>
      <c r="AS86" s="36" t="e">
        <f ca="1">_xll.BDP($AD86,AS$10,"EQY_FUND_CRNCY=USD","FA_ADJUSTED=Y")</f>
        <v>#NAME?</v>
      </c>
      <c r="AT86" s="36" t="e">
        <f ca="1">_xll.BDP($AD86,AT$10,"BEST_FPERIOD_OVERRIDE=1TY","EQY_FUND_CRNCY=USD","FA_ADJUSTED=Y")</f>
        <v>#NAME?</v>
      </c>
      <c r="AV86" s="1" t="s">
        <v>101</v>
      </c>
      <c r="AW86" s="1" t="s">
        <v>495</v>
      </c>
      <c r="AX86" s="36">
        <v>7030.2542000000003</v>
      </c>
      <c r="AY86" s="36">
        <v>6268.2341999999999</v>
      </c>
      <c r="AZ86" s="36">
        <v>661.06700000000001</v>
      </c>
      <c r="BA86" s="36">
        <v>749.7</v>
      </c>
      <c r="BB86" s="36">
        <v>0.13407566857822273</v>
      </c>
      <c r="BC86" s="114">
        <v>364.36000024414062</v>
      </c>
      <c r="BD86" s="36">
        <v>59.675000000000004</v>
      </c>
      <c r="BE86" s="36">
        <v>171.65699999999998</v>
      </c>
      <c r="BF86" s="36">
        <v>124.117</v>
      </c>
      <c r="BG86" s="36">
        <v>75.915999999999997</v>
      </c>
      <c r="BH86" s="36">
        <v>28.280999999999985</v>
      </c>
      <c r="BI86" s="36">
        <v>147.46700000000001</v>
      </c>
      <c r="BJ86" s="36">
        <v>35.34196</v>
      </c>
      <c r="BK86" s="36">
        <v>101.65600000000001</v>
      </c>
      <c r="BL86" s="36">
        <v>-14.838000000000001</v>
      </c>
    </row>
    <row r="87" spans="1:64" ht="30" customHeight="1" x14ac:dyDescent="0.2">
      <c r="C87" s="18"/>
      <c r="D87" s="18"/>
      <c r="E87" s="19" t="s">
        <v>440</v>
      </c>
      <c r="F87" s="20" t="s">
        <v>441</v>
      </c>
      <c r="G87" s="19" t="s">
        <v>441</v>
      </c>
      <c r="H87" s="19" t="s">
        <v>440</v>
      </c>
      <c r="I87" s="20" t="s">
        <v>440</v>
      </c>
      <c r="J87" s="20" t="s">
        <v>440</v>
      </c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2" t="s">
        <v>91</v>
      </c>
      <c r="AE87" s="36" t="e">
        <f ca="1">_xll.BDP($AD87,AE$10)</f>
        <v>#NAME?</v>
      </c>
      <c r="AF87" s="36" t="e">
        <f ca="1">_xll.BDH($AD87,AF$10,$C$5,$C$5,"EQY_FUND_CRNCY=USD")</f>
        <v>#NAME?</v>
      </c>
      <c r="AG87" s="36" t="e">
        <f ca="1">_xll.BDH($AD87,AG$10,$C$5,$C$5,"EQY_FUND_CRNCY=USD")</f>
        <v>#NAME?</v>
      </c>
      <c r="AH87" s="36"/>
      <c r="AI87" s="36" t="e">
        <f ca="1">_xll.BDP($AD87,AI$10,"EQY_FUND_CRNCY=USD","FA_ADJUSTED=Y")</f>
        <v>#NAME?</v>
      </c>
      <c r="AJ87" s="36" t="e">
        <f ca="1">_xll.BDP($AD87,AJ$10,"BEST_FPERIOD_OVERRIDE=1TY","EQY_FUND_CRNCY=USD","FA_ADJUSTED=Y")</f>
        <v>#NAME?</v>
      </c>
      <c r="AK87" s="44" t="e">
        <f t="shared" ca="1" si="18"/>
        <v>#NAME?</v>
      </c>
      <c r="AL87" s="36" t="e">
        <f ca="1">_xll.BDP($AD87,AL$10,"EQY_FUND_CRNCY=USD","FA_ADJUSTED=Y")</f>
        <v>#NAME?</v>
      </c>
      <c r="AM87" s="36" t="e">
        <f ca="1">_xll.BDP($AD87,AM$10,"BEST_FPERIOD_OVERRIDE=1TY","EQY_FUND_CRNCY=USD","FA_ADJUSTED=Y")</f>
        <v>#NAME?</v>
      </c>
      <c r="AN87" s="36" t="e">
        <f ca="1">_xll.BDP($AD87,AN$10,"BEST_FPERIOD_OVERRIDE=1TY","EQY_FUND_CRNCY=USD","FA_ADJUSTED=Y")</f>
        <v>#NAME?</v>
      </c>
      <c r="AO87" s="36" t="e">
        <f ca="1">_xll.BDP($AD87,AO$10,"BEST_FPERIOD_OVERRIDE=1TY","EQY_FUND_CRNCY=USD","FA_ADJUSTED=Y")</f>
        <v>#NAME?</v>
      </c>
      <c r="AP87" s="36" t="e">
        <f ca="1">_xll.BDP($AD87,AP$10,"BEST_FPERIOD_OVERRIDE=1TY","EQY_FUND_CRNCY=USD","FA_ADJUSTED=Y")</f>
        <v>#NAME?</v>
      </c>
      <c r="AQ87" s="36" t="e">
        <f ca="1">_xll.BDP($AD87,AQ$10,"EQY_FUND_CRNCY=USD","FA_ADJUSTED=Y")</f>
        <v>#NAME?</v>
      </c>
      <c r="AR87" s="36" t="e">
        <f ca="1">_xll.BDP($AD87,AR$10,"BEST_FPERIOD_OVERRIDE=1TY","EQY_FUND_CRNCY=USD","FA_ADJUSTED=Y")</f>
        <v>#NAME?</v>
      </c>
      <c r="AS87" s="36" t="e">
        <f ca="1">_xll.BDP($AD87,AS$10,"EQY_FUND_CRNCY=USD","FA_ADJUSTED=Y")</f>
        <v>#NAME?</v>
      </c>
      <c r="AT87" s="36" t="e">
        <f ca="1">_xll.BDP($AD87,AT$10,"BEST_FPERIOD_OVERRIDE=1TY","EQY_FUND_CRNCY=USD","FA_ADJUSTED=Y")</f>
        <v>#NAME?</v>
      </c>
      <c r="AV87" s="1" t="s">
        <v>91</v>
      </c>
      <c r="AW87" s="1" t="s">
        <v>495</v>
      </c>
      <c r="AX87" s="36">
        <v>8075.8207000000002</v>
      </c>
      <c r="AY87" s="36">
        <v>7923.1147000000001</v>
      </c>
      <c r="AZ87" s="36">
        <v>891.15700000000004</v>
      </c>
      <c r="BA87" s="36">
        <v>1005.667</v>
      </c>
      <c r="BB87" s="36">
        <v>0.12849587670859353</v>
      </c>
      <c r="BC87" s="114">
        <v>422.93600115966797</v>
      </c>
      <c r="BD87" s="36">
        <v>51.216999999999999</v>
      </c>
      <c r="BE87" s="36">
        <v>47.323999999999998</v>
      </c>
      <c r="BF87" s="36" t="s">
        <v>480</v>
      </c>
      <c r="BG87" s="36" t="s">
        <v>480</v>
      </c>
      <c r="BH87" s="36">
        <v>222.82000000000002</v>
      </c>
      <c r="BI87" s="36">
        <v>297.92500000000001</v>
      </c>
      <c r="BJ87" s="36">
        <v>145.27799871199099</v>
      </c>
      <c r="BK87" s="36">
        <v>206.56300000000002</v>
      </c>
      <c r="BL87" s="36">
        <v>69.878</v>
      </c>
    </row>
    <row r="88" spans="1:64" ht="30" customHeight="1" x14ac:dyDescent="0.2">
      <c r="C88" s="73" t="s">
        <v>417</v>
      </c>
      <c r="D88" s="47" t="s">
        <v>493</v>
      </c>
      <c r="E88" s="50" t="e">
        <f t="shared" ref="E88:J88" si="23">H$9</f>
        <v>#DIV/0!</v>
      </c>
      <c r="F88" s="51" t="e">
        <f t="shared" si="23"/>
        <v>#DIV/0!</v>
      </c>
      <c r="G88" s="74" t="e">
        <f t="shared" si="23"/>
        <v>#DIV/0!</v>
      </c>
      <c r="H88" s="52" t="e">
        <f t="shared" si="23"/>
        <v>#DIV/0!</v>
      </c>
      <c r="I88" s="53" t="e">
        <f t="shared" si="23"/>
        <v>#DIV/0!</v>
      </c>
      <c r="J88" s="53" t="e">
        <f t="shared" si="23"/>
        <v>#DIV/0!</v>
      </c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2" t="s">
        <v>303</v>
      </c>
      <c r="AE88" s="36" t="e">
        <f ca="1">_xll.BDP($AD88,AE$10)</f>
        <v>#NAME?</v>
      </c>
      <c r="AF88" s="36" t="e">
        <f ca="1">_xll.BDH($AD88,AF$10,$C$5,$C$5,"EQY_FUND_CRNCY=USD")</f>
        <v>#NAME?</v>
      </c>
      <c r="AG88" s="36" t="e">
        <f ca="1">_xll.BDH($AD88,AG$10,$C$5,$C$5,"EQY_FUND_CRNCY=USD")</f>
        <v>#NAME?</v>
      </c>
      <c r="AH88" s="36"/>
      <c r="AI88" s="36" t="e">
        <f ca="1">_xll.BDP($AD88,AI$10,"EQY_FUND_CRNCY=USD","FA_ADJUSTED=Y")</f>
        <v>#NAME?</v>
      </c>
      <c r="AJ88" s="36" t="e">
        <f ca="1">_xll.BDP($AD88,AJ$10,"BEST_FPERIOD_OVERRIDE=1TY","EQY_FUND_CRNCY=USD","FA_ADJUSTED=Y")</f>
        <v>#NAME?</v>
      </c>
      <c r="AK88" s="44" t="e">
        <f t="shared" ca="1" si="18"/>
        <v>#NAME?</v>
      </c>
      <c r="AL88" s="36" t="e">
        <f ca="1">_xll.BDP($AD88,AL$10,"EQY_FUND_CRNCY=USD","FA_ADJUSTED=Y")</f>
        <v>#NAME?</v>
      </c>
      <c r="AM88" s="36" t="e">
        <f ca="1">_xll.BDP($AD88,AM$10,"BEST_FPERIOD_OVERRIDE=1TY","EQY_FUND_CRNCY=USD","FA_ADJUSTED=Y")</f>
        <v>#NAME?</v>
      </c>
      <c r="AN88" s="36" t="e">
        <f ca="1">_xll.BDP($AD88,AN$10,"BEST_FPERIOD_OVERRIDE=1TY","EQY_FUND_CRNCY=USD","FA_ADJUSTED=Y")</f>
        <v>#NAME?</v>
      </c>
      <c r="AO88" s="36" t="e">
        <f ca="1">_xll.BDP($AD88,AO$10,"BEST_FPERIOD_OVERRIDE=1TY","EQY_FUND_CRNCY=USD","FA_ADJUSTED=Y")</f>
        <v>#NAME?</v>
      </c>
      <c r="AP88" s="36" t="e">
        <f ca="1">_xll.BDP($AD88,AP$10,"BEST_FPERIOD_OVERRIDE=1TY","EQY_FUND_CRNCY=USD","FA_ADJUSTED=Y")</f>
        <v>#NAME?</v>
      </c>
      <c r="AQ88" s="36" t="e">
        <f ca="1">_xll.BDP($AD88,AQ$10,"EQY_FUND_CRNCY=USD","FA_ADJUSTED=Y")</f>
        <v>#NAME?</v>
      </c>
      <c r="AR88" s="36" t="e">
        <f ca="1">_xll.BDP($AD88,AR$10,"BEST_FPERIOD_OVERRIDE=1TY","EQY_FUND_CRNCY=USD","FA_ADJUSTED=Y")</f>
        <v>#NAME?</v>
      </c>
      <c r="AS88" s="36" t="e">
        <f ca="1">_xll.BDP($AD88,AS$10,"EQY_FUND_CRNCY=USD","FA_ADJUSTED=Y")</f>
        <v>#NAME?</v>
      </c>
      <c r="AT88" s="36" t="e">
        <f ca="1">_xll.BDP($AD88,AT$10,"BEST_FPERIOD_OVERRIDE=1TY","EQY_FUND_CRNCY=USD","FA_ADJUSTED=Y")</f>
        <v>#NAME?</v>
      </c>
      <c r="AV88" s="1" t="s">
        <v>303</v>
      </c>
      <c r="AW88" s="1" t="s">
        <v>495</v>
      </c>
      <c r="AX88" s="36">
        <v>1121.9934000000001</v>
      </c>
      <c r="AY88" s="36">
        <v>1199.2344000000001</v>
      </c>
      <c r="AZ88" s="36">
        <v>183.61700000000002</v>
      </c>
      <c r="BA88" s="36">
        <v>205.86799999999999</v>
      </c>
      <c r="BB88" s="36">
        <v>0.12118158993992911</v>
      </c>
      <c r="BC88" s="114">
        <v>109.50099978637695</v>
      </c>
      <c r="BD88" s="36">
        <v>63.478000000000002</v>
      </c>
      <c r="BE88" s="36">
        <v>56.021000000000001</v>
      </c>
      <c r="BF88" s="36">
        <v>68.116</v>
      </c>
      <c r="BG88" s="36">
        <v>40.335999999999999</v>
      </c>
      <c r="BH88" s="36">
        <v>-44.247999999999998</v>
      </c>
      <c r="BI88" s="36">
        <v>-21.440999999999999</v>
      </c>
      <c r="BJ88" s="36">
        <v>-63.304550127549</v>
      </c>
      <c r="BK88" s="36">
        <v>-22.835000000000001</v>
      </c>
      <c r="BL88" s="36">
        <v>248.583</v>
      </c>
    </row>
    <row r="89" spans="1:64" ht="30" customHeight="1" x14ac:dyDescent="0.2">
      <c r="C89" s="75" t="s">
        <v>494</v>
      </c>
      <c r="D89" s="55">
        <f>COUNTA(B16:B32)</f>
        <v>17</v>
      </c>
      <c r="E89" s="58" t="e">
        <f t="shared" ref="E89:J89" si="24">H33</f>
        <v>#REF!</v>
      </c>
      <c r="F89" s="59" t="e">
        <f t="shared" si="24"/>
        <v>#REF!</v>
      </c>
      <c r="G89" s="76" t="e">
        <f t="shared" si="24"/>
        <v>#REF!</v>
      </c>
      <c r="H89" s="60" t="e">
        <f t="shared" si="24"/>
        <v>#REF!</v>
      </c>
      <c r="I89" s="61" t="e">
        <f t="shared" si="24"/>
        <v>#REF!</v>
      </c>
      <c r="J89" s="61" t="e">
        <f t="shared" si="24"/>
        <v>#REF!</v>
      </c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2" t="s">
        <v>205</v>
      </c>
      <c r="AE89" s="36" t="e">
        <f ca="1">_xll.BDP($AD89,AE$10)</f>
        <v>#NAME?</v>
      </c>
      <c r="AF89" s="36" t="e">
        <f ca="1">_xll.BDH($AD89,AF$10,$C$5,$C$5,"EQY_FUND_CRNCY=USD")</f>
        <v>#NAME?</v>
      </c>
      <c r="AG89" s="36" t="e">
        <f ca="1">_xll.BDH($AD89,AG$10,$C$5,$C$5,"EQY_FUND_CRNCY=USD")</f>
        <v>#NAME?</v>
      </c>
      <c r="AH89" s="36"/>
      <c r="AI89" s="36" t="e">
        <f ca="1">_xll.BDP($AD89,AI$10,"EQY_FUND_CRNCY=USD","FA_ADJUSTED=Y")</f>
        <v>#NAME?</v>
      </c>
      <c r="AJ89" s="36" t="e">
        <f ca="1">_xll.BDP($AD89,AJ$10,"BEST_FPERIOD_OVERRIDE=1TY","EQY_FUND_CRNCY=USD","FA_ADJUSTED=Y")</f>
        <v>#NAME?</v>
      </c>
      <c r="AK89" s="44" t="e">
        <f t="shared" ca="1" si="18"/>
        <v>#NAME?</v>
      </c>
      <c r="AL89" s="36" t="e">
        <f ca="1">_xll.BDP($AD89,AL$10,"EQY_FUND_CRNCY=USD","FA_ADJUSTED=Y")</f>
        <v>#NAME?</v>
      </c>
      <c r="AM89" s="36" t="e">
        <f ca="1">_xll.BDP($AD89,AM$10,"BEST_FPERIOD_OVERRIDE=1TY","EQY_FUND_CRNCY=USD","FA_ADJUSTED=Y")</f>
        <v>#NAME?</v>
      </c>
      <c r="AN89" s="36" t="e">
        <f ca="1">_xll.BDP($AD89,AN$10,"BEST_FPERIOD_OVERRIDE=1TY","EQY_FUND_CRNCY=USD","FA_ADJUSTED=Y")</f>
        <v>#NAME?</v>
      </c>
      <c r="AO89" s="36" t="e">
        <f ca="1">_xll.BDP($AD89,AO$10,"BEST_FPERIOD_OVERRIDE=1TY","EQY_FUND_CRNCY=USD","FA_ADJUSTED=Y")</f>
        <v>#NAME?</v>
      </c>
      <c r="AP89" s="36" t="e">
        <f ca="1">_xll.BDP($AD89,AP$10,"BEST_FPERIOD_OVERRIDE=1TY","EQY_FUND_CRNCY=USD","FA_ADJUSTED=Y")</f>
        <v>#NAME?</v>
      </c>
      <c r="AQ89" s="36" t="e">
        <f ca="1">_xll.BDP($AD89,AQ$10,"EQY_FUND_CRNCY=USD","FA_ADJUSTED=Y")</f>
        <v>#NAME?</v>
      </c>
      <c r="AR89" s="36" t="e">
        <f ca="1">_xll.BDP($AD89,AR$10,"BEST_FPERIOD_OVERRIDE=1TY","EQY_FUND_CRNCY=USD","FA_ADJUSTED=Y")</f>
        <v>#NAME?</v>
      </c>
      <c r="AS89" s="36" t="e">
        <f ca="1">_xll.BDP($AD89,AS$10,"EQY_FUND_CRNCY=USD","FA_ADJUSTED=Y")</f>
        <v>#NAME?</v>
      </c>
      <c r="AT89" s="36" t="e">
        <f ca="1">_xll.BDP($AD89,AT$10,"BEST_FPERIOD_OVERRIDE=1TY","EQY_FUND_CRNCY=USD","FA_ADJUSTED=Y")</f>
        <v>#NAME?</v>
      </c>
      <c r="AV89" s="1" t="s">
        <v>205</v>
      </c>
      <c r="AW89" s="1" t="s">
        <v>495</v>
      </c>
      <c r="AX89" s="36">
        <v>2353.8663000000001</v>
      </c>
      <c r="AY89" s="36">
        <v>2378.6734999999999</v>
      </c>
      <c r="AZ89" s="36">
        <v>259.76499999999999</v>
      </c>
      <c r="BA89" s="36">
        <v>290.03199999999998</v>
      </c>
      <c r="BB89" s="36">
        <v>0.11651685176986892</v>
      </c>
      <c r="BC89" s="114">
        <v>189.24499960327148</v>
      </c>
      <c r="BD89" s="36">
        <v>72.911000000000001</v>
      </c>
      <c r="BE89" s="36">
        <v>41.803999999999995</v>
      </c>
      <c r="BF89" s="36">
        <v>33.128</v>
      </c>
      <c r="BG89" s="36">
        <v>25.448</v>
      </c>
      <c r="BH89" s="36">
        <v>83.233999999999995</v>
      </c>
      <c r="BI89" s="36">
        <v>100.771</v>
      </c>
      <c r="BJ89" s="36">
        <v>31.351610000000001</v>
      </c>
      <c r="BK89" s="36">
        <v>42.183</v>
      </c>
      <c r="BL89" s="36">
        <v>216.108</v>
      </c>
    </row>
    <row r="90" spans="1:64" ht="30" customHeight="1" x14ac:dyDescent="0.2">
      <c r="C90" s="75" t="s">
        <v>495</v>
      </c>
      <c r="D90" s="55">
        <f>COUNTA(B42:B47)</f>
        <v>6</v>
      </c>
      <c r="E90" s="58" t="e">
        <f t="shared" ref="E90:J90" si="25">H48</f>
        <v>#REF!</v>
      </c>
      <c r="F90" s="59" t="e">
        <f t="shared" si="25"/>
        <v>#REF!</v>
      </c>
      <c r="G90" s="76" t="e">
        <f t="shared" si="25"/>
        <v>#REF!</v>
      </c>
      <c r="H90" s="60" t="e">
        <f t="shared" si="25"/>
        <v>#REF!</v>
      </c>
      <c r="I90" s="61" t="e">
        <f t="shared" si="25"/>
        <v>#REF!</v>
      </c>
      <c r="J90" s="61" t="e">
        <f t="shared" si="25"/>
        <v>#REF!</v>
      </c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  <c r="AA90" s="65"/>
      <c r="AB90" s="65"/>
      <c r="AC90" s="65"/>
      <c r="AD90" s="2" t="s">
        <v>606</v>
      </c>
      <c r="AE90" s="36" t="e">
        <f ca="1">_xll.BDP($AD90,AE$10)</f>
        <v>#NAME?</v>
      </c>
      <c r="AF90" s="36" t="e">
        <f ca="1">_xll.BDH($AD90,AF$10,$C$5,$C$5,"EQY_FUND_CRNCY=USD")</f>
        <v>#NAME?</v>
      </c>
      <c r="AG90" s="36" t="e">
        <f ca="1">_xll.BDH($AD90,AG$10,$C$5,$C$5,"EQY_FUND_CRNCY=USD")</f>
        <v>#NAME?</v>
      </c>
      <c r="AH90" s="36"/>
      <c r="AI90" s="36" t="e">
        <f ca="1">_xll.BDP($AD90,AI$10,"EQY_FUND_CRNCY=USD","FA_ADJUSTED=Y")</f>
        <v>#NAME?</v>
      </c>
      <c r="AJ90" s="36" t="e">
        <f ca="1">_xll.BDP($AD90,AJ$10,"BEST_FPERIOD_OVERRIDE=1TY","EQY_FUND_CRNCY=USD","FA_ADJUSTED=Y")</f>
        <v>#NAME?</v>
      </c>
      <c r="AK90" s="44" t="e">
        <f t="shared" ca="1" si="18"/>
        <v>#NAME?</v>
      </c>
      <c r="AL90" s="36" t="e">
        <f ca="1">_xll.BDP($AD90,AL$10,"EQY_FUND_CRNCY=USD","FA_ADJUSTED=Y")</f>
        <v>#NAME?</v>
      </c>
      <c r="AM90" s="36" t="e">
        <f ca="1">_xll.BDP($AD90,AM$10,"BEST_FPERIOD_OVERRIDE=1TY","EQY_FUND_CRNCY=USD","FA_ADJUSTED=Y")</f>
        <v>#NAME?</v>
      </c>
      <c r="AN90" s="36" t="e">
        <f ca="1">_xll.BDP($AD90,AN$10,"BEST_FPERIOD_OVERRIDE=1TY","EQY_FUND_CRNCY=USD","FA_ADJUSTED=Y")</f>
        <v>#NAME?</v>
      </c>
      <c r="AO90" s="36" t="e">
        <f ca="1">_xll.BDP($AD90,AO$10,"BEST_FPERIOD_OVERRIDE=1TY","EQY_FUND_CRNCY=USD","FA_ADJUSTED=Y")</f>
        <v>#NAME?</v>
      </c>
      <c r="AP90" s="36" t="e">
        <f ca="1">_xll.BDP($AD90,AP$10,"BEST_FPERIOD_OVERRIDE=1TY","EQY_FUND_CRNCY=USD","FA_ADJUSTED=Y")</f>
        <v>#NAME?</v>
      </c>
      <c r="AQ90" s="36" t="e">
        <f ca="1">_xll.BDP($AD90,AQ$10,"EQY_FUND_CRNCY=USD","FA_ADJUSTED=Y")</f>
        <v>#NAME?</v>
      </c>
      <c r="AR90" s="36" t="e">
        <f ca="1">_xll.BDP($AD90,AR$10,"BEST_FPERIOD_OVERRIDE=1TY","EQY_FUND_CRNCY=USD","FA_ADJUSTED=Y")</f>
        <v>#NAME?</v>
      </c>
      <c r="AS90" s="36" t="e">
        <f ca="1">_xll.BDP($AD90,AS$10,"EQY_FUND_CRNCY=USD","FA_ADJUSTED=Y")</f>
        <v>#NAME?</v>
      </c>
      <c r="AT90" s="36" t="e">
        <f ca="1">_xll.BDP($AD90,AT$10,"BEST_FPERIOD_OVERRIDE=1TY","EQY_FUND_CRNCY=USD","FA_ADJUSTED=Y")</f>
        <v>#NAME?</v>
      </c>
      <c r="AV90" s="1" t="s">
        <v>606</v>
      </c>
      <c r="AW90" s="1" t="s">
        <v>615</v>
      </c>
      <c r="AX90" s="36">
        <v>2278.6583999999998</v>
      </c>
      <c r="AY90" s="36">
        <v>4269.3923999999997</v>
      </c>
      <c r="AZ90" s="36">
        <v>2006.2450000000001</v>
      </c>
      <c r="BA90" s="36">
        <v>2239.0819999999999</v>
      </c>
      <c r="BB90" s="36">
        <v>0.11605611478159439</v>
      </c>
      <c r="BC90" s="114">
        <v>861.35701245117184</v>
      </c>
      <c r="BD90" s="36">
        <v>47.988</v>
      </c>
      <c r="BE90" s="36">
        <v>220.21899999999999</v>
      </c>
      <c r="BF90" s="36" t="s">
        <v>480</v>
      </c>
      <c r="BG90" s="36" t="s">
        <v>480</v>
      </c>
      <c r="BH90" s="36">
        <v>376.78800000000001</v>
      </c>
      <c r="BI90" s="36">
        <v>448.07800000000003</v>
      </c>
      <c r="BJ90" s="36">
        <v>-22.321651615104003</v>
      </c>
      <c r="BK90" s="36">
        <v>140.678</v>
      </c>
      <c r="BL90" s="36">
        <v>282.01300000000003</v>
      </c>
    </row>
    <row r="91" spans="1:64" ht="30" customHeight="1" x14ac:dyDescent="0.2">
      <c r="C91" s="77" t="s">
        <v>496</v>
      </c>
      <c r="D91" s="66">
        <f>COUNTA(B57:B65)</f>
        <v>9</v>
      </c>
      <c r="E91" s="69" t="e">
        <f>H66</f>
        <v>#REF!</v>
      </c>
      <c r="F91" s="70" t="e">
        <f t="shared" ref="F91:J91" si="26">I66</f>
        <v>#REF!</v>
      </c>
      <c r="G91" s="78" t="e">
        <f t="shared" si="26"/>
        <v>#REF!</v>
      </c>
      <c r="H91" s="71" t="e">
        <f t="shared" si="26"/>
        <v>#REF!</v>
      </c>
      <c r="I91" s="79" t="e">
        <f t="shared" si="26"/>
        <v>#REF!</v>
      </c>
      <c r="J91" s="79" t="e">
        <f t="shared" si="26"/>
        <v>#REF!</v>
      </c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  <c r="AA91" s="65"/>
      <c r="AB91" s="65"/>
      <c r="AC91" s="65"/>
      <c r="AD91" s="2" t="s">
        <v>607</v>
      </c>
      <c r="AE91" s="36" t="e">
        <f ca="1">_xll.BDP($AD91,AE$10)</f>
        <v>#NAME?</v>
      </c>
      <c r="AF91" s="36" t="e">
        <f ca="1">_xll.BDH($AD91,AF$10,$C$5,$C$5,"EQY_FUND_CRNCY=USD")</f>
        <v>#NAME?</v>
      </c>
      <c r="AG91" s="36" t="e">
        <f ca="1">_xll.BDH($AD91,AG$10,$C$5,$C$5,"EQY_FUND_CRNCY=USD")</f>
        <v>#NAME?</v>
      </c>
      <c r="AH91" s="36"/>
      <c r="AI91" s="36" t="e">
        <f ca="1">_xll.BDP($AD91,AI$10,"EQY_FUND_CRNCY=USD","FA_ADJUSTED=Y")</f>
        <v>#NAME?</v>
      </c>
      <c r="AJ91" s="36" t="e">
        <f ca="1">_xll.BDP($AD91,AJ$10,"BEST_FPERIOD_OVERRIDE=1TY","EQY_FUND_CRNCY=USD","FA_ADJUSTED=Y")</f>
        <v>#NAME?</v>
      </c>
      <c r="AK91" s="44" t="e">
        <f t="shared" ca="1" si="18"/>
        <v>#NAME?</v>
      </c>
      <c r="AL91" s="36" t="e">
        <f ca="1">_xll.BDP($AD91,AL$10,"EQY_FUND_CRNCY=USD","FA_ADJUSTED=Y")</f>
        <v>#NAME?</v>
      </c>
      <c r="AM91" s="36" t="e">
        <f ca="1">_xll.BDP($AD91,AM$10,"BEST_FPERIOD_OVERRIDE=1TY","EQY_FUND_CRNCY=USD","FA_ADJUSTED=Y")</f>
        <v>#NAME?</v>
      </c>
      <c r="AN91" s="36" t="e">
        <f ca="1">_xll.BDP($AD91,AN$10,"BEST_FPERIOD_OVERRIDE=1TY","EQY_FUND_CRNCY=USD","FA_ADJUSTED=Y")</f>
        <v>#NAME?</v>
      </c>
      <c r="AO91" s="36" t="e">
        <f ca="1">_xll.BDP($AD91,AO$10,"BEST_FPERIOD_OVERRIDE=1TY","EQY_FUND_CRNCY=USD","FA_ADJUSTED=Y")</f>
        <v>#NAME?</v>
      </c>
      <c r="AP91" s="36" t="e">
        <f ca="1">_xll.BDP($AD91,AP$10,"BEST_FPERIOD_OVERRIDE=1TY","EQY_FUND_CRNCY=USD","FA_ADJUSTED=Y")</f>
        <v>#NAME?</v>
      </c>
      <c r="AQ91" s="36" t="e">
        <f ca="1">_xll.BDP($AD91,AQ$10,"EQY_FUND_CRNCY=USD","FA_ADJUSTED=Y")</f>
        <v>#NAME?</v>
      </c>
      <c r="AR91" s="36" t="e">
        <f ca="1">_xll.BDP($AD91,AR$10,"BEST_FPERIOD_OVERRIDE=1TY","EQY_FUND_CRNCY=USD","FA_ADJUSTED=Y")</f>
        <v>#NAME?</v>
      </c>
      <c r="AS91" s="36" t="e">
        <f ca="1">_xll.BDP($AD91,AS$10,"EQY_FUND_CRNCY=USD","FA_ADJUSTED=Y")</f>
        <v>#NAME?</v>
      </c>
      <c r="AT91" s="36" t="e">
        <f ca="1">_xll.BDP($AD91,AT$10,"BEST_FPERIOD_OVERRIDE=1TY","EQY_FUND_CRNCY=USD","FA_ADJUSTED=Y")</f>
        <v>#NAME?</v>
      </c>
      <c r="AV91" s="1" t="s">
        <v>607</v>
      </c>
      <c r="AW91" s="1" t="s">
        <v>617</v>
      </c>
      <c r="AX91" s="36">
        <v>29835.610499999999</v>
      </c>
      <c r="AY91" s="36">
        <v>25857.610499999999</v>
      </c>
      <c r="AZ91" s="36">
        <v>4838</v>
      </c>
      <c r="BA91" s="36">
        <v>5394.9750000000004</v>
      </c>
      <c r="BB91" s="36">
        <v>0.11512505167424569</v>
      </c>
      <c r="BC91" s="114">
        <v>3503</v>
      </c>
      <c r="BD91" s="36">
        <v>68.194000000000003</v>
      </c>
      <c r="BE91" s="36">
        <v>1320</v>
      </c>
      <c r="BF91" s="36">
        <v>641</v>
      </c>
      <c r="BG91" s="36">
        <v>469</v>
      </c>
      <c r="BH91" s="36">
        <v>1151</v>
      </c>
      <c r="BI91" s="36">
        <v>2024.567</v>
      </c>
      <c r="BJ91" s="36">
        <v>881.07999999999993</v>
      </c>
      <c r="BK91" s="36">
        <v>1497.5920000000001</v>
      </c>
      <c r="BL91" s="36">
        <v>-6.7450000000000001</v>
      </c>
    </row>
    <row r="92" spans="1:64" ht="30" customHeight="1" x14ac:dyDescent="0.2">
      <c r="C92" s="80" t="s">
        <v>497</v>
      </c>
      <c r="D92" s="81">
        <f>COUNTA(B75:B79)</f>
        <v>5</v>
      </c>
      <c r="E92" s="82" t="e">
        <f>H80</f>
        <v>#REF!</v>
      </c>
      <c r="F92" s="83" t="e">
        <f t="shared" ref="F92:J92" si="27">I80</f>
        <v>#REF!</v>
      </c>
      <c r="G92" s="84" t="e">
        <f t="shared" si="27"/>
        <v>#REF!</v>
      </c>
      <c r="H92" s="85" t="e">
        <f t="shared" si="27"/>
        <v>#REF!</v>
      </c>
      <c r="I92" s="86" t="e">
        <f t="shared" si="27"/>
        <v>#REF!</v>
      </c>
      <c r="J92" s="86" t="e">
        <f t="shared" si="27"/>
        <v>#REF!</v>
      </c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65"/>
      <c r="AA92" s="65"/>
      <c r="AB92" s="65"/>
      <c r="AC92" s="65"/>
      <c r="AD92" s="2" t="s">
        <v>197</v>
      </c>
      <c r="AE92" s="36" t="e">
        <f ca="1">_xll.BDP($AD92,AE$10)</f>
        <v>#NAME?</v>
      </c>
      <c r="AF92" s="36" t="e">
        <f ca="1">_xll.BDH($AD92,AF$10,$C$5,$C$5,"EQY_FUND_CRNCY=USD")</f>
        <v>#NAME?</v>
      </c>
      <c r="AG92" s="36" t="e">
        <f ca="1">_xll.BDH($AD92,AG$10,$C$5,$C$5,"EQY_FUND_CRNCY=USD")</f>
        <v>#NAME?</v>
      </c>
      <c r="AH92" s="36"/>
      <c r="AI92" s="36" t="e">
        <f ca="1">_xll.BDP($AD92,AI$10,"EQY_FUND_CRNCY=USD","FA_ADJUSTED=Y")</f>
        <v>#NAME?</v>
      </c>
      <c r="AJ92" s="36" t="e">
        <f ca="1">_xll.BDP($AD92,AJ$10,"BEST_FPERIOD_OVERRIDE=1TY","EQY_FUND_CRNCY=USD","FA_ADJUSTED=Y")</f>
        <v>#NAME?</v>
      </c>
      <c r="AK92" s="44" t="e">
        <f t="shared" ca="1" si="18"/>
        <v>#NAME?</v>
      </c>
      <c r="AL92" s="36" t="e">
        <f ca="1">_xll.BDP($AD92,AL$10,"EQY_FUND_CRNCY=USD","FA_ADJUSTED=Y")</f>
        <v>#NAME?</v>
      </c>
      <c r="AM92" s="36" t="e">
        <f ca="1">_xll.BDP($AD92,AM$10,"BEST_FPERIOD_OVERRIDE=1TY","EQY_FUND_CRNCY=USD","FA_ADJUSTED=Y")</f>
        <v>#NAME?</v>
      </c>
      <c r="AN92" s="36" t="e">
        <f ca="1">_xll.BDP($AD92,AN$10,"BEST_FPERIOD_OVERRIDE=1TY","EQY_FUND_CRNCY=USD","FA_ADJUSTED=Y")</f>
        <v>#NAME?</v>
      </c>
      <c r="AO92" s="36" t="e">
        <f ca="1">_xll.BDP($AD92,AO$10,"BEST_FPERIOD_OVERRIDE=1TY","EQY_FUND_CRNCY=USD","FA_ADJUSTED=Y")</f>
        <v>#NAME?</v>
      </c>
      <c r="AP92" s="36" t="e">
        <f ca="1">_xll.BDP($AD92,AP$10,"BEST_FPERIOD_OVERRIDE=1TY","EQY_FUND_CRNCY=USD","FA_ADJUSTED=Y")</f>
        <v>#NAME?</v>
      </c>
      <c r="AQ92" s="36" t="e">
        <f ca="1">_xll.BDP($AD92,AQ$10,"EQY_FUND_CRNCY=USD","FA_ADJUSTED=Y")</f>
        <v>#NAME?</v>
      </c>
      <c r="AR92" s="36" t="e">
        <f ca="1">_xll.BDP($AD92,AR$10,"BEST_FPERIOD_OVERRIDE=1TY","EQY_FUND_CRNCY=USD","FA_ADJUSTED=Y")</f>
        <v>#NAME?</v>
      </c>
      <c r="AS92" s="36" t="e">
        <f ca="1">_xll.BDP($AD92,AS$10,"EQY_FUND_CRNCY=USD","FA_ADJUSTED=Y")</f>
        <v>#NAME?</v>
      </c>
      <c r="AT92" s="36" t="e">
        <f ca="1">_xll.BDP($AD92,AT$10,"BEST_FPERIOD_OVERRIDE=1TY","EQY_FUND_CRNCY=USD","FA_ADJUSTED=Y")</f>
        <v>#NAME?</v>
      </c>
      <c r="AV92" s="1" t="s">
        <v>197</v>
      </c>
      <c r="AW92" s="1" t="s">
        <v>495</v>
      </c>
      <c r="AX92" s="36">
        <v>2478.1314000000002</v>
      </c>
      <c r="AY92" s="36">
        <v>2279.9814000000001</v>
      </c>
      <c r="AZ92" s="36">
        <v>362.10199999999998</v>
      </c>
      <c r="BA92" s="36">
        <v>403.58300000000003</v>
      </c>
      <c r="BB92" s="36">
        <v>0.11455611954642619</v>
      </c>
      <c r="BC92" s="114">
        <v>250.68500076293947</v>
      </c>
      <c r="BD92" s="36">
        <v>70.325000000000003</v>
      </c>
      <c r="BE92" s="36">
        <v>93.233999999999995</v>
      </c>
      <c r="BF92" s="36">
        <v>79.957999999999998</v>
      </c>
      <c r="BG92" s="36">
        <v>87.978999999999999</v>
      </c>
      <c r="BH92" s="36">
        <v>-3.4740000000000002</v>
      </c>
      <c r="BI92" s="36">
        <v>42.646999999999998</v>
      </c>
      <c r="BJ92" s="36">
        <v>-84.54</v>
      </c>
      <c r="BK92" s="36">
        <v>25.7</v>
      </c>
      <c r="BL92" s="36">
        <v>330.483</v>
      </c>
    </row>
    <row r="93" spans="1:64" x14ac:dyDescent="0.2">
      <c r="C93" s="87"/>
      <c r="D93" s="87"/>
      <c r="E93" s="87"/>
      <c r="F93" s="87"/>
      <c r="G93" s="87"/>
      <c r="H93" s="87"/>
      <c r="I93" s="87"/>
      <c r="J93" s="87"/>
      <c r="K93" s="87"/>
      <c r="L93" s="87"/>
      <c r="M93" s="87"/>
      <c r="AD93" s="2" t="s">
        <v>608</v>
      </c>
      <c r="AE93" s="36" t="e">
        <f ca="1">_xll.BDP($AD93,AE$10)</f>
        <v>#NAME?</v>
      </c>
      <c r="AF93" s="36" t="e">
        <f ca="1">_xll.BDH($AD93,AF$10,$C$5,$C$5,"EQY_FUND_CRNCY=USD")</f>
        <v>#NAME?</v>
      </c>
      <c r="AG93" s="36" t="e">
        <f ca="1">_xll.BDH($AD93,AG$10,$C$5,$C$5,"EQY_FUND_CRNCY=USD")</f>
        <v>#NAME?</v>
      </c>
      <c r="AH93" s="36"/>
      <c r="AI93" s="36" t="e">
        <f ca="1">_xll.BDP($AD93,AI$10,"EQY_FUND_CRNCY=USD","FA_ADJUSTED=Y")</f>
        <v>#NAME?</v>
      </c>
      <c r="AJ93" s="36" t="e">
        <f ca="1">_xll.BDP($AD93,AJ$10,"BEST_FPERIOD_OVERRIDE=1TY","EQY_FUND_CRNCY=USD","FA_ADJUSTED=Y")</f>
        <v>#NAME?</v>
      </c>
      <c r="AK93" s="44" t="e">
        <f t="shared" ca="1" si="18"/>
        <v>#NAME?</v>
      </c>
      <c r="AL93" s="36" t="e">
        <f ca="1">_xll.BDP($AD93,AL$10,"EQY_FUND_CRNCY=USD","FA_ADJUSTED=Y")</f>
        <v>#NAME?</v>
      </c>
      <c r="AM93" s="36" t="e">
        <f ca="1">_xll.BDP($AD93,AM$10,"BEST_FPERIOD_OVERRIDE=1TY","EQY_FUND_CRNCY=USD","FA_ADJUSTED=Y")</f>
        <v>#NAME?</v>
      </c>
      <c r="AN93" s="36" t="e">
        <f ca="1">_xll.BDP($AD93,AN$10,"BEST_FPERIOD_OVERRIDE=1TY","EQY_FUND_CRNCY=USD","FA_ADJUSTED=Y")</f>
        <v>#NAME?</v>
      </c>
      <c r="AO93" s="36" t="e">
        <f ca="1">_xll.BDP($AD93,AO$10,"BEST_FPERIOD_OVERRIDE=1TY","EQY_FUND_CRNCY=USD","FA_ADJUSTED=Y")</f>
        <v>#NAME?</v>
      </c>
      <c r="AP93" s="36" t="e">
        <f ca="1">_xll.BDP($AD93,AP$10,"BEST_FPERIOD_OVERRIDE=1TY","EQY_FUND_CRNCY=USD","FA_ADJUSTED=Y")</f>
        <v>#NAME?</v>
      </c>
      <c r="AQ93" s="36" t="e">
        <f ca="1">_xll.BDP($AD93,AQ$10,"EQY_FUND_CRNCY=USD","FA_ADJUSTED=Y")</f>
        <v>#NAME?</v>
      </c>
      <c r="AR93" s="36" t="e">
        <f ca="1">_xll.BDP($AD93,AR$10,"BEST_FPERIOD_OVERRIDE=1TY","EQY_FUND_CRNCY=USD","FA_ADJUSTED=Y")</f>
        <v>#NAME?</v>
      </c>
      <c r="AS93" s="36" t="e">
        <f ca="1">_xll.BDP($AD93,AS$10,"EQY_FUND_CRNCY=USD","FA_ADJUSTED=Y")</f>
        <v>#NAME?</v>
      </c>
      <c r="AT93" s="36" t="e">
        <f ca="1">_xll.BDP($AD93,AT$10,"BEST_FPERIOD_OVERRIDE=1TY","EQY_FUND_CRNCY=USD","FA_ADJUSTED=Y")</f>
        <v>#NAME?</v>
      </c>
      <c r="AV93" s="1" t="s">
        <v>608</v>
      </c>
      <c r="AW93" s="1" t="s">
        <v>617</v>
      </c>
      <c r="AX93" s="36">
        <v>3285.8933999999999</v>
      </c>
      <c r="AY93" s="36">
        <v>2858.7084</v>
      </c>
      <c r="AZ93" s="36">
        <v>883.15200000000004</v>
      </c>
      <c r="BA93" s="36">
        <v>981.11099999999999</v>
      </c>
      <c r="BB93" s="36">
        <v>0.11091975107342789</v>
      </c>
      <c r="BC93" s="114">
        <v>610.00600537109381</v>
      </c>
      <c r="BD93" s="36">
        <v>70.8</v>
      </c>
      <c r="BE93" s="36">
        <v>256.012</v>
      </c>
      <c r="BF93" s="36">
        <v>212.03</v>
      </c>
      <c r="BG93" s="36">
        <v>108.65300000000001</v>
      </c>
      <c r="BH93" s="36">
        <v>82.168000000000006</v>
      </c>
      <c r="BI93" s="36">
        <v>197.02500000000001</v>
      </c>
      <c r="BJ93" s="36">
        <v>49.854209999999995</v>
      </c>
      <c r="BK93" s="36">
        <v>133.667</v>
      </c>
      <c r="BL93" s="36">
        <v>221.86700000000002</v>
      </c>
    </row>
    <row r="94" spans="1:64" ht="30" customHeight="1" x14ac:dyDescent="0.2">
      <c r="A94" s="2" t="s">
        <v>457</v>
      </c>
      <c r="B94" s="45" t="s">
        <v>495</v>
      </c>
      <c r="C94" s="45"/>
      <c r="N94" s="2" t="s">
        <v>457</v>
      </c>
      <c r="AD94" s="2" t="s">
        <v>19</v>
      </c>
      <c r="AE94" s="36" t="e">
        <f ca="1">_xll.BDP($AD94,AE$10)</f>
        <v>#NAME?</v>
      </c>
      <c r="AF94" s="36" t="e">
        <f ca="1">_xll.BDH($AD94,AF$10,$C$5,$C$5,"EQY_FUND_CRNCY=USD")</f>
        <v>#NAME?</v>
      </c>
      <c r="AG94" s="36" t="e">
        <f ca="1">_xll.BDH($AD94,AG$10,$C$5,$C$5,"EQY_FUND_CRNCY=USD")</f>
        <v>#NAME?</v>
      </c>
      <c r="AH94" s="36"/>
      <c r="AI94" s="36" t="e">
        <f ca="1">_xll.BDP($AD94,AI$10,"EQY_FUND_CRNCY=USD","FA_ADJUSTED=Y")</f>
        <v>#NAME?</v>
      </c>
      <c r="AJ94" s="36" t="e">
        <f ca="1">_xll.BDP($AD94,AJ$10,"BEST_FPERIOD_OVERRIDE=1TY","EQY_FUND_CRNCY=USD","FA_ADJUSTED=Y")</f>
        <v>#NAME?</v>
      </c>
      <c r="AK94" s="44" t="e">
        <f t="shared" ca="1" si="18"/>
        <v>#NAME?</v>
      </c>
      <c r="AL94" s="36" t="e">
        <f ca="1">_xll.BDP($AD94,AL$10,"EQY_FUND_CRNCY=USD","FA_ADJUSTED=Y")</f>
        <v>#NAME?</v>
      </c>
      <c r="AM94" s="36" t="e">
        <f ca="1">_xll.BDP($AD94,AM$10,"BEST_FPERIOD_OVERRIDE=1TY","EQY_FUND_CRNCY=USD","FA_ADJUSTED=Y")</f>
        <v>#NAME?</v>
      </c>
      <c r="AN94" s="36" t="e">
        <f ca="1">_xll.BDP($AD94,AN$10,"BEST_FPERIOD_OVERRIDE=1TY","EQY_FUND_CRNCY=USD","FA_ADJUSTED=Y")</f>
        <v>#NAME?</v>
      </c>
      <c r="AO94" s="36" t="e">
        <f ca="1">_xll.BDP($AD94,AO$10,"BEST_FPERIOD_OVERRIDE=1TY","EQY_FUND_CRNCY=USD","FA_ADJUSTED=Y")</f>
        <v>#NAME?</v>
      </c>
      <c r="AP94" s="36" t="e">
        <f ca="1">_xll.BDP($AD94,AP$10,"BEST_FPERIOD_OVERRIDE=1TY","EQY_FUND_CRNCY=USD","FA_ADJUSTED=Y")</f>
        <v>#NAME?</v>
      </c>
      <c r="AQ94" s="36" t="e">
        <f ca="1">_xll.BDP($AD94,AQ$10,"EQY_FUND_CRNCY=USD","FA_ADJUSTED=Y")</f>
        <v>#NAME?</v>
      </c>
      <c r="AR94" s="36" t="e">
        <f ca="1">_xll.BDP($AD94,AR$10,"BEST_FPERIOD_OVERRIDE=1TY","EQY_FUND_CRNCY=USD","FA_ADJUSTED=Y")</f>
        <v>#NAME?</v>
      </c>
      <c r="AS94" s="36" t="e">
        <f ca="1">_xll.BDP($AD94,AS$10,"EQY_FUND_CRNCY=USD","FA_ADJUSTED=Y")</f>
        <v>#NAME?</v>
      </c>
      <c r="AT94" s="36" t="e">
        <f ca="1">_xll.BDP($AD94,AT$10,"BEST_FPERIOD_OVERRIDE=1TY","EQY_FUND_CRNCY=USD","FA_ADJUSTED=Y")</f>
        <v>#NAME?</v>
      </c>
      <c r="AV94" s="1" t="s">
        <v>19</v>
      </c>
      <c r="AW94" s="1" t="s">
        <v>495</v>
      </c>
      <c r="AX94" s="36">
        <v>52939.734700000001</v>
      </c>
      <c r="AY94" s="36">
        <v>51661.734700000001</v>
      </c>
      <c r="AZ94" s="36">
        <v>5964</v>
      </c>
      <c r="BA94" s="36">
        <v>6610.5380000000005</v>
      </c>
      <c r="BB94" s="36">
        <v>0.10840677397719656</v>
      </c>
      <c r="BC94" s="114">
        <v>4992</v>
      </c>
      <c r="BD94" s="36">
        <v>77.832999999999998</v>
      </c>
      <c r="BE94" s="36">
        <v>1186</v>
      </c>
      <c r="BF94" s="36">
        <v>1634</v>
      </c>
      <c r="BG94" s="36">
        <v>664</v>
      </c>
      <c r="BH94" s="36">
        <v>1823</v>
      </c>
      <c r="BI94" s="36">
        <v>2438</v>
      </c>
      <c r="BJ94" s="36">
        <v>1268.9562790151069</v>
      </c>
      <c r="BK94" s="36">
        <v>1695.9180000000001</v>
      </c>
      <c r="BL94" s="36">
        <v>-2.9330000000000003</v>
      </c>
    </row>
    <row r="95" spans="1:64" ht="15.6" customHeight="1" x14ac:dyDescent="0.2">
      <c r="B95" s="10" t="s">
        <v>424</v>
      </c>
      <c r="C95" s="10" t="s">
        <v>425</v>
      </c>
      <c r="AD95" s="2" t="s">
        <v>287</v>
      </c>
      <c r="AE95" s="36" t="e">
        <f ca="1">_xll.BDP($AD95,AE$10)</f>
        <v>#NAME?</v>
      </c>
      <c r="AF95" s="36" t="e">
        <f ca="1">_xll.BDH($AD95,AF$10,$C$5,$C$5,"EQY_FUND_CRNCY=USD")</f>
        <v>#NAME?</v>
      </c>
      <c r="AG95" s="36" t="e">
        <f ca="1">_xll.BDH($AD95,AG$10,$C$5,$C$5,"EQY_FUND_CRNCY=USD")</f>
        <v>#NAME?</v>
      </c>
      <c r="AH95" s="36"/>
      <c r="AI95" s="36" t="e">
        <f ca="1">_xll.BDP($AD95,AI$10,"EQY_FUND_CRNCY=USD","FA_ADJUSTED=Y")</f>
        <v>#NAME?</v>
      </c>
      <c r="AJ95" s="36" t="e">
        <f ca="1">_xll.BDP($AD95,AJ$10,"BEST_FPERIOD_OVERRIDE=1TY","EQY_FUND_CRNCY=USD","FA_ADJUSTED=Y")</f>
        <v>#NAME?</v>
      </c>
      <c r="AK95" s="44" t="e">
        <f t="shared" ca="1" si="18"/>
        <v>#NAME?</v>
      </c>
      <c r="AL95" s="36" t="e">
        <f ca="1">_xll.BDP($AD95,AL$10,"EQY_FUND_CRNCY=USD","FA_ADJUSTED=Y")</f>
        <v>#NAME?</v>
      </c>
      <c r="AM95" s="36" t="e">
        <f ca="1">_xll.BDP($AD95,AM$10,"BEST_FPERIOD_OVERRIDE=1TY","EQY_FUND_CRNCY=USD","FA_ADJUSTED=Y")</f>
        <v>#NAME?</v>
      </c>
      <c r="AN95" s="36" t="e">
        <f ca="1">_xll.BDP($AD95,AN$10,"BEST_FPERIOD_OVERRIDE=1TY","EQY_FUND_CRNCY=USD","FA_ADJUSTED=Y")</f>
        <v>#NAME?</v>
      </c>
      <c r="AO95" s="36" t="e">
        <f ca="1">_xll.BDP($AD95,AO$10,"BEST_FPERIOD_OVERRIDE=1TY","EQY_FUND_CRNCY=USD","FA_ADJUSTED=Y")</f>
        <v>#NAME?</v>
      </c>
      <c r="AP95" s="36" t="e">
        <f ca="1">_xll.BDP($AD95,AP$10,"BEST_FPERIOD_OVERRIDE=1TY","EQY_FUND_CRNCY=USD","FA_ADJUSTED=Y")</f>
        <v>#NAME?</v>
      </c>
      <c r="AQ95" s="36" t="e">
        <f ca="1">_xll.BDP($AD95,AQ$10,"EQY_FUND_CRNCY=USD","FA_ADJUSTED=Y")</f>
        <v>#NAME?</v>
      </c>
      <c r="AR95" s="36" t="e">
        <f ca="1">_xll.BDP($AD95,AR$10,"BEST_FPERIOD_OVERRIDE=1TY","EQY_FUND_CRNCY=USD","FA_ADJUSTED=Y")</f>
        <v>#NAME?</v>
      </c>
      <c r="AS95" s="36" t="e">
        <f ca="1">_xll.BDP($AD95,AS$10,"EQY_FUND_CRNCY=USD","FA_ADJUSTED=Y")</f>
        <v>#NAME?</v>
      </c>
      <c r="AT95" s="36" t="e">
        <f ca="1">_xll.BDP($AD95,AT$10,"BEST_FPERIOD_OVERRIDE=1TY","EQY_FUND_CRNCY=USD","FA_ADJUSTED=Y")</f>
        <v>#NAME?</v>
      </c>
      <c r="AV95" s="1" t="s">
        <v>287</v>
      </c>
      <c r="AW95" s="1" t="s">
        <v>495</v>
      </c>
      <c r="AX95" s="36">
        <v>1280.6198999999999</v>
      </c>
      <c r="AY95" s="36">
        <v>1210.6569</v>
      </c>
      <c r="AZ95" s="36">
        <v>233.78399999999999</v>
      </c>
      <c r="BA95" s="36">
        <v>258.85399999999998</v>
      </c>
      <c r="BB95" s="36">
        <v>0.10723573897272698</v>
      </c>
      <c r="BC95" s="114">
        <v>174.50399725341796</v>
      </c>
      <c r="BD95" s="36">
        <v>75.575000000000003</v>
      </c>
      <c r="BE95" s="36">
        <v>40.033999999999999</v>
      </c>
      <c r="BF95" s="36">
        <v>90.905000000000001</v>
      </c>
      <c r="BG95" s="36">
        <v>43.124000000000002</v>
      </c>
      <c r="BH95" s="36">
        <v>9.7840000000000007</v>
      </c>
      <c r="BI95" s="36">
        <v>26.565000000000001</v>
      </c>
      <c r="BJ95" s="36">
        <v>-8.9980586626340013</v>
      </c>
      <c r="BK95" s="36">
        <v>9.8350000000000009</v>
      </c>
      <c r="BL95" s="36">
        <v>118.879</v>
      </c>
    </row>
    <row r="96" spans="1:64" ht="30" customHeight="1" x14ac:dyDescent="0.2">
      <c r="B96" s="54" t="s">
        <v>465</v>
      </c>
      <c r="C96" s="54" t="e">
        <f>VLOOKUP($B96,#REF!,COLUMNS($B96:C96),0)</f>
        <v>#REF!</v>
      </c>
      <c r="AD96" s="2" t="s">
        <v>609</v>
      </c>
      <c r="AE96" s="36" t="e">
        <f ca="1">_xll.BDP($AD96,AE$10)</f>
        <v>#NAME?</v>
      </c>
      <c r="AF96" s="36" t="e">
        <f ca="1">_xll.BDH($AD96,AF$10,$C$5,$C$5,"EQY_FUND_CRNCY=USD")</f>
        <v>#NAME?</v>
      </c>
      <c r="AG96" s="36" t="e">
        <f ca="1">_xll.BDH($AD96,AG$10,$C$5,$C$5,"EQY_FUND_CRNCY=USD")</f>
        <v>#NAME?</v>
      </c>
      <c r="AH96" s="36"/>
      <c r="AI96" s="36" t="e">
        <f ca="1">_xll.BDP($AD96,AI$10,"EQY_FUND_CRNCY=USD","FA_ADJUSTED=Y")</f>
        <v>#NAME?</v>
      </c>
      <c r="AJ96" s="36" t="e">
        <f ca="1">_xll.BDP($AD96,AJ$10,"BEST_FPERIOD_OVERRIDE=1TY","EQY_FUND_CRNCY=USD","FA_ADJUSTED=Y")</f>
        <v>#NAME?</v>
      </c>
      <c r="AK96" s="44" t="e">
        <f t="shared" ca="1" si="18"/>
        <v>#NAME?</v>
      </c>
      <c r="AL96" s="36" t="e">
        <f ca="1">_xll.BDP($AD96,AL$10,"EQY_FUND_CRNCY=USD","FA_ADJUSTED=Y")</f>
        <v>#NAME?</v>
      </c>
      <c r="AM96" s="36" t="e">
        <f ca="1">_xll.BDP($AD96,AM$10,"BEST_FPERIOD_OVERRIDE=1TY","EQY_FUND_CRNCY=USD","FA_ADJUSTED=Y")</f>
        <v>#NAME?</v>
      </c>
      <c r="AN96" s="36" t="e">
        <f ca="1">_xll.BDP($AD96,AN$10,"BEST_FPERIOD_OVERRIDE=1TY","EQY_FUND_CRNCY=USD","FA_ADJUSTED=Y")</f>
        <v>#NAME?</v>
      </c>
      <c r="AO96" s="36" t="e">
        <f ca="1">_xll.BDP($AD96,AO$10,"BEST_FPERIOD_OVERRIDE=1TY","EQY_FUND_CRNCY=USD","FA_ADJUSTED=Y")</f>
        <v>#NAME?</v>
      </c>
      <c r="AP96" s="36" t="e">
        <f ca="1">_xll.BDP($AD96,AP$10,"BEST_FPERIOD_OVERRIDE=1TY","EQY_FUND_CRNCY=USD","FA_ADJUSTED=Y")</f>
        <v>#NAME?</v>
      </c>
      <c r="AQ96" s="36" t="e">
        <f ca="1">_xll.BDP($AD96,AQ$10,"EQY_FUND_CRNCY=USD","FA_ADJUSTED=Y")</f>
        <v>#NAME?</v>
      </c>
      <c r="AR96" s="36" t="e">
        <f ca="1">_xll.BDP($AD96,AR$10,"BEST_FPERIOD_OVERRIDE=1TY","EQY_FUND_CRNCY=USD","FA_ADJUSTED=Y")</f>
        <v>#NAME?</v>
      </c>
      <c r="AS96" s="36" t="e">
        <f ca="1">_xll.BDP($AD96,AS$10,"EQY_FUND_CRNCY=USD","FA_ADJUSTED=Y")</f>
        <v>#NAME?</v>
      </c>
      <c r="AT96" s="36" t="e">
        <f ca="1">_xll.BDP($AD96,AT$10,"BEST_FPERIOD_OVERRIDE=1TY","EQY_FUND_CRNCY=USD","FA_ADJUSTED=Y")</f>
        <v>#NAME?</v>
      </c>
      <c r="AV96" s="1" t="s">
        <v>609</v>
      </c>
      <c r="AW96" s="1" t="s">
        <v>615</v>
      </c>
      <c r="AX96" s="36">
        <v>2413.9250999999999</v>
      </c>
      <c r="AY96" s="36">
        <v>2570.2040999999999</v>
      </c>
      <c r="AZ96" s="36">
        <v>756.01800000000003</v>
      </c>
      <c r="BA96" s="36">
        <v>833.2</v>
      </c>
      <c r="BB96" s="36">
        <v>0.10209016187445275</v>
      </c>
      <c r="BC96" s="114">
        <v>351.15899945068361</v>
      </c>
      <c r="BD96" s="36">
        <v>49.65</v>
      </c>
      <c r="BE96" s="36">
        <v>66.022000000000006</v>
      </c>
      <c r="BF96" s="36" t="s">
        <v>480</v>
      </c>
      <c r="BG96" s="36" t="s">
        <v>480</v>
      </c>
      <c r="BH96" s="36">
        <v>88.09</v>
      </c>
      <c r="BI96" s="36">
        <v>142.917</v>
      </c>
      <c r="BJ96" s="36">
        <v>25.583342077704</v>
      </c>
      <c r="BK96" s="36">
        <v>89.04</v>
      </c>
      <c r="BL96" s="36">
        <v>23.024000000000001</v>
      </c>
    </row>
    <row r="97" spans="2:64" ht="30" customHeight="1" x14ac:dyDescent="0.2">
      <c r="B97" s="62" t="s">
        <v>470</v>
      </c>
      <c r="C97" s="54" t="e">
        <f>VLOOKUP($B97,#REF!,COLUMNS($B97:C97),0)</f>
        <v>#REF!</v>
      </c>
      <c r="AD97" s="2" t="s">
        <v>610</v>
      </c>
      <c r="AE97" s="36" t="e">
        <f ca="1">_xll.BDP($AD97,AE$10)</f>
        <v>#NAME?</v>
      </c>
      <c r="AF97" s="36" t="e">
        <f ca="1">_xll.BDH($AD97,AF$10,$C$5,$C$5,"EQY_FUND_CRNCY=USD")</f>
        <v>#NAME?</v>
      </c>
      <c r="AG97" s="36" t="e">
        <f ca="1">_xll.BDH($AD97,AG$10,$C$5,$C$5,"EQY_FUND_CRNCY=USD")</f>
        <v>#NAME?</v>
      </c>
      <c r="AH97" s="36"/>
      <c r="AI97" s="36" t="e">
        <f ca="1">_xll.BDP($AD97,AI$10,"EQY_FUND_CRNCY=USD","FA_ADJUSTED=Y")</f>
        <v>#NAME?</v>
      </c>
      <c r="AJ97" s="36" t="e">
        <f ca="1">_xll.BDP($AD97,AJ$10,"BEST_FPERIOD_OVERRIDE=1TY","EQY_FUND_CRNCY=USD","FA_ADJUSTED=Y")</f>
        <v>#NAME?</v>
      </c>
      <c r="AK97" s="44" t="e">
        <f t="shared" ca="1" si="18"/>
        <v>#NAME?</v>
      </c>
      <c r="AL97" s="36" t="e">
        <f ca="1">_xll.BDP($AD97,AL$10,"EQY_FUND_CRNCY=USD","FA_ADJUSTED=Y")</f>
        <v>#NAME?</v>
      </c>
      <c r="AM97" s="36" t="e">
        <f ca="1">_xll.BDP($AD97,AM$10,"BEST_FPERIOD_OVERRIDE=1TY","EQY_FUND_CRNCY=USD","FA_ADJUSTED=Y")</f>
        <v>#NAME?</v>
      </c>
      <c r="AN97" s="36" t="e">
        <f ca="1">_xll.BDP($AD97,AN$10,"BEST_FPERIOD_OVERRIDE=1TY","EQY_FUND_CRNCY=USD","FA_ADJUSTED=Y")</f>
        <v>#NAME?</v>
      </c>
      <c r="AO97" s="36" t="e">
        <f ca="1">_xll.BDP($AD97,AO$10,"BEST_FPERIOD_OVERRIDE=1TY","EQY_FUND_CRNCY=USD","FA_ADJUSTED=Y")</f>
        <v>#NAME?</v>
      </c>
      <c r="AP97" s="36" t="e">
        <f ca="1">_xll.BDP($AD97,AP$10,"BEST_FPERIOD_OVERRIDE=1TY","EQY_FUND_CRNCY=USD","FA_ADJUSTED=Y")</f>
        <v>#NAME?</v>
      </c>
      <c r="AQ97" s="36" t="e">
        <f ca="1">_xll.BDP($AD97,AQ$10,"EQY_FUND_CRNCY=USD","FA_ADJUSTED=Y")</f>
        <v>#NAME?</v>
      </c>
      <c r="AR97" s="36" t="e">
        <f ca="1">_xll.BDP($AD97,AR$10,"BEST_FPERIOD_OVERRIDE=1TY","EQY_FUND_CRNCY=USD","FA_ADJUSTED=Y")</f>
        <v>#NAME?</v>
      </c>
      <c r="AS97" s="36" t="e">
        <f ca="1">_xll.BDP($AD97,AS$10,"EQY_FUND_CRNCY=USD","FA_ADJUSTED=Y")</f>
        <v>#NAME?</v>
      </c>
      <c r="AT97" s="36" t="e">
        <f ca="1">_xll.BDP($AD97,AT$10,"BEST_FPERIOD_OVERRIDE=1TY","EQY_FUND_CRNCY=USD","FA_ADJUSTED=Y")</f>
        <v>#NAME?</v>
      </c>
      <c r="AV97" s="1" t="s">
        <v>610</v>
      </c>
      <c r="AW97" s="1" t="s">
        <v>615</v>
      </c>
      <c r="AX97" s="36">
        <v>4827.2302</v>
      </c>
      <c r="AY97" s="36">
        <v>4868.8302000000003</v>
      </c>
      <c r="AZ97" s="36">
        <v>1286.5</v>
      </c>
      <c r="BA97" s="36">
        <v>1414.836</v>
      </c>
      <c r="BB97" s="36">
        <v>9.9755926933540628E-2</v>
      </c>
      <c r="BC97" s="114">
        <v>696.89999084472652</v>
      </c>
      <c r="BD97" s="36">
        <v>55.551000000000002</v>
      </c>
      <c r="BE97" s="36">
        <v>173.6</v>
      </c>
      <c r="BF97" s="36">
        <v>252.2</v>
      </c>
      <c r="BG97" s="36">
        <v>145.4</v>
      </c>
      <c r="BH97" s="36">
        <v>325.79999999999995</v>
      </c>
      <c r="BI97" s="36">
        <v>390.36400000000003</v>
      </c>
      <c r="BJ97" s="36">
        <v>132.49198895886499</v>
      </c>
      <c r="BK97" s="36">
        <v>179.67600000000002</v>
      </c>
      <c r="BL97" s="36">
        <v>76.643000000000001</v>
      </c>
    </row>
    <row r="98" spans="2:64" ht="30" customHeight="1" x14ac:dyDescent="0.2">
      <c r="B98" s="62" t="s">
        <v>471</v>
      </c>
      <c r="C98" s="54" t="e">
        <f>VLOOKUP($B98,#REF!,COLUMNS($B98:C98),0)</f>
        <v>#REF!</v>
      </c>
      <c r="AD98" s="2" t="s">
        <v>611</v>
      </c>
      <c r="AE98" s="36" t="e">
        <f ca="1">_xll.BDP($AD98,AE$10)</f>
        <v>#NAME?</v>
      </c>
      <c r="AF98" s="36" t="e">
        <f ca="1">_xll.BDH($AD98,AF$10,$C$5,$C$5,"EQY_FUND_CRNCY=USD")</f>
        <v>#NAME?</v>
      </c>
      <c r="AG98" s="36" t="e">
        <f ca="1">_xll.BDH($AD98,AG$10,$C$5,$C$5,"EQY_FUND_CRNCY=USD")</f>
        <v>#NAME?</v>
      </c>
      <c r="AH98" s="36"/>
      <c r="AI98" s="36" t="e">
        <f ca="1">_xll.BDP($AD98,AI$10,"EQY_FUND_CRNCY=USD","FA_ADJUSTED=Y")</f>
        <v>#NAME?</v>
      </c>
      <c r="AJ98" s="36" t="e">
        <f ca="1">_xll.BDP($AD98,AJ$10,"BEST_FPERIOD_OVERRIDE=1TY","EQY_FUND_CRNCY=USD","FA_ADJUSTED=Y")</f>
        <v>#NAME?</v>
      </c>
      <c r="AK98" s="44" t="e">
        <f t="shared" ca="1" si="18"/>
        <v>#NAME?</v>
      </c>
      <c r="AL98" s="36" t="e">
        <f ca="1">_xll.BDP($AD98,AL$10,"EQY_FUND_CRNCY=USD","FA_ADJUSTED=Y")</f>
        <v>#NAME?</v>
      </c>
      <c r="AM98" s="36" t="e">
        <f ca="1">_xll.BDP($AD98,AM$10,"BEST_FPERIOD_OVERRIDE=1TY","EQY_FUND_CRNCY=USD","FA_ADJUSTED=Y")</f>
        <v>#NAME?</v>
      </c>
      <c r="AN98" s="36" t="e">
        <f ca="1">_xll.BDP($AD98,AN$10,"BEST_FPERIOD_OVERRIDE=1TY","EQY_FUND_CRNCY=USD","FA_ADJUSTED=Y")</f>
        <v>#NAME?</v>
      </c>
      <c r="AO98" s="36" t="e">
        <f ca="1">_xll.BDP($AD98,AO$10,"BEST_FPERIOD_OVERRIDE=1TY","EQY_FUND_CRNCY=USD","FA_ADJUSTED=Y")</f>
        <v>#NAME?</v>
      </c>
      <c r="AP98" s="36" t="e">
        <f ca="1">_xll.BDP($AD98,AP$10,"BEST_FPERIOD_OVERRIDE=1TY","EQY_FUND_CRNCY=USD","FA_ADJUSTED=Y")</f>
        <v>#NAME?</v>
      </c>
      <c r="AQ98" s="36" t="e">
        <f ca="1">_xll.BDP($AD98,AQ$10,"EQY_FUND_CRNCY=USD","FA_ADJUSTED=Y")</f>
        <v>#NAME?</v>
      </c>
      <c r="AR98" s="36" t="e">
        <f ca="1">_xll.BDP($AD98,AR$10,"BEST_FPERIOD_OVERRIDE=1TY","EQY_FUND_CRNCY=USD","FA_ADJUSTED=Y")</f>
        <v>#NAME?</v>
      </c>
      <c r="AS98" s="36" t="e">
        <f ca="1">_xll.BDP($AD98,AS$10,"EQY_FUND_CRNCY=USD","FA_ADJUSTED=Y")</f>
        <v>#NAME?</v>
      </c>
      <c r="AT98" s="36" t="e">
        <f ca="1">_xll.BDP($AD98,AT$10,"BEST_FPERIOD_OVERRIDE=1TY","EQY_FUND_CRNCY=USD","FA_ADJUSTED=Y")</f>
        <v>#NAME?</v>
      </c>
      <c r="AV98" s="1" t="s">
        <v>611</v>
      </c>
      <c r="AW98" s="1" t="s">
        <v>617</v>
      </c>
      <c r="AX98" s="36">
        <v>3645.0715</v>
      </c>
      <c r="AY98" s="36">
        <v>3484.2853</v>
      </c>
      <c r="AZ98" s="36">
        <v>106.27463551615409</v>
      </c>
      <c r="BA98" s="36">
        <v>116.741</v>
      </c>
      <c r="BB98" s="36">
        <v>9.8484124956184749E-2</v>
      </c>
      <c r="BC98" s="114">
        <v>81.477672212029802</v>
      </c>
      <c r="BD98" s="36">
        <v>73.2</v>
      </c>
      <c r="BE98" s="36" t="s">
        <v>480</v>
      </c>
      <c r="BF98" s="36">
        <v>29.383652730074935</v>
      </c>
      <c r="BG98" s="36">
        <v>8.5565256221919981</v>
      </c>
      <c r="BH98" s="36">
        <v>46.149536384401458</v>
      </c>
      <c r="BI98" s="36">
        <v>53.006</v>
      </c>
      <c r="BJ98" s="36">
        <v>37.745532686694702</v>
      </c>
      <c r="BK98" s="36">
        <v>39.980000000000004</v>
      </c>
      <c r="BL98" s="36">
        <v>-59.25</v>
      </c>
    </row>
    <row r="99" spans="2:64" ht="30" customHeight="1" x14ac:dyDescent="0.2">
      <c r="B99" s="62" t="s">
        <v>473</v>
      </c>
      <c r="C99" s="54" t="e">
        <f>VLOOKUP($B99,#REF!,COLUMNS($B99:C99),0)</f>
        <v>#REF!</v>
      </c>
      <c r="AD99" s="2" t="s">
        <v>105</v>
      </c>
      <c r="AE99" s="36" t="e">
        <f ca="1">_xll.BDP($AD99,AE$10)</f>
        <v>#NAME?</v>
      </c>
      <c r="AF99" s="36" t="e">
        <f ca="1">_xll.BDH($AD99,AF$10,$C$5,$C$5,"EQY_FUND_CRNCY=USD")</f>
        <v>#NAME?</v>
      </c>
      <c r="AG99" s="36" t="e">
        <f ca="1">_xll.BDH($AD99,AG$10,$C$5,$C$5,"EQY_FUND_CRNCY=USD")</f>
        <v>#NAME?</v>
      </c>
      <c r="AH99" s="36"/>
      <c r="AI99" s="36" t="e">
        <f ca="1">_xll.BDP($AD99,AI$10,"EQY_FUND_CRNCY=USD","FA_ADJUSTED=Y")</f>
        <v>#NAME?</v>
      </c>
      <c r="AJ99" s="36" t="e">
        <f ca="1">_xll.BDP($AD99,AJ$10,"BEST_FPERIOD_OVERRIDE=1TY","EQY_FUND_CRNCY=USD","FA_ADJUSTED=Y")</f>
        <v>#NAME?</v>
      </c>
      <c r="AK99" s="44" t="e">
        <f t="shared" ca="1" si="18"/>
        <v>#NAME?</v>
      </c>
      <c r="AL99" s="36" t="e">
        <f ca="1">_xll.BDP($AD99,AL$10,"EQY_FUND_CRNCY=USD","FA_ADJUSTED=Y")</f>
        <v>#NAME?</v>
      </c>
      <c r="AM99" s="36" t="e">
        <f ca="1">_xll.BDP($AD99,AM$10,"BEST_FPERIOD_OVERRIDE=1TY","EQY_FUND_CRNCY=USD","FA_ADJUSTED=Y")</f>
        <v>#NAME?</v>
      </c>
      <c r="AN99" s="36" t="e">
        <f ca="1">_xll.BDP($AD99,AN$10,"BEST_FPERIOD_OVERRIDE=1TY","EQY_FUND_CRNCY=USD","FA_ADJUSTED=Y")</f>
        <v>#NAME?</v>
      </c>
      <c r="AO99" s="36" t="e">
        <f ca="1">_xll.BDP($AD99,AO$10,"BEST_FPERIOD_OVERRIDE=1TY","EQY_FUND_CRNCY=USD","FA_ADJUSTED=Y")</f>
        <v>#NAME?</v>
      </c>
      <c r="AP99" s="36" t="e">
        <f ca="1">_xll.BDP($AD99,AP$10,"BEST_FPERIOD_OVERRIDE=1TY","EQY_FUND_CRNCY=USD","FA_ADJUSTED=Y")</f>
        <v>#NAME?</v>
      </c>
      <c r="AQ99" s="36" t="e">
        <f ca="1">_xll.BDP($AD99,AQ$10,"EQY_FUND_CRNCY=USD","FA_ADJUSTED=Y")</f>
        <v>#NAME?</v>
      </c>
      <c r="AR99" s="36" t="e">
        <f ca="1">_xll.BDP($AD99,AR$10,"BEST_FPERIOD_OVERRIDE=1TY","EQY_FUND_CRNCY=USD","FA_ADJUSTED=Y")</f>
        <v>#NAME?</v>
      </c>
      <c r="AS99" s="36" t="e">
        <f ca="1">_xll.BDP($AD99,AS$10,"EQY_FUND_CRNCY=USD","FA_ADJUSTED=Y")</f>
        <v>#NAME?</v>
      </c>
      <c r="AT99" s="36" t="e">
        <f ca="1">_xll.BDP($AD99,AT$10,"BEST_FPERIOD_OVERRIDE=1TY","EQY_FUND_CRNCY=USD","FA_ADJUSTED=Y")</f>
        <v>#NAME?</v>
      </c>
      <c r="AV99" s="1" t="s">
        <v>105</v>
      </c>
      <c r="AW99" s="1" t="s">
        <v>495</v>
      </c>
      <c r="AX99" s="36">
        <v>6746.2204000000002</v>
      </c>
      <c r="AY99" s="36">
        <v>6820.0554000000002</v>
      </c>
      <c r="AZ99" s="36">
        <v>499.51400000000001</v>
      </c>
      <c r="BA99" s="36">
        <v>548.56299999999999</v>
      </c>
      <c r="BB99" s="36">
        <v>9.8193444027594667E-2</v>
      </c>
      <c r="BC99" s="114">
        <v>448.87000836181642</v>
      </c>
      <c r="BD99" s="36">
        <v>89.632999999999996</v>
      </c>
      <c r="BE99" s="36">
        <v>82.075999999999993</v>
      </c>
      <c r="BF99" s="36">
        <v>101.077</v>
      </c>
      <c r="BG99" s="36">
        <v>56.076000000000001</v>
      </c>
      <c r="BH99" s="36">
        <v>218.595</v>
      </c>
      <c r="BI99" s="36">
        <v>277.47500000000002</v>
      </c>
      <c r="BJ99" s="36">
        <v>150.27254635458399</v>
      </c>
      <c r="BK99" s="36">
        <v>222.1</v>
      </c>
      <c r="BL99" s="36">
        <v>94.12</v>
      </c>
    </row>
    <row r="100" spans="2:64" ht="30" customHeight="1" x14ac:dyDescent="0.2">
      <c r="B100" s="62" t="s">
        <v>478</v>
      </c>
      <c r="C100" s="54" t="e">
        <f>VLOOKUP($B100,#REF!,COLUMNS($B100:C100),0)</f>
        <v>#REF!</v>
      </c>
      <c r="AD100" s="2" t="s">
        <v>69</v>
      </c>
      <c r="AE100" s="36" t="e">
        <f ca="1">_xll.BDP($AD100,AE$10)</f>
        <v>#NAME?</v>
      </c>
      <c r="AF100" s="36" t="e">
        <f ca="1">_xll.BDH($AD100,AF$10,$C$5,$C$5,"EQY_FUND_CRNCY=USD")</f>
        <v>#NAME?</v>
      </c>
      <c r="AG100" s="36" t="e">
        <f ca="1">_xll.BDH($AD100,AG$10,$C$5,$C$5,"EQY_FUND_CRNCY=USD")</f>
        <v>#NAME?</v>
      </c>
      <c r="AH100" s="36"/>
      <c r="AI100" s="36" t="e">
        <f ca="1">_xll.BDP($AD100,AI$10,"EQY_FUND_CRNCY=USD","FA_ADJUSTED=Y")</f>
        <v>#NAME?</v>
      </c>
      <c r="AJ100" s="36" t="e">
        <f ca="1">_xll.BDP($AD100,AJ$10,"BEST_FPERIOD_OVERRIDE=1TY","EQY_FUND_CRNCY=USD","FA_ADJUSTED=Y")</f>
        <v>#NAME?</v>
      </c>
      <c r="AK100" s="44" t="e">
        <f t="shared" ca="1" si="18"/>
        <v>#NAME?</v>
      </c>
      <c r="AL100" s="36" t="e">
        <f ca="1">_xll.BDP($AD100,AL$10,"EQY_FUND_CRNCY=USD","FA_ADJUSTED=Y")</f>
        <v>#NAME?</v>
      </c>
      <c r="AM100" s="36" t="e">
        <f ca="1">_xll.BDP($AD100,AM$10,"BEST_FPERIOD_OVERRIDE=1TY","EQY_FUND_CRNCY=USD","FA_ADJUSTED=Y")</f>
        <v>#NAME?</v>
      </c>
      <c r="AN100" s="36" t="e">
        <f ca="1">_xll.BDP($AD100,AN$10,"BEST_FPERIOD_OVERRIDE=1TY","EQY_FUND_CRNCY=USD","FA_ADJUSTED=Y")</f>
        <v>#NAME?</v>
      </c>
      <c r="AO100" s="36" t="e">
        <f ca="1">_xll.BDP($AD100,AO$10,"BEST_FPERIOD_OVERRIDE=1TY","EQY_FUND_CRNCY=USD","FA_ADJUSTED=Y")</f>
        <v>#NAME?</v>
      </c>
      <c r="AP100" s="36" t="e">
        <f ca="1">_xll.BDP($AD100,AP$10,"BEST_FPERIOD_OVERRIDE=1TY","EQY_FUND_CRNCY=USD","FA_ADJUSTED=Y")</f>
        <v>#NAME?</v>
      </c>
      <c r="AQ100" s="36" t="e">
        <f ca="1">_xll.BDP($AD100,AQ$10,"EQY_FUND_CRNCY=USD","FA_ADJUSTED=Y")</f>
        <v>#NAME?</v>
      </c>
      <c r="AR100" s="36" t="e">
        <f ca="1">_xll.BDP($AD100,AR$10,"BEST_FPERIOD_OVERRIDE=1TY","EQY_FUND_CRNCY=USD","FA_ADJUSTED=Y")</f>
        <v>#NAME?</v>
      </c>
      <c r="AS100" s="36" t="e">
        <f ca="1">_xll.BDP($AD100,AS$10,"EQY_FUND_CRNCY=USD","FA_ADJUSTED=Y")</f>
        <v>#NAME?</v>
      </c>
      <c r="AT100" s="36" t="e">
        <f ca="1">_xll.BDP($AD100,AT$10,"BEST_FPERIOD_OVERRIDE=1TY","EQY_FUND_CRNCY=USD","FA_ADJUSTED=Y")</f>
        <v>#NAME?</v>
      </c>
      <c r="AV100" s="1" t="s">
        <v>69</v>
      </c>
      <c r="AW100" s="1" t="s">
        <v>495</v>
      </c>
      <c r="AX100" s="36">
        <v>12302.423199999999</v>
      </c>
      <c r="AY100" s="36">
        <v>11606.260200000001</v>
      </c>
      <c r="AZ100" s="36">
        <v>1172.3630000000001</v>
      </c>
      <c r="BA100" s="36">
        <v>1282.5710000000001</v>
      </c>
      <c r="BB100" s="36">
        <v>9.4005013805451121E-2</v>
      </c>
      <c r="BC100" s="114">
        <v>1016.0799910888672</v>
      </c>
      <c r="BD100" s="36">
        <v>89.063000000000002</v>
      </c>
      <c r="BE100" s="36">
        <v>202.74599999999998</v>
      </c>
      <c r="BF100" s="36" t="s">
        <v>480</v>
      </c>
      <c r="BG100" s="36" t="s">
        <v>480</v>
      </c>
      <c r="BH100" s="36">
        <v>497.34900000000005</v>
      </c>
      <c r="BI100" s="36">
        <v>591.66700000000003</v>
      </c>
      <c r="BJ100" s="36">
        <v>334.11229267563596</v>
      </c>
      <c r="BK100" s="36">
        <v>429.33500000000004</v>
      </c>
      <c r="BL100" s="36">
        <v>67.052999999999997</v>
      </c>
    </row>
    <row r="101" spans="2:64" ht="30" customHeight="1" x14ac:dyDescent="0.2">
      <c r="B101" s="88" t="s">
        <v>482</v>
      </c>
      <c r="C101" s="89" t="e">
        <f>VLOOKUP($B101,#REF!,COLUMNS($B101:C101),0)</f>
        <v>#REF!</v>
      </c>
      <c r="AD101" s="2" t="s">
        <v>147</v>
      </c>
      <c r="AE101" s="36" t="e">
        <f ca="1">_xll.BDP($AD101,AE$10)</f>
        <v>#NAME?</v>
      </c>
      <c r="AF101" s="36" t="e">
        <f ca="1">_xll.BDH($AD101,AF$10,$C$5,$C$5,"EQY_FUND_CRNCY=USD")</f>
        <v>#NAME?</v>
      </c>
      <c r="AG101" s="36" t="e">
        <f ca="1">_xll.BDH($AD101,AG$10,$C$5,$C$5,"EQY_FUND_CRNCY=USD")</f>
        <v>#NAME?</v>
      </c>
      <c r="AH101" s="36"/>
      <c r="AI101" s="36" t="e">
        <f ca="1">_xll.BDP($AD101,AI$10,"EQY_FUND_CRNCY=USD","FA_ADJUSTED=Y")</f>
        <v>#NAME?</v>
      </c>
      <c r="AJ101" s="36" t="e">
        <f ca="1">_xll.BDP($AD101,AJ$10,"BEST_FPERIOD_OVERRIDE=1TY","EQY_FUND_CRNCY=USD","FA_ADJUSTED=Y")</f>
        <v>#NAME?</v>
      </c>
      <c r="AK101" s="44" t="e">
        <f t="shared" ca="1" si="18"/>
        <v>#NAME?</v>
      </c>
      <c r="AL101" s="36" t="e">
        <f ca="1">_xll.BDP($AD101,AL$10,"EQY_FUND_CRNCY=USD","FA_ADJUSTED=Y")</f>
        <v>#NAME?</v>
      </c>
      <c r="AM101" s="36" t="e">
        <f ca="1">_xll.BDP($AD101,AM$10,"BEST_FPERIOD_OVERRIDE=1TY","EQY_FUND_CRNCY=USD","FA_ADJUSTED=Y")</f>
        <v>#NAME?</v>
      </c>
      <c r="AN101" s="36" t="e">
        <f ca="1">_xll.BDP($AD101,AN$10,"BEST_FPERIOD_OVERRIDE=1TY","EQY_FUND_CRNCY=USD","FA_ADJUSTED=Y")</f>
        <v>#NAME?</v>
      </c>
      <c r="AO101" s="36" t="e">
        <f ca="1">_xll.BDP($AD101,AO$10,"BEST_FPERIOD_OVERRIDE=1TY","EQY_FUND_CRNCY=USD","FA_ADJUSTED=Y")</f>
        <v>#NAME?</v>
      </c>
      <c r="AP101" s="36" t="e">
        <f ca="1">_xll.BDP($AD101,AP$10,"BEST_FPERIOD_OVERRIDE=1TY","EQY_FUND_CRNCY=USD","FA_ADJUSTED=Y")</f>
        <v>#NAME?</v>
      </c>
      <c r="AQ101" s="36" t="e">
        <f ca="1">_xll.BDP($AD101,AQ$10,"EQY_FUND_CRNCY=USD","FA_ADJUSTED=Y")</f>
        <v>#NAME?</v>
      </c>
      <c r="AR101" s="36" t="e">
        <f ca="1">_xll.BDP($AD101,AR$10,"BEST_FPERIOD_OVERRIDE=1TY","EQY_FUND_CRNCY=USD","FA_ADJUSTED=Y")</f>
        <v>#NAME?</v>
      </c>
      <c r="AS101" s="36" t="e">
        <f ca="1">_xll.BDP($AD101,AS$10,"EQY_FUND_CRNCY=USD","FA_ADJUSTED=Y")</f>
        <v>#NAME?</v>
      </c>
      <c r="AT101" s="36" t="e">
        <f ca="1">_xll.BDP($AD101,AT$10,"BEST_FPERIOD_OVERRIDE=1TY","EQY_FUND_CRNCY=USD","FA_ADJUSTED=Y")</f>
        <v>#NAME?</v>
      </c>
      <c r="AV101" s="1" t="s">
        <v>147</v>
      </c>
      <c r="AW101" s="1" t="s">
        <v>495</v>
      </c>
      <c r="AX101" s="36">
        <v>4075.4052000000001</v>
      </c>
      <c r="AY101" s="36">
        <v>3831.8222000000001</v>
      </c>
      <c r="AZ101" s="36">
        <v>851.31600000000003</v>
      </c>
      <c r="BA101" s="36">
        <v>927.80000000000007</v>
      </c>
      <c r="BB101" s="36">
        <v>8.9842079791757845E-2</v>
      </c>
      <c r="BC101" s="114">
        <v>558.17699633789061</v>
      </c>
      <c r="BD101" s="36">
        <v>64.025000000000006</v>
      </c>
      <c r="BE101" s="36">
        <v>162.886</v>
      </c>
      <c r="BF101" s="36">
        <v>307.20999999999998</v>
      </c>
      <c r="BG101" s="36">
        <v>52.152999999999999</v>
      </c>
      <c r="BH101" s="36">
        <v>16.656999999999996</v>
      </c>
      <c r="BI101" s="36">
        <v>104.4</v>
      </c>
      <c r="BJ101" s="36">
        <v>16.697999999999997</v>
      </c>
      <c r="BK101" s="36">
        <v>69.878</v>
      </c>
      <c r="BL101" s="36">
        <v>108.74000000000001</v>
      </c>
    </row>
    <row r="102" spans="2:64" ht="30" customHeight="1" x14ac:dyDescent="0.2">
      <c r="B102" s="87"/>
      <c r="C102" s="87"/>
      <c r="AD102" s="2" t="s">
        <v>271</v>
      </c>
      <c r="AE102" s="36" t="e">
        <f ca="1">_xll.BDP($AD102,AE$10)</f>
        <v>#NAME?</v>
      </c>
      <c r="AF102" s="36" t="e">
        <f ca="1">_xll.BDH($AD102,AF$10,$C$5,$C$5,"EQY_FUND_CRNCY=USD")</f>
        <v>#NAME?</v>
      </c>
      <c r="AG102" s="36" t="e">
        <f ca="1">_xll.BDH($AD102,AG$10,$C$5,$C$5,"EQY_FUND_CRNCY=USD")</f>
        <v>#NAME?</v>
      </c>
      <c r="AH102" s="36"/>
      <c r="AI102" s="36" t="e">
        <f ca="1">_xll.BDP($AD102,AI$10,"EQY_FUND_CRNCY=USD","FA_ADJUSTED=Y")</f>
        <v>#NAME?</v>
      </c>
      <c r="AJ102" s="36" t="e">
        <f ca="1">_xll.BDP($AD102,AJ$10,"BEST_FPERIOD_OVERRIDE=1TY","EQY_FUND_CRNCY=USD","FA_ADJUSTED=Y")</f>
        <v>#NAME?</v>
      </c>
      <c r="AK102" s="44" t="e">
        <f t="shared" ca="1" si="18"/>
        <v>#NAME?</v>
      </c>
      <c r="AL102" s="36" t="e">
        <f ca="1">_xll.BDP($AD102,AL$10,"EQY_FUND_CRNCY=USD","FA_ADJUSTED=Y")</f>
        <v>#NAME?</v>
      </c>
      <c r="AM102" s="36" t="e">
        <f ca="1">_xll.BDP($AD102,AM$10,"BEST_FPERIOD_OVERRIDE=1TY","EQY_FUND_CRNCY=USD","FA_ADJUSTED=Y")</f>
        <v>#NAME?</v>
      </c>
      <c r="AN102" s="36" t="e">
        <f ca="1">_xll.BDP($AD102,AN$10,"BEST_FPERIOD_OVERRIDE=1TY","EQY_FUND_CRNCY=USD","FA_ADJUSTED=Y")</f>
        <v>#NAME?</v>
      </c>
      <c r="AO102" s="36" t="e">
        <f ca="1">_xll.BDP($AD102,AO$10,"BEST_FPERIOD_OVERRIDE=1TY","EQY_FUND_CRNCY=USD","FA_ADJUSTED=Y")</f>
        <v>#NAME?</v>
      </c>
      <c r="AP102" s="36" t="e">
        <f ca="1">_xll.BDP($AD102,AP$10,"BEST_FPERIOD_OVERRIDE=1TY","EQY_FUND_CRNCY=USD","FA_ADJUSTED=Y")</f>
        <v>#NAME?</v>
      </c>
      <c r="AQ102" s="36" t="e">
        <f ca="1">_xll.BDP($AD102,AQ$10,"EQY_FUND_CRNCY=USD","FA_ADJUSTED=Y")</f>
        <v>#NAME?</v>
      </c>
      <c r="AR102" s="36" t="e">
        <f ca="1">_xll.BDP($AD102,AR$10,"BEST_FPERIOD_OVERRIDE=1TY","EQY_FUND_CRNCY=USD","FA_ADJUSTED=Y")</f>
        <v>#NAME?</v>
      </c>
      <c r="AS102" s="36" t="e">
        <f ca="1">_xll.BDP($AD102,AS$10,"EQY_FUND_CRNCY=USD","FA_ADJUSTED=Y")</f>
        <v>#NAME?</v>
      </c>
      <c r="AT102" s="36" t="e">
        <f ca="1">_xll.BDP($AD102,AT$10,"BEST_FPERIOD_OVERRIDE=1TY","EQY_FUND_CRNCY=USD","FA_ADJUSTED=Y")</f>
        <v>#NAME?</v>
      </c>
      <c r="AV102" s="1" t="s">
        <v>271</v>
      </c>
      <c r="AW102" s="1" t="s">
        <v>495</v>
      </c>
      <c r="AX102" s="36">
        <v>1477.598</v>
      </c>
      <c r="AY102" s="36">
        <v>1299.9390000000001</v>
      </c>
      <c r="AZ102" s="36">
        <v>234.53299999999999</v>
      </c>
      <c r="BA102" s="36">
        <v>255.227</v>
      </c>
      <c r="BB102" s="36">
        <v>8.8234917900679388E-2</v>
      </c>
      <c r="BC102" s="114">
        <v>156.26900183105468</v>
      </c>
      <c r="BD102" s="36">
        <v>66.875</v>
      </c>
      <c r="BE102" s="36">
        <v>23.183</v>
      </c>
      <c r="BF102" s="36">
        <v>73.295000000000002</v>
      </c>
      <c r="BG102" s="36">
        <v>37.460999999999999</v>
      </c>
      <c r="BH102" s="36">
        <v>24.942</v>
      </c>
      <c r="BI102" s="36">
        <v>52.480000000000004</v>
      </c>
      <c r="BJ102" s="36">
        <v>10.046000000000001</v>
      </c>
      <c r="BK102" s="36">
        <v>29.999000000000002</v>
      </c>
      <c r="BL102" s="36">
        <v>213.55</v>
      </c>
    </row>
    <row r="103" spans="2:64" ht="30" customHeight="1" x14ac:dyDescent="0.2">
      <c r="B103" s="45" t="s">
        <v>496</v>
      </c>
      <c r="C103" s="45"/>
      <c r="AD103" s="2" t="s">
        <v>612</v>
      </c>
      <c r="AE103" s="36" t="e">
        <f ca="1">_xll.BDP($AD103,AE$10)</f>
        <v>#NAME?</v>
      </c>
      <c r="AF103" s="36" t="e">
        <f ca="1">_xll.BDH($AD103,AF$10,$C$5,$C$5,"EQY_FUND_CRNCY=USD")</f>
        <v>#NAME?</v>
      </c>
      <c r="AG103" s="36" t="e">
        <f ca="1">_xll.BDH($AD103,AG$10,$C$5,$C$5,"EQY_FUND_CRNCY=USD")</f>
        <v>#NAME?</v>
      </c>
      <c r="AH103" s="36"/>
      <c r="AI103" s="36" t="e">
        <f ca="1">_xll.BDP($AD103,AI$10,"EQY_FUND_CRNCY=USD","FA_ADJUSTED=Y")</f>
        <v>#NAME?</v>
      </c>
      <c r="AJ103" s="36" t="e">
        <f ca="1">_xll.BDP($AD103,AJ$10,"BEST_FPERIOD_OVERRIDE=1TY","EQY_FUND_CRNCY=USD","FA_ADJUSTED=Y")</f>
        <v>#NAME?</v>
      </c>
      <c r="AK103" s="44" t="e">
        <f t="shared" ca="1" si="18"/>
        <v>#NAME?</v>
      </c>
      <c r="AL103" s="36" t="e">
        <f ca="1">_xll.BDP($AD103,AL$10,"EQY_FUND_CRNCY=USD","FA_ADJUSTED=Y")</f>
        <v>#NAME?</v>
      </c>
      <c r="AM103" s="36" t="e">
        <f ca="1">_xll.BDP($AD103,AM$10,"BEST_FPERIOD_OVERRIDE=1TY","EQY_FUND_CRNCY=USD","FA_ADJUSTED=Y")</f>
        <v>#NAME?</v>
      </c>
      <c r="AN103" s="36" t="e">
        <f ca="1">_xll.BDP($AD103,AN$10,"BEST_FPERIOD_OVERRIDE=1TY","EQY_FUND_CRNCY=USD","FA_ADJUSTED=Y")</f>
        <v>#NAME?</v>
      </c>
      <c r="AO103" s="36" t="e">
        <f ca="1">_xll.BDP($AD103,AO$10,"BEST_FPERIOD_OVERRIDE=1TY","EQY_FUND_CRNCY=USD","FA_ADJUSTED=Y")</f>
        <v>#NAME?</v>
      </c>
      <c r="AP103" s="36" t="e">
        <f ca="1">_xll.BDP($AD103,AP$10,"BEST_FPERIOD_OVERRIDE=1TY","EQY_FUND_CRNCY=USD","FA_ADJUSTED=Y")</f>
        <v>#NAME?</v>
      </c>
      <c r="AQ103" s="36" t="e">
        <f ca="1">_xll.BDP($AD103,AQ$10,"EQY_FUND_CRNCY=USD","FA_ADJUSTED=Y")</f>
        <v>#NAME?</v>
      </c>
      <c r="AR103" s="36" t="e">
        <f ca="1">_xll.BDP($AD103,AR$10,"BEST_FPERIOD_OVERRIDE=1TY","EQY_FUND_CRNCY=USD","FA_ADJUSTED=Y")</f>
        <v>#NAME?</v>
      </c>
      <c r="AS103" s="36" t="e">
        <f ca="1">_xll.BDP($AD103,AS$10,"EQY_FUND_CRNCY=USD","FA_ADJUSTED=Y")</f>
        <v>#NAME?</v>
      </c>
      <c r="AT103" s="36" t="e">
        <f ca="1">_xll.BDP($AD103,AT$10,"BEST_FPERIOD_OVERRIDE=1TY","EQY_FUND_CRNCY=USD","FA_ADJUSTED=Y")</f>
        <v>#NAME?</v>
      </c>
      <c r="AV103" s="1" t="s">
        <v>612</v>
      </c>
      <c r="AW103" s="1" t="s">
        <v>495</v>
      </c>
      <c r="AX103" s="36">
        <v>1006.0846</v>
      </c>
      <c r="AY103" s="36">
        <v>988.6848</v>
      </c>
      <c r="AZ103" s="36">
        <v>158.81090657152305</v>
      </c>
      <c r="BA103" s="36">
        <v>172.51400000000001</v>
      </c>
      <c r="BB103" s="36">
        <v>8.6285594133961752E-2</v>
      </c>
      <c r="BC103" s="114">
        <v>122.86743957034734</v>
      </c>
      <c r="BD103" s="36">
        <v>75.84</v>
      </c>
      <c r="BE103" s="36">
        <v>15.0808138126222</v>
      </c>
      <c r="BF103" s="36" t="s">
        <v>480</v>
      </c>
      <c r="BG103" s="36" t="s">
        <v>480</v>
      </c>
      <c r="BH103" s="36">
        <v>34.725540664341814</v>
      </c>
      <c r="BI103" s="36">
        <v>38.368000000000002</v>
      </c>
      <c r="BJ103" s="36">
        <v>16.478658119925523</v>
      </c>
      <c r="BK103" s="36">
        <v>27.196000000000002</v>
      </c>
      <c r="BL103" s="36">
        <v>56.395000000000003</v>
      </c>
    </row>
    <row r="104" spans="2:64" ht="15.6" customHeight="1" x14ac:dyDescent="0.2">
      <c r="B104" s="10" t="s">
        <v>424</v>
      </c>
      <c r="C104" s="10" t="s">
        <v>425</v>
      </c>
      <c r="AD104" s="2" t="s">
        <v>613</v>
      </c>
      <c r="AE104" s="36" t="e">
        <f ca="1">_xll.BDP($AD104,AE$10)</f>
        <v>#NAME?</v>
      </c>
      <c r="AF104" s="36" t="e">
        <f ca="1">_xll.BDH($AD104,AF$10,$C$5,$C$5,"EQY_FUND_CRNCY=USD")</f>
        <v>#NAME?</v>
      </c>
      <c r="AG104" s="36" t="e">
        <f ca="1">_xll.BDH($AD104,AG$10,$C$5,$C$5,"EQY_FUND_CRNCY=USD")</f>
        <v>#NAME?</v>
      </c>
      <c r="AH104" s="36"/>
      <c r="AI104" s="36" t="e">
        <f ca="1">_xll.BDP($AD104,AI$10,"EQY_FUND_CRNCY=USD","FA_ADJUSTED=Y")</f>
        <v>#NAME?</v>
      </c>
      <c r="AJ104" s="36" t="e">
        <f ca="1">_xll.BDP($AD104,AJ$10,"BEST_FPERIOD_OVERRIDE=1TY","EQY_FUND_CRNCY=USD","FA_ADJUSTED=Y")</f>
        <v>#NAME?</v>
      </c>
      <c r="AK104" s="44" t="e">
        <f t="shared" ca="1" si="18"/>
        <v>#NAME?</v>
      </c>
      <c r="AL104" s="36" t="e">
        <f ca="1">_xll.BDP($AD104,AL$10,"EQY_FUND_CRNCY=USD","FA_ADJUSTED=Y")</f>
        <v>#NAME?</v>
      </c>
      <c r="AM104" s="36" t="e">
        <f ca="1">_xll.BDP($AD104,AM$10,"BEST_FPERIOD_OVERRIDE=1TY","EQY_FUND_CRNCY=USD","FA_ADJUSTED=Y")</f>
        <v>#NAME?</v>
      </c>
      <c r="AN104" s="36" t="e">
        <f ca="1">_xll.BDP($AD104,AN$10,"BEST_FPERIOD_OVERRIDE=1TY","EQY_FUND_CRNCY=USD","FA_ADJUSTED=Y")</f>
        <v>#NAME?</v>
      </c>
      <c r="AO104" s="36" t="e">
        <f ca="1">_xll.BDP($AD104,AO$10,"BEST_FPERIOD_OVERRIDE=1TY","EQY_FUND_CRNCY=USD","FA_ADJUSTED=Y")</f>
        <v>#NAME?</v>
      </c>
      <c r="AP104" s="36" t="e">
        <f ca="1">_xll.BDP($AD104,AP$10,"BEST_FPERIOD_OVERRIDE=1TY","EQY_FUND_CRNCY=USD","FA_ADJUSTED=Y")</f>
        <v>#NAME?</v>
      </c>
      <c r="AQ104" s="36" t="e">
        <f ca="1">_xll.BDP($AD104,AQ$10,"EQY_FUND_CRNCY=USD","FA_ADJUSTED=Y")</f>
        <v>#NAME?</v>
      </c>
      <c r="AR104" s="36" t="e">
        <f ca="1">_xll.BDP($AD104,AR$10,"BEST_FPERIOD_OVERRIDE=1TY","EQY_FUND_CRNCY=USD","FA_ADJUSTED=Y")</f>
        <v>#NAME?</v>
      </c>
      <c r="AS104" s="36" t="e">
        <f ca="1">_xll.BDP($AD104,AS$10,"EQY_FUND_CRNCY=USD","FA_ADJUSTED=Y")</f>
        <v>#NAME?</v>
      </c>
      <c r="AT104" s="36" t="e">
        <f ca="1">_xll.BDP($AD104,AT$10,"BEST_FPERIOD_OVERRIDE=1TY","EQY_FUND_CRNCY=USD","FA_ADJUSTED=Y")</f>
        <v>#NAME?</v>
      </c>
      <c r="AV104" s="1" t="s">
        <v>613</v>
      </c>
      <c r="AW104" s="1" t="s">
        <v>495</v>
      </c>
      <c r="AX104" s="36">
        <v>532.57029999999997</v>
      </c>
      <c r="AY104" s="36">
        <v>503.5813</v>
      </c>
      <c r="AZ104" s="36">
        <v>390.21064688256155</v>
      </c>
      <c r="BA104" s="36">
        <v>423.65500000000003</v>
      </c>
      <c r="BB104" s="36">
        <v>8.5708458712311808E-2</v>
      </c>
      <c r="BC104" s="114">
        <v>208.1033694655994</v>
      </c>
      <c r="BD104" s="36">
        <v>51.5</v>
      </c>
      <c r="BE104" s="36">
        <v>34.018854199922998</v>
      </c>
      <c r="BF104" s="36" t="s">
        <v>480</v>
      </c>
      <c r="BG104" s="36">
        <v>172.67145692385159</v>
      </c>
      <c r="BH104" s="36">
        <v>41.081894131577933</v>
      </c>
      <c r="BI104" s="36">
        <v>41.76</v>
      </c>
      <c r="BJ104" s="36">
        <v>28.187567163656766</v>
      </c>
      <c r="BK104" s="36">
        <v>23.518000000000001</v>
      </c>
      <c r="BL104" s="36">
        <v>61.438000000000002</v>
      </c>
    </row>
    <row r="105" spans="2:64" x14ac:dyDescent="0.2">
      <c r="AD105" s="1"/>
    </row>
    <row r="106" spans="2:64" x14ac:dyDescent="0.2">
      <c r="AD106" s="1"/>
    </row>
    <row r="107" spans="2:64" x14ac:dyDescent="0.2">
      <c r="AD107" s="1"/>
    </row>
    <row r="108" spans="2:64" x14ac:dyDescent="0.2">
      <c r="AD108" s="1"/>
    </row>
    <row r="109" spans="2:64" x14ac:dyDescent="0.2">
      <c r="AD109" s="1"/>
    </row>
    <row r="110" spans="2:64" x14ac:dyDescent="0.2">
      <c r="AD110" s="1"/>
    </row>
    <row r="111" spans="2:64" x14ac:dyDescent="0.2">
      <c r="AD111" s="1"/>
    </row>
    <row r="112" spans="2:64" x14ac:dyDescent="0.2">
      <c r="AD112" s="1"/>
    </row>
    <row r="113" spans="30:30" x14ac:dyDescent="0.2">
      <c r="AD113" s="1"/>
    </row>
    <row r="114" spans="30:30" x14ac:dyDescent="0.2">
      <c r="AD114" s="1"/>
    </row>
    <row r="115" spans="30:30" x14ac:dyDescent="0.2">
      <c r="AD115" s="1"/>
    </row>
    <row r="116" spans="30:30" x14ac:dyDescent="0.2">
      <c r="AD116" s="1"/>
    </row>
    <row r="117" spans="30:30" x14ac:dyDescent="0.2">
      <c r="AD117" s="1"/>
    </row>
    <row r="118" spans="30:30" x14ac:dyDescent="0.2">
      <c r="AD118" s="1"/>
    </row>
    <row r="119" spans="30:30" x14ac:dyDescent="0.2">
      <c r="AD119" s="1"/>
    </row>
    <row r="120" spans="30:30" x14ac:dyDescent="0.2">
      <c r="AD120" s="1"/>
    </row>
    <row r="121" spans="30:30" x14ac:dyDescent="0.2">
      <c r="AD121" s="1"/>
    </row>
    <row r="122" spans="30:30" x14ac:dyDescent="0.2">
      <c r="AD122" s="1"/>
    </row>
    <row r="123" spans="30:30" x14ac:dyDescent="0.2">
      <c r="AD123" s="1"/>
    </row>
    <row r="124" spans="30:30" x14ac:dyDescent="0.2">
      <c r="AD124" s="1"/>
    </row>
    <row r="125" spans="30:30" x14ac:dyDescent="0.2">
      <c r="AD125" s="1"/>
    </row>
    <row r="126" spans="30:30" x14ac:dyDescent="0.2">
      <c r="AD126" s="1"/>
    </row>
    <row r="127" spans="30:30" x14ac:dyDescent="0.2">
      <c r="AD127" s="1"/>
    </row>
    <row r="128" spans="30:30" x14ac:dyDescent="0.2">
      <c r="AD128" s="1"/>
    </row>
    <row r="129" spans="30:30" x14ac:dyDescent="0.2">
      <c r="AD129" s="1"/>
    </row>
    <row r="130" spans="30:30" x14ac:dyDescent="0.2">
      <c r="AD130" s="1"/>
    </row>
    <row r="131" spans="30:30" x14ac:dyDescent="0.2">
      <c r="AD131" s="1"/>
    </row>
    <row r="132" spans="30:30" x14ac:dyDescent="0.2">
      <c r="AD132" s="1"/>
    </row>
    <row r="133" spans="30:30" x14ac:dyDescent="0.2">
      <c r="AD133" s="1"/>
    </row>
    <row r="134" spans="30:30" x14ac:dyDescent="0.2">
      <c r="AD134" s="1"/>
    </row>
    <row r="135" spans="30:30" x14ac:dyDescent="0.2">
      <c r="AD135" s="1"/>
    </row>
    <row r="136" spans="30:30" x14ac:dyDescent="0.2">
      <c r="AD136" s="1"/>
    </row>
    <row r="137" spans="30:30" x14ac:dyDescent="0.2">
      <c r="AD137" s="1"/>
    </row>
    <row r="138" spans="30:30" x14ac:dyDescent="0.2">
      <c r="AD138" s="1"/>
    </row>
    <row r="139" spans="30:30" x14ac:dyDescent="0.2">
      <c r="AD139" s="1"/>
    </row>
    <row r="140" spans="30:30" x14ac:dyDescent="0.2">
      <c r="AD140" s="1"/>
    </row>
    <row r="141" spans="30:30" x14ac:dyDescent="0.2">
      <c r="AD141" s="1"/>
    </row>
    <row r="142" spans="30:30" x14ac:dyDescent="0.2">
      <c r="AD142" s="1"/>
    </row>
    <row r="143" spans="30:30" x14ac:dyDescent="0.2">
      <c r="AD143" s="1"/>
    </row>
    <row r="144" spans="30:30" x14ac:dyDescent="0.2">
      <c r="AD144" s="1"/>
    </row>
    <row r="145" spans="30:30" x14ac:dyDescent="0.2">
      <c r="AD145" s="1"/>
    </row>
    <row r="146" spans="30:30" x14ac:dyDescent="0.2">
      <c r="AD146" s="1"/>
    </row>
    <row r="147" spans="30:30" x14ac:dyDescent="0.2">
      <c r="AD147" s="1"/>
    </row>
    <row r="148" spans="30:30" x14ac:dyDescent="0.2">
      <c r="AD148" s="1"/>
    </row>
    <row r="149" spans="30:30" x14ac:dyDescent="0.2">
      <c r="AD149" s="1"/>
    </row>
    <row r="150" spans="30:30" x14ac:dyDescent="0.2">
      <c r="AD150" s="1"/>
    </row>
    <row r="151" spans="30:30" x14ac:dyDescent="0.2">
      <c r="AD151" s="1"/>
    </row>
    <row r="152" spans="30:30" x14ac:dyDescent="0.2">
      <c r="AD152" s="1"/>
    </row>
    <row r="153" spans="30:30" x14ac:dyDescent="0.2">
      <c r="AD153" s="1"/>
    </row>
    <row r="154" spans="30:30" x14ac:dyDescent="0.2">
      <c r="AD154" s="1"/>
    </row>
    <row r="155" spans="30:30" x14ac:dyDescent="0.2">
      <c r="AD155" s="1"/>
    </row>
    <row r="156" spans="30:30" x14ac:dyDescent="0.2">
      <c r="AD156" s="1"/>
    </row>
    <row r="157" spans="30:30" x14ac:dyDescent="0.2">
      <c r="AD157" s="1"/>
    </row>
    <row r="158" spans="30:30" x14ac:dyDescent="0.2">
      <c r="AD158" s="1"/>
    </row>
    <row r="159" spans="30:30" x14ac:dyDescent="0.2">
      <c r="AD159" s="1"/>
    </row>
    <row r="160" spans="30:30" x14ac:dyDescent="0.2">
      <c r="AD160" s="1"/>
    </row>
    <row r="161" spans="30:30" x14ac:dyDescent="0.2">
      <c r="AD161" s="1"/>
    </row>
    <row r="162" spans="30:30" x14ac:dyDescent="0.2">
      <c r="AD162" s="1"/>
    </row>
    <row r="163" spans="30:30" x14ac:dyDescent="0.2">
      <c r="AD163" s="1"/>
    </row>
    <row r="164" spans="30:30" x14ac:dyDescent="0.2">
      <c r="AD164" s="1"/>
    </row>
    <row r="165" spans="30:30" x14ac:dyDescent="0.2">
      <c r="AD165" s="1"/>
    </row>
    <row r="166" spans="30:30" x14ac:dyDescent="0.2">
      <c r="AD166" s="1"/>
    </row>
    <row r="167" spans="30:30" x14ac:dyDescent="0.2">
      <c r="AD167" s="1"/>
    </row>
    <row r="168" spans="30:30" x14ac:dyDescent="0.2">
      <c r="AD168" s="1"/>
    </row>
    <row r="169" spans="30:30" x14ac:dyDescent="0.2">
      <c r="AD169" s="1"/>
    </row>
    <row r="170" spans="30:30" x14ac:dyDescent="0.2">
      <c r="AD170" s="1"/>
    </row>
    <row r="171" spans="30:30" x14ac:dyDescent="0.2">
      <c r="AD171" s="1"/>
    </row>
    <row r="172" spans="30:30" x14ac:dyDescent="0.2">
      <c r="AD172" s="1"/>
    </row>
    <row r="173" spans="30:30" x14ac:dyDescent="0.2">
      <c r="AD173" s="1"/>
    </row>
    <row r="174" spans="30:30" x14ac:dyDescent="0.2">
      <c r="AD174" s="1"/>
    </row>
    <row r="175" spans="30:30" x14ac:dyDescent="0.2">
      <c r="AD175" s="1"/>
    </row>
    <row r="176" spans="30:30" x14ac:dyDescent="0.2">
      <c r="AD176" s="1"/>
    </row>
    <row r="177" spans="30:30" x14ac:dyDescent="0.2">
      <c r="AD177" s="1"/>
    </row>
    <row r="178" spans="30:30" x14ac:dyDescent="0.2">
      <c r="AD178" s="1"/>
    </row>
    <row r="179" spans="30:30" x14ac:dyDescent="0.2">
      <c r="AD179" s="1"/>
    </row>
    <row r="180" spans="30:30" x14ac:dyDescent="0.2">
      <c r="AD180" s="1"/>
    </row>
    <row r="181" spans="30:30" x14ac:dyDescent="0.2">
      <c r="AD181" s="1"/>
    </row>
    <row r="182" spans="30:30" x14ac:dyDescent="0.2">
      <c r="AD182" s="1"/>
    </row>
    <row r="183" spans="30:30" x14ac:dyDescent="0.2">
      <c r="AD183" s="1"/>
    </row>
    <row r="184" spans="30:30" x14ac:dyDescent="0.2">
      <c r="AD184" s="1"/>
    </row>
    <row r="185" spans="30:30" x14ac:dyDescent="0.2">
      <c r="AD185" s="1"/>
    </row>
    <row r="186" spans="30:30" x14ac:dyDescent="0.2">
      <c r="AD186" s="1"/>
    </row>
    <row r="187" spans="30:30" x14ac:dyDescent="0.2">
      <c r="AD187" s="1"/>
    </row>
    <row r="188" spans="30:30" x14ac:dyDescent="0.2">
      <c r="AD188" s="1"/>
    </row>
    <row r="189" spans="30:30" x14ac:dyDescent="0.2">
      <c r="AD189" s="1"/>
    </row>
    <row r="190" spans="30:30" x14ac:dyDescent="0.2">
      <c r="AD190" s="1"/>
    </row>
    <row r="191" spans="30:30" x14ac:dyDescent="0.2">
      <c r="AD191" s="1"/>
    </row>
    <row r="192" spans="30:30" x14ac:dyDescent="0.2">
      <c r="AD192" s="1"/>
    </row>
    <row r="193" spans="30:30" x14ac:dyDescent="0.2">
      <c r="AD193" s="1"/>
    </row>
    <row r="194" spans="30:30" x14ac:dyDescent="0.2">
      <c r="AD194" s="1"/>
    </row>
    <row r="195" spans="30:30" x14ac:dyDescent="0.2">
      <c r="AD195" s="1"/>
    </row>
    <row r="196" spans="30:30" x14ac:dyDescent="0.2">
      <c r="AD196" s="1"/>
    </row>
    <row r="197" spans="30:30" x14ac:dyDescent="0.2">
      <c r="AD197" s="1"/>
    </row>
    <row r="198" spans="30:30" x14ac:dyDescent="0.2">
      <c r="AD198" s="1"/>
    </row>
    <row r="199" spans="30:30" x14ac:dyDescent="0.2">
      <c r="AD199" s="1"/>
    </row>
    <row r="200" spans="30:30" x14ac:dyDescent="0.2">
      <c r="AD200" s="1"/>
    </row>
    <row r="201" spans="30:30" x14ac:dyDescent="0.2">
      <c r="AD201" s="1"/>
    </row>
    <row r="202" spans="30:30" x14ac:dyDescent="0.2">
      <c r="AD202" s="1"/>
    </row>
    <row r="203" spans="30:30" x14ac:dyDescent="0.2">
      <c r="AD203" s="1"/>
    </row>
    <row r="204" spans="30:30" x14ac:dyDescent="0.2">
      <c r="AD204" s="1"/>
    </row>
    <row r="205" spans="30:30" x14ac:dyDescent="0.2">
      <c r="AD205" s="1"/>
    </row>
    <row r="206" spans="30:30" x14ac:dyDescent="0.2">
      <c r="AD206" s="1"/>
    </row>
    <row r="207" spans="30:30" x14ac:dyDescent="0.2">
      <c r="AD207" s="1"/>
    </row>
    <row r="208" spans="30:30" x14ac:dyDescent="0.2">
      <c r="AD208" s="1"/>
    </row>
    <row r="209" spans="30:30" x14ac:dyDescent="0.2">
      <c r="AD209" s="1"/>
    </row>
    <row r="210" spans="30:30" x14ac:dyDescent="0.2">
      <c r="AD210" s="1"/>
    </row>
    <row r="211" spans="30:30" x14ac:dyDescent="0.2">
      <c r="AD211" s="1"/>
    </row>
    <row r="212" spans="30:30" x14ac:dyDescent="0.2">
      <c r="AD212" s="1"/>
    </row>
    <row r="213" spans="30:30" x14ac:dyDescent="0.2">
      <c r="AD213" s="1"/>
    </row>
    <row r="214" spans="30:30" x14ac:dyDescent="0.2">
      <c r="AD214" s="1"/>
    </row>
    <row r="215" spans="30:30" x14ac:dyDescent="0.2">
      <c r="AD215" s="1"/>
    </row>
    <row r="216" spans="30:30" x14ac:dyDescent="0.2">
      <c r="AD216" s="1"/>
    </row>
    <row r="217" spans="30:30" x14ac:dyDescent="0.2">
      <c r="AD217" s="1"/>
    </row>
    <row r="218" spans="30:30" x14ac:dyDescent="0.2">
      <c r="AD218" s="1"/>
    </row>
    <row r="219" spans="30:30" x14ac:dyDescent="0.2">
      <c r="AD219" s="1"/>
    </row>
    <row r="220" spans="30:30" x14ac:dyDescent="0.2">
      <c r="AD220" s="1"/>
    </row>
    <row r="221" spans="30:30" x14ac:dyDescent="0.2">
      <c r="AD221" s="1"/>
    </row>
    <row r="222" spans="30:30" x14ac:dyDescent="0.2">
      <c r="AD222" s="1"/>
    </row>
    <row r="223" spans="30:30" x14ac:dyDescent="0.2">
      <c r="AD223" s="1"/>
    </row>
    <row r="224" spans="30:30" x14ac:dyDescent="0.2">
      <c r="AD224" s="1"/>
    </row>
    <row r="225" spans="30:30" x14ac:dyDescent="0.2">
      <c r="AD225" s="1"/>
    </row>
    <row r="226" spans="30:30" x14ac:dyDescent="0.2">
      <c r="AD226" s="1"/>
    </row>
    <row r="227" spans="30:30" x14ac:dyDescent="0.2">
      <c r="AD227" s="1"/>
    </row>
    <row r="228" spans="30:30" x14ac:dyDescent="0.2">
      <c r="AD228" s="1"/>
    </row>
    <row r="229" spans="30:30" x14ac:dyDescent="0.2">
      <c r="AD229" s="1"/>
    </row>
    <row r="230" spans="30:30" x14ac:dyDescent="0.2">
      <c r="AD230" s="1"/>
    </row>
    <row r="231" spans="30:30" x14ac:dyDescent="0.2">
      <c r="AD231" s="1"/>
    </row>
    <row r="232" spans="30:30" x14ac:dyDescent="0.2">
      <c r="AD232" s="1"/>
    </row>
    <row r="233" spans="30:30" x14ac:dyDescent="0.2">
      <c r="AD233" s="1"/>
    </row>
    <row r="234" spans="30:30" x14ac:dyDescent="0.2">
      <c r="AD234" s="1"/>
    </row>
    <row r="235" spans="30:30" x14ac:dyDescent="0.2">
      <c r="AD235" s="1"/>
    </row>
    <row r="236" spans="30:30" x14ac:dyDescent="0.2">
      <c r="AD236" s="1"/>
    </row>
    <row r="237" spans="30:30" x14ac:dyDescent="0.2">
      <c r="AD237" s="1"/>
    </row>
    <row r="238" spans="30:30" x14ac:dyDescent="0.2">
      <c r="AD238" s="1"/>
    </row>
    <row r="239" spans="30:30" x14ac:dyDescent="0.2">
      <c r="AD239" s="1"/>
    </row>
    <row r="240" spans="30:30" x14ac:dyDescent="0.2">
      <c r="AD240" s="1"/>
    </row>
    <row r="241" spans="30:30" x14ac:dyDescent="0.2">
      <c r="AD241" s="1"/>
    </row>
    <row r="242" spans="30:30" x14ac:dyDescent="0.2">
      <c r="AD242" s="1"/>
    </row>
    <row r="243" spans="30:30" x14ac:dyDescent="0.2">
      <c r="AD243" s="1"/>
    </row>
    <row r="244" spans="30:30" x14ac:dyDescent="0.2">
      <c r="AD244" s="1"/>
    </row>
    <row r="245" spans="30:30" x14ac:dyDescent="0.2">
      <c r="AD245" s="1"/>
    </row>
    <row r="246" spans="30:30" x14ac:dyDescent="0.2">
      <c r="AD246" s="1"/>
    </row>
    <row r="247" spans="30:30" x14ac:dyDescent="0.2">
      <c r="AD247" s="1"/>
    </row>
    <row r="248" spans="30:30" x14ac:dyDescent="0.2">
      <c r="AD248" s="1"/>
    </row>
    <row r="249" spans="30:30" x14ac:dyDescent="0.2">
      <c r="AD249" s="1"/>
    </row>
    <row r="250" spans="30:30" x14ac:dyDescent="0.2">
      <c r="AD250" s="1"/>
    </row>
    <row r="251" spans="30:30" x14ac:dyDescent="0.2">
      <c r="AD251" s="1"/>
    </row>
    <row r="252" spans="30:30" x14ac:dyDescent="0.2">
      <c r="AD252" s="1"/>
    </row>
    <row r="253" spans="30:30" x14ac:dyDescent="0.2">
      <c r="AD253" s="1"/>
    </row>
    <row r="254" spans="30:30" x14ac:dyDescent="0.2">
      <c r="AD254" s="1"/>
    </row>
    <row r="255" spans="30:30" x14ac:dyDescent="0.2">
      <c r="AD255" s="1"/>
    </row>
    <row r="256" spans="30:30" x14ac:dyDescent="0.2">
      <c r="AD256" s="1"/>
    </row>
    <row r="257" spans="30:30" x14ac:dyDescent="0.2">
      <c r="AD257" s="1"/>
    </row>
    <row r="258" spans="30:30" x14ac:dyDescent="0.2">
      <c r="AD258" s="1"/>
    </row>
    <row r="259" spans="30:30" x14ac:dyDescent="0.2">
      <c r="AD259" s="1"/>
    </row>
    <row r="260" spans="30:30" x14ac:dyDescent="0.2">
      <c r="AD260" s="1"/>
    </row>
    <row r="261" spans="30:30" x14ac:dyDescent="0.2">
      <c r="AD261" s="1"/>
    </row>
    <row r="262" spans="30:30" x14ac:dyDescent="0.2">
      <c r="AD262" s="1"/>
    </row>
    <row r="263" spans="30:30" x14ac:dyDescent="0.2">
      <c r="AD263" s="1"/>
    </row>
    <row r="264" spans="30:30" x14ac:dyDescent="0.2">
      <c r="AD264" s="1"/>
    </row>
    <row r="265" spans="30:30" x14ac:dyDescent="0.2">
      <c r="AD265" s="1"/>
    </row>
    <row r="266" spans="30:30" x14ac:dyDescent="0.2">
      <c r="AD266" s="1"/>
    </row>
    <row r="267" spans="30:30" x14ac:dyDescent="0.2">
      <c r="AD267" s="1"/>
    </row>
    <row r="268" spans="30:30" x14ac:dyDescent="0.2">
      <c r="AD268" s="1"/>
    </row>
    <row r="269" spans="30:30" x14ac:dyDescent="0.2">
      <c r="AD269" s="1"/>
    </row>
    <row r="270" spans="30:30" x14ac:dyDescent="0.2">
      <c r="AD270" s="1"/>
    </row>
    <row r="271" spans="30:30" x14ac:dyDescent="0.2">
      <c r="AD271" s="1"/>
    </row>
    <row r="272" spans="30:30" x14ac:dyDescent="0.2">
      <c r="AD272" s="1"/>
    </row>
    <row r="273" spans="30:30" x14ac:dyDescent="0.2">
      <c r="AD273" s="1"/>
    </row>
    <row r="274" spans="30:30" x14ac:dyDescent="0.2">
      <c r="AD274" s="1"/>
    </row>
    <row r="275" spans="30:30" x14ac:dyDescent="0.2">
      <c r="AD275" s="1"/>
    </row>
    <row r="276" spans="30:30" x14ac:dyDescent="0.2">
      <c r="AD276" s="1"/>
    </row>
    <row r="277" spans="30:30" x14ac:dyDescent="0.2">
      <c r="AD277" s="1"/>
    </row>
    <row r="278" spans="30:30" x14ac:dyDescent="0.2">
      <c r="AD278" s="1"/>
    </row>
    <row r="279" spans="30:30" x14ac:dyDescent="0.2">
      <c r="AD279" s="1"/>
    </row>
    <row r="280" spans="30:30" x14ac:dyDescent="0.2">
      <c r="AD280" s="1"/>
    </row>
    <row r="281" spans="30:30" x14ac:dyDescent="0.2">
      <c r="AD281" s="1"/>
    </row>
    <row r="282" spans="30:30" x14ac:dyDescent="0.2">
      <c r="AD282" s="1"/>
    </row>
    <row r="283" spans="30:30" x14ac:dyDescent="0.2">
      <c r="AD283" s="1"/>
    </row>
    <row r="284" spans="30:30" x14ac:dyDescent="0.2">
      <c r="AD284" s="1"/>
    </row>
    <row r="285" spans="30:30" x14ac:dyDescent="0.2">
      <c r="AD285" s="1"/>
    </row>
    <row r="286" spans="30:30" x14ac:dyDescent="0.2">
      <c r="AD286" s="1"/>
    </row>
    <row r="287" spans="30:30" x14ac:dyDescent="0.2">
      <c r="AD287" s="1"/>
    </row>
    <row r="288" spans="30:30" x14ac:dyDescent="0.2">
      <c r="AD288" s="1"/>
    </row>
    <row r="289" spans="30:30" x14ac:dyDescent="0.2">
      <c r="AD289" s="1"/>
    </row>
    <row r="290" spans="30:30" x14ac:dyDescent="0.2">
      <c r="AD290" s="1"/>
    </row>
    <row r="291" spans="30:30" x14ac:dyDescent="0.2">
      <c r="AD291" s="1"/>
    </row>
    <row r="292" spans="30:30" x14ac:dyDescent="0.2">
      <c r="AD292" s="1"/>
    </row>
    <row r="293" spans="30:30" x14ac:dyDescent="0.2">
      <c r="AD293" s="1"/>
    </row>
    <row r="294" spans="30:30" x14ac:dyDescent="0.2">
      <c r="AD294" s="1"/>
    </row>
    <row r="295" spans="30:30" x14ac:dyDescent="0.2">
      <c r="AD295" s="1"/>
    </row>
    <row r="296" spans="30:30" x14ac:dyDescent="0.2">
      <c r="AD296" s="1"/>
    </row>
    <row r="297" spans="30:30" x14ac:dyDescent="0.2">
      <c r="AD297" s="1"/>
    </row>
    <row r="298" spans="30:30" x14ac:dyDescent="0.2">
      <c r="AD298" s="1"/>
    </row>
    <row r="299" spans="30:30" x14ac:dyDescent="0.2">
      <c r="AD299" s="1"/>
    </row>
    <row r="300" spans="30:30" x14ac:dyDescent="0.2">
      <c r="AD300" s="1"/>
    </row>
    <row r="301" spans="30:30" x14ac:dyDescent="0.2">
      <c r="AD301" s="1"/>
    </row>
    <row r="302" spans="30:30" x14ac:dyDescent="0.2">
      <c r="AD302" s="1"/>
    </row>
    <row r="303" spans="30:30" x14ac:dyDescent="0.2">
      <c r="AD303" s="1"/>
    </row>
    <row r="304" spans="30:30" x14ac:dyDescent="0.2">
      <c r="AD304" s="1"/>
    </row>
    <row r="305" spans="30:30" x14ac:dyDescent="0.2">
      <c r="AD305" s="1"/>
    </row>
    <row r="306" spans="30:30" x14ac:dyDescent="0.2">
      <c r="AD306" s="1"/>
    </row>
    <row r="307" spans="30:30" x14ac:dyDescent="0.2">
      <c r="AD307" s="1"/>
    </row>
    <row r="308" spans="30:30" x14ac:dyDescent="0.2">
      <c r="AD308" s="1"/>
    </row>
    <row r="309" spans="30:30" x14ac:dyDescent="0.2">
      <c r="AD309" s="1"/>
    </row>
    <row r="310" spans="30:30" x14ac:dyDescent="0.2">
      <c r="AD310" s="1"/>
    </row>
    <row r="311" spans="30:30" x14ac:dyDescent="0.2">
      <c r="AD311" s="1"/>
    </row>
    <row r="312" spans="30:30" x14ac:dyDescent="0.2">
      <c r="AD312" s="1"/>
    </row>
    <row r="313" spans="30:30" x14ac:dyDescent="0.2">
      <c r="AD313" s="1"/>
    </row>
    <row r="314" spans="30:30" x14ac:dyDescent="0.2">
      <c r="AD314" s="1"/>
    </row>
    <row r="315" spans="30:30" x14ac:dyDescent="0.2">
      <c r="AD315" s="1"/>
    </row>
    <row r="316" spans="30:30" x14ac:dyDescent="0.2">
      <c r="AD316" s="1"/>
    </row>
    <row r="317" spans="30:30" x14ac:dyDescent="0.2">
      <c r="AD317" s="1"/>
    </row>
    <row r="318" spans="30:30" x14ac:dyDescent="0.2">
      <c r="AD318" s="1"/>
    </row>
    <row r="319" spans="30:30" x14ac:dyDescent="0.2">
      <c r="AD319" s="1"/>
    </row>
    <row r="320" spans="30:30" x14ac:dyDescent="0.2">
      <c r="AD320" s="1"/>
    </row>
    <row r="321" spans="30:30" x14ac:dyDescent="0.2">
      <c r="AD321" s="1"/>
    </row>
    <row r="322" spans="30:30" x14ac:dyDescent="0.2">
      <c r="AD322" s="1"/>
    </row>
    <row r="323" spans="30:30" x14ac:dyDescent="0.2">
      <c r="AD323" s="1"/>
    </row>
    <row r="324" spans="30:30" x14ac:dyDescent="0.2">
      <c r="AD324" s="1"/>
    </row>
    <row r="325" spans="30:30" x14ac:dyDescent="0.2">
      <c r="AD325" s="1"/>
    </row>
    <row r="326" spans="30:30" x14ac:dyDescent="0.2">
      <c r="AD326" s="1"/>
    </row>
    <row r="327" spans="30:30" x14ac:dyDescent="0.2">
      <c r="AD327" s="1"/>
    </row>
    <row r="328" spans="30:30" x14ac:dyDescent="0.2">
      <c r="AD328" s="1"/>
    </row>
    <row r="329" spans="30:30" x14ac:dyDescent="0.2">
      <c r="AD329" s="1"/>
    </row>
    <row r="330" spans="30:30" x14ac:dyDescent="0.2">
      <c r="AD330" s="1"/>
    </row>
    <row r="331" spans="30:30" x14ac:dyDescent="0.2">
      <c r="AD331" s="1"/>
    </row>
    <row r="332" spans="30:30" x14ac:dyDescent="0.2">
      <c r="AD332" s="1"/>
    </row>
    <row r="333" spans="30:30" x14ac:dyDescent="0.2">
      <c r="AD333" s="1"/>
    </row>
    <row r="334" spans="30:30" x14ac:dyDescent="0.2">
      <c r="AD334" s="1"/>
    </row>
    <row r="335" spans="30:30" x14ac:dyDescent="0.2">
      <c r="AD335" s="1"/>
    </row>
    <row r="336" spans="30:30" x14ac:dyDescent="0.2">
      <c r="AD336" s="1"/>
    </row>
    <row r="337" spans="30:30" x14ac:dyDescent="0.2">
      <c r="AD337" s="1"/>
    </row>
    <row r="338" spans="30:30" x14ac:dyDescent="0.2">
      <c r="AD338" s="1"/>
    </row>
    <row r="339" spans="30:30" x14ac:dyDescent="0.2">
      <c r="AD339" s="1"/>
    </row>
    <row r="340" spans="30:30" x14ac:dyDescent="0.2">
      <c r="AD340" s="1"/>
    </row>
    <row r="341" spans="30:30" x14ac:dyDescent="0.2">
      <c r="AD341" s="1"/>
    </row>
    <row r="342" spans="30:30" x14ac:dyDescent="0.2">
      <c r="AD342" s="1"/>
    </row>
    <row r="343" spans="30:30" x14ac:dyDescent="0.2">
      <c r="AD343" s="1"/>
    </row>
    <row r="344" spans="30:30" x14ac:dyDescent="0.2">
      <c r="AD344" s="1"/>
    </row>
    <row r="345" spans="30:30" x14ac:dyDescent="0.2">
      <c r="AD345" s="1"/>
    </row>
    <row r="346" spans="30:30" x14ac:dyDescent="0.2">
      <c r="AD346" s="1"/>
    </row>
    <row r="347" spans="30:30" x14ac:dyDescent="0.2">
      <c r="AD347" s="1"/>
    </row>
    <row r="348" spans="30:30" x14ac:dyDescent="0.2">
      <c r="AD348" s="1"/>
    </row>
    <row r="349" spans="30:30" x14ac:dyDescent="0.2">
      <c r="AD349" s="1"/>
    </row>
    <row r="350" spans="30:30" x14ac:dyDescent="0.2">
      <c r="AD350" s="1"/>
    </row>
    <row r="351" spans="30:30" x14ac:dyDescent="0.2">
      <c r="AD351" s="1"/>
    </row>
    <row r="352" spans="30:30" x14ac:dyDescent="0.2">
      <c r="AD352" s="1"/>
    </row>
    <row r="353" spans="30:30" x14ac:dyDescent="0.2">
      <c r="AD353" s="1"/>
    </row>
    <row r="354" spans="30:30" x14ac:dyDescent="0.2">
      <c r="AD354" s="1"/>
    </row>
    <row r="355" spans="30:30" x14ac:dyDescent="0.2">
      <c r="AD355" s="1"/>
    </row>
    <row r="356" spans="30:30" x14ac:dyDescent="0.2">
      <c r="AD356" s="1"/>
    </row>
    <row r="357" spans="30:30" x14ac:dyDescent="0.2">
      <c r="AD357" s="1"/>
    </row>
    <row r="358" spans="30:30" x14ac:dyDescent="0.2">
      <c r="AD358" s="1"/>
    </row>
    <row r="359" spans="30:30" x14ac:dyDescent="0.2">
      <c r="AD359" s="1"/>
    </row>
    <row r="360" spans="30:30" x14ac:dyDescent="0.2">
      <c r="AD360" s="1"/>
    </row>
    <row r="361" spans="30:30" x14ac:dyDescent="0.2">
      <c r="AD361" s="1"/>
    </row>
    <row r="362" spans="30:30" x14ac:dyDescent="0.2">
      <c r="AD362" s="1"/>
    </row>
    <row r="363" spans="30:30" x14ac:dyDescent="0.2">
      <c r="AD363" s="1"/>
    </row>
    <row r="364" spans="30:30" x14ac:dyDescent="0.2">
      <c r="AD364" s="1"/>
    </row>
    <row r="365" spans="30:30" x14ac:dyDescent="0.2">
      <c r="AD365" s="1"/>
    </row>
    <row r="366" spans="30:30" x14ac:dyDescent="0.2">
      <c r="AD366" s="1"/>
    </row>
    <row r="367" spans="30:30" x14ac:dyDescent="0.2">
      <c r="AD367" s="1"/>
    </row>
    <row r="368" spans="30:30" x14ac:dyDescent="0.2">
      <c r="AD368" s="1"/>
    </row>
    <row r="369" spans="30:30" x14ac:dyDescent="0.2">
      <c r="AD369" s="1"/>
    </row>
    <row r="370" spans="30:30" x14ac:dyDescent="0.2">
      <c r="AD370" s="1"/>
    </row>
    <row r="371" spans="30:30" x14ac:dyDescent="0.2">
      <c r="AD371" s="1"/>
    </row>
    <row r="372" spans="30:30" x14ac:dyDescent="0.2">
      <c r="AD372" s="1"/>
    </row>
    <row r="373" spans="30:30" x14ac:dyDescent="0.2">
      <c r="AD373" s="1"/>
    </row>
    <row r="374" spans="30:30" x14ac:dyDescent="0.2">
      <c r="AD374" s="1"/>
    </row>
    <row r="375" spans="30:30" x14ac:dyDescent="0.2">
      <c r="AD375" s="1"/>
    </row>
    <row r="376" spans="30:30" x14ac:dyDescent="0.2">
      <c r="AD376" s="1"/>
    </row>
    <row r="377" spans="30:30" x14ac:dyDescent="0.2">
      <c r="AD377" s="1"/>
    </row>
    <row r="378" spans="30:30" x14ac:dyDescent="0.2">
      <c r="AD378" s="1"/>
    </row>
    <row r="379" spans="30:30" x14ac:dyDescent="0.2">
      <c r="AD379" s="1"/>
    </row>
    <row r="380" spans="30:30" x14ac:dyDescent="0.2">
      <c r="AD380" s="1"/>
    </row>
    <row r="381" spans="30:30" x14ac:dyDescent="0.2">
      <c r="AD381" s="1"/>
    </row>
    <row r="382" spans="30:30" x14ac:dyDescent="0.2">
      <c r="AD382" s="1"/>
    </row>
    <row r="383" spans="30:30" x14ac:dyDescent="0.2">
      <c r="AD383" s="1"/>
    </row>
    <row r="384" spans="30:30" x14ac:dyDescent="0.2">
      <c r="AD384" s="1"/>
    </row>
    <row r="385" spans="30:30" x14ac:dyDescent="0.2">
      <c r="AD385" s="1"/>
    </row>
    <row r="386" spans="30:30" x14ac:dyDescent="0.2">
      <c r="AD386" s="1"/>
    </row>
    <row r="387" spans="30:30" x14ac:dyDescent="0.2">
      <c r="AD387" s="1"/>
    </row>
    <row r="388" spans="30:30" x14ac:dyDescent="0.2">
      <c r="AD388" s="1"/>
    </row>
    <row r="389" spans="30:30" x14ac:dyDescent="0.2">
      <c r="AD389" s="1"/>
    </row>
  </sheetData>
  <autoFilter ref="AK13:AK50" xr:uid="{00000000-0009-0000-0000-00001D000000}">
    <filterColumn colId="0">
      <customFilters>
        <customFilter operator="greaterThan" val="0.3"/>
      </customFilters>
    </filterColumn>
  </autoFilter>
  <conditionalFormatting sqref="AD14:AD104">
    <cfRule type="duplicateValues" dxfId="0" priority="2"/>
  </conditionalFormatting>
  <pageMargins left="0.7" right="0.7" top="0.75" bottom="0.75" header="0.3" footer="0.3"/>
  <pageSetup orientation="portrait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C198"/>
  <sheetViews>
    <sheetView topLeftCell="B1" zoomScale="70" zoomScaleNormal="70" workbookViewId="0">
      <selection activeCell="K9" sqref="K9"/>
    </sheetView>
  </sheetViews>
  <sheetFormatPr defaultRowHeight="12.75" x14ac:dyDescent="0.2"/>
  <cols>
    <col min="1" max="1" width="18.140625" hidden="1" customWidth="1"/>
    <col min="2" max="2" width="18.28515625" customWidth="1"/>
    <col min="3" max="3" width="36.140625" customWidth="1"/>
    <col min="4" max="4" width="29.85546875" bestFit="1" customWidth="1"/>
    <col min="5" max="5" width="14" bestFit="1" customWidth="1"/>
    <col min="6" max="6" width="10.5703125" bestFit="1" customWidth="1"/>
    <col min="7" max="7" width="10.5703125" customWidth="1"/>
    <col min="8" max="8" width="14" customWidth="1"/>
    <col min="9" max="9" width="9.7109375" customWidth="1"/>
    <col min="10" max="11" width="9.7109375" style="174" customWidth="1"/>
    <col min="12" max="12" width="9.7109375" customWidth="1"/>
    <col min="13" max="13" width="14.85546875" style="181" bestFit="1" customWidth="1"/>
    <col min="14" max="14" width="9.42578125" customWidth="1"/>
    <col min="15" max="15" width="13.5703125" style="177" bestFit="1" customWidth="1"/>
    <col min="16" max="16" width="9.42578125" customWidth="1"/>
    <col min="17" max="17" width="12.28515625" style="184" customWidth="1"/>
    <col min="18" max="18" width="12.28515625" customWidth="1"/>
    <col min="19" max="19" width="12.28515625" style="184" customWidth="1"/>
    <col min="20" max="20" width="12.28515625" customWidth="1"/>
    <col min="21" max="21" width="12.28515625" style="184" customWidth="1"/>
    <col min="22" max="22" width="14" customWidth="1"/>
    <col min="23" max="23" width="13.42578125" customWidth="1"/>
    <col min="24" max="24" width="12.28515625" style="184" customWidth="1"/>
    <col min="25" max="28" width="12.28515625" customWidth="1"/>
    <col min="29" max="29" width="14.85546875" bestFit="1" customWidth="1"/>
    <col min="31" max="31" width="26.28515625" customWidth="1"/>
    <col min="32" max="38" width="16.28515625" customWidth="1"/>
  </cols>
  <sheetData>
    <row r="1" spans="1:29" ht="55.5" customHeight="1" x14ac:dyDescent="0.2">
      <c r="A1" s="41" t="s">
        <v>0</v>
      </c>
      <c r="B1" s="95" t="s">
        <v>424</v>
      </c>
      <c r="C1" s="95"/>
      <c r="D1" s="16" t="s">
        <v>463</v>
      </c>
      <c r="E1" s="16" t="s">
        <v>434</v>
      </c>
      <c r="F1" s="16" t="s">
        <v>435</v>
      </c>
      <c r="G1" s="16" t="s">
        <v>951</v>
      </c>
      <c r="H1" s="40" t="s">
        <v>436</v>
      </c>
      <c r="I1" s="40" t="s">
        <v>513</v>
      </c>
      <c r="J1" s="172" t="s">
        <v>902</v>
      </c>
      <c r="K1" s="172" t="s">
        <v>957</v>
      </c>
      <c r="L1" s="40" t="s">
        <v>958</v>
      </c>
      <c r="M1" s="178" t="s">
        <v>960</v>
      </c>
      <c r="N1" s="40" t="s">
        <v>959</v>
      </c>
      <c r="O1" s="175" t="s">
        <v>507</v>
      </c>
      <c r="P1" s="40" t="s">
        <v>498</v>
      </c>
      <c r="Q1" s="182" t="s">
        <v>508</v>
      </c>
      <c r="R1" s="40" t="s">
        <v>499</v>
      </c>
      <c r="S1" s="182" t="s">
        <v>509</v>
      </c>
      <c r="T1" s="40" t="s">
        <v>500</v>
      </c>
      <c r="U1" s="182" t="s">
        <v>510</v>
      </c>
      <c r="V1" s="40" t="s">
        <v>438</v>
      </c>
      <c r="W1" s="40"/>
      <c r="X1" s="182" t="s">
        <v>511</v>
      </c>
      <c r="Y1" s="40" t="s">
        <v>954</v>
      </c>
      <c r="Z1" s="40" t="s">
        <v>956</v>
      </c>
      <c r="AA1" s="40" t="s">
        <v>439</v>
      </c>
      <c r="AB1" s="40"/>
      <c r="AC1" s="96" t="s">
        <v>512</v>
      </c>
    </row>
    <row r="2" spans="1:29" x14ac:dyDescent="0.2">
      <c r="A2" s="1" t="s">
        <v>1</v>
      </c>
      <c r="B2" s="1" t="s">
        <v>1</v>
      </c>
      <c r="C2" s="1" t="s">
        <v>2</v>
      </c>
      <c r="D2" s="36" t="s">
        <v>505</v>
      </c>
      <c r="E2" s="36">
        <v>809670.37990000006</v>
      </c>
      <c r="F2" s="36">
        <v>759109.37990000006</v>
      </c>
      <c r="G2" s="36">
        <v>91154</v>
      </c>
      <c r="H2" s="36">
        <v>110360</v>
      </c>
      <c r="I2" s="36">
        <v>122897.462</v>
      </c>
      <c r="J2" s="173">
        <v>6.8784829639362091</v>
      </c>
      <c r="K2" s="173">
        <v>6.1767701915601814</v>
      </c>
      <c r="L2" s="171">
        <f>(H2-G2)/G2</f>
        <v>0.21069837856813745</v>
      </c>
      <c r="M2" s="171">
        <v>0.11360512866980788</v>
      </c>
      <c r="N2" s="36">
        <v>72007</v>
      </c>
      <c r="O2" s="176">
        <v>0.65247372236317502</v>
      </c>
      <c r="P2" s="36">
        <v>14726</v>
      </c>
      <c r="Q2" s="183">
        <v>0.13343602754621239</v>
      </c>
      <c r="R2" s="36">
        <v>17469</v>
      </c>
      <c r="S2" s="183">
        <v>0.15829104748097136</v>
      </c>
      <c r="T2" s="36">
        <v>4754</v>
      </c>
      <c r="U2" s="183">
        <v>4.3077201884740846E-2</v>
      </c>
      <c r="V2" s="36">
        <v>45319</v>
      </c>
      <c r="W2" s="36">
        <v>53201.4</v>
      </c>
      <c r="X2" s="183">
        <v>0.41064697354113811</v>
      </c>
      <c r="Y2" s="36">
        <v>31999</v>
      </c>
      <c r="Z2" s="36">
        <v>11946</v>
      </c>
      <c r="AA2" s="36">
        <v>27500.14</v>
      </c>
      <c r="AB2" s="36">
        <v>33168.381000000001</v>
      </c>
      <c r="AC2" s="170">
        <v>0.24918575570859006</v>
      </c>
    </row>
    <row r="3" spans="1:29" x14ac:dyDescent="0.2">
      <c r="A3" s="1" t="s">
        <v>7</v>
      </c>
      <c r="B3" s="1" t="s">
        <v>7</v>
      </c>
      <c r="C3" s="1" t="s">
        <v>8</v>
      </c>
      <c r="D3" s="36" t="s">
        <v>505</v>
      </c>
      <c r="E3" s="36">
        <v>180301.2904</v>
      </c>
      <c r="F3" s="36">
        <v>178833.2904</v>
      </c>
      <c r="G3" s="36">
        <v>37047</v>
      </c>
      <c r="H3" s="36">
        <v>39836</v>
      </c>
      <c r="I3" s="36">
        <v>40369.717000000004</v>
      </c>
      <c r="J3" s="173">
        <v>4.4892381363590719</v>
      </c>
      <c r="K3" s="173">
        <v>4.429887145357001</v>
      </c>
      <c r="L3" s="171">
        <f t="shared" ref="L3:L66" si="0">(H3-G3)/G3</f>
        <v>7.5282748940534994E-2</v>
      </c>
      <c r="M3" s="171">
        <v>1.3397856210463077E-2</v>
      </c>
      <c r="N3" s="36">
        <v>31737</v>
      </c>
      <c r="O3" s="176">
        <v>0.79669143488302041</v>
      </c>
      <c r="P3" s="36">
        <v>6091</v>
      </c>
      <c r="Q3" s="183">
        <v>0.15290189778090169</v>
      </c>
      <c r="R3" s="36">
        <v>8431</v>
      </c>
      <c r="S3" s="183">
        <v>0.21164273521437896</v>
      </c>
      <c r="T3" s="36">
        <v>1289</v>
      </c>
      <c r="U3" s="183">
        <v>3.2357666432372728E-2</v>
      </c>
      <c r="V3" s="36">
        <v>17054</v>
      </c>
      <c r="W3" s="36">
        <v>18945.600000000002</v>
      </c>
      <c r="X3" s="183">
        <v>0.42810523144894064</v>
      </c>
      <c r="Y3" s="36">
        <v>13896</v>
      </c>
      <c r="Z3" s="36">
        <v>21620</v>
      </c>
      <c r="AA3" s="36">
        <v>11273.48040882633</v>
      </c>
      <c r="AB3" s="36">
        <v>13494.148999999999</v>
      </c>
      <c r="AC3" s="170">
        <v>0.2829972991471616</v>
      </c>
    </row>
    <row r="4" spans="1:29" x14ac:dyDescent="0.2">
      <c r="A4" s="1" t="s">
        <v>9</v>
      </c>
      <c r="B4" s="1" t="s">
        <v>9</v>
      </c>
      <c r="C4" s="1" t="s">
        <v>10</v>
      </c>
      <c r="D4" s="36" t="s">
        <v>495</v>
      </c>
      <c r="E4" s="36">
        <v>120471.356</v>
      </c>
      <c r="F4" s="36">
        <v>117401.54</v>
      </c>
      <c r="G4" s="36">
        <v>5854.43</v>
      </c>
      <c r="H4" s="36">
        <v>8571.9779999999992</v>
      </c>
      <c r="I4" s="36">
        <v>10315.565000000001</v>
      </c>
      <c r="J4" s="173">
        <v>13.695968421757499</v>
      </c>
      <c r="K4" s="173">
        <v>11.381009183694736</v>
      </c>
      <c r="L4" s="171">
        <f t="shared" si="0"/>
        <v>0.46418660740669865</v>
      </c>
      <c r="M4" s="171">
        <v>0.20340544504430613</v>
      </c>
      <c r="N4" s="36">
        <v>7465.3680576171873</v>
      </c>
      <c r="O4" s="176">
        <v>0.8709037817895926</v>
      </c>
      <c r="P4" s="36">
        <v>1224.059</v>
      </c>
      <c r="Q4" s="183">
        <v>0.14279772999884041</v>
      </c>
      <c r="R4" s="36">
        <v>2197.5920000000001</v>
      </c>
      <c r="S4" s="183">
        <v>0.25636930006119946</v>
      </c>
      <c r="T4" s="36">
        <v>624.70600000000002</v>
      </c>
      <c r="U4" s="183">
        <v>7.2877695206403942E-2</v>
      </c>
      <c r="V4" s="36">
        <v>3089.8100000000004</v>
      </c>
      <c r="W4" s="36">
        <v>4722.8</v>
      </c>
      <c r="X4" s="183">
        <v>0.36045472818525676</v>
      </c>
      <c r="Y4" s="36">
        <v>3512.8310000000001</v>
      </c>
      <c r="Z4" s="36">
        <v>2306.0720000000001</v>
      </c>
      <c r="AA4" s="36">
        <v>2415.5068601730072</v>
      </c>
      <c r="AB4" s="36">
        <v>3792.5219999999999</v>
      </c>
      <c r="AC4" s="170">
        <v>0.28179107087920752</v>
      </c>
    </row>
    <row r="5" spans="1:29" x14ac:dyDescent="0.2">
      <c r="A5" s="1" t="s">
        <v>11</v>
      </c>
      <c r="B5" s="1" t="s">
        <v>11</v>
      </c>
      <c r="C5" s="1" t="s">
        <v>12</v>
      </c>
      <c r="D5" s="36" t="s">
        <v>495</v>
      </c>
      <c r="E5" s="36">
        <v>103645.19990000001</v>
      </c>
      <c r="F5" s="36">
        <v>103894.19990000001</v>
      </c>
      <c r="G5" s="36">
        <v>6667.2160000000003</v>
      </c>
      <c r="H5" s="36">
        <v>11817.844000000001</v>
      </c>
      <c r="I5" s="36">
        <v>14404.651</v>
      </c>
      <c r="J5" s="173">
        <v>8.7912989797462213</v>
      </c>
      <c r="K5" s="173">
        <v>7.2125454410523382</v>
      </c>
      <c r="L5" s="171">
        <f t="shared" si="0"/>
        <v>0.77253054348321704</v>
      </c>
      <c r="M5" s="171">
        <v>0.2188899261151187</v>
      </c>
      <c r="N5" s="36">
        <v>8749.5439453125</v>
      </c>
      <c r="O5" s="176">
        <v>0.74036718925317502</v>
      </c>
      <c r="P5" s="36">
        <v>1553.0729999999999</v>
      </c>
      <c r="Q5" s="183">
        <v>0.13141762575305613</v>
      </c>
      <c r="R5" s="36">
        <v>4829.2910000000002</v>
      </c>
      <c r="S5" s="183">
        <v>0.40864399631607928</v>
      </c>
      <c r="T5" s="36">
        <v>1088.3579999999999</v>
      </c>
      <c r="U5" s="183">
        <v>9.2094463254041928E-2</v>
      </c>
      <c r="V5" s="36">
        <v>1308.0920000000001</v>
      </c>
      <c r="W5" s="36">
        <v>3506.19</v>
      </c>
      <c r="X5" s="183">
        <v>0.11068787166254691</v>
      </c>
      <c r="Y5" s="36">
        <v>2552.5609999999997</v>
      </c>
      <c r="Z5" s="36">
        <v>2543</v>
      </c>
      <c r="AA5" s="36">
        <v>482.47887560000004</v>
      </c>
      <c r="AB5" s="36">
        <v>1884.8969999999999</v>
      </c>
      <c r="AC5" s="170">
        <v>4.0826302631850615E-2</v>
      </c>
    </row>
    <row r="6" spans="1:29" x14ac:dyDescent="0.2">
      <c r="A6" s="1" t="s">
        <v>15</v>
      </c>
      <c r="B6" s="1" t="s">
        <v>15</v>
      </c>
      <c r="C6" s="1" t="s">
        <v>16</v>
      </c>
      <c r="D6" s="36" t="s">
        <v>506</v>
      </c>
      <c r="E6" s="36">
        <v>61784.005499999999</v>
      </c>
      <c r="F6" s="36">
        <v>61613.105499999998</v>
      </c>
      <c r="G6" s="36">
        <v>11667.8</v>
      </c>
      <c r="H6" s="36">
        <v>13325.8</v>
      </c>
      <c r="I6" s="36">
        <v>14165.857</v>
      </c>
      <c r="J6" s="173">
        <v>4.6235952438127539</v>
      </c>
      <c r="K6" s="173">
        <v>4.3494089697502947</v>
      </c>
      <c r="L6" s="171">
        <f t="shared" si="0"/>
        <v>0.14210048166749517</v>
      </c>
      <c r="M6" s="171">
        <v>6.303989253928477E-2</v>
      </c>
      <c r="N6" s="36">
        <v>5483.0999511718746</v>
      </c>
      <c r="O6" s="176">
        <v>0.41146497404822785</v>
      </c>
      <c r="P6" s="36">
        <v>0</v>
      </c>
      <c r="Q6" s="183">
        <v>0</v>
      </c>
      <c r="R6" s="36" t="s">
        <v>480</v>
      </c>
      <c r="S6" s="183" t="e">
        <v>#VALUE!</v>
      </c>
      <c r="T6" s="36" t="s">
        <v>480</v>
      </c>
      <c r="U6" s="183" t="e">
        <v>#VALUE!</v>
      </c>
      <c r="V6" s="36">
        <v>3327.1</v>
      </c>
      <c r="W6" s="36">
        <v>3330.7559999999999</v>
      </c>
      <c r="X6" s="183">
        <v>0.24967356556454398</v>
      </c>
      <c r="Y6" s="36">
        <v>2243.7000000000003</v>
      </c>
      <c r="Z6" s="36">
        <v>2170</v>
      </c>
      <c r="AA6" s="36">
        <v>1929.6169999999997</v>
      </c>
      <c r="AB6" s="36">
        <v>2265.875</v>
      </c>
      <c r="AC6" s="170">
        <v>0.144803088745141</v>
      </c>
    </row>
    <row r="7" spans="1:29" x14ac:dyDescent="0.2">
      <c r="A7" s="1" t="s">
        <v>17</v>
      </c>
      <c r="B7" s="1" t="s">
        <v>17</v>
      </c>
      <c r="C7" s="1" t="s">
        <v>18</v>
      </c>
      <c r="D7" s="36" t="s">
        <v>505</v>
      </c>
      <c r="E7" s="36">
        <v>58334.508399999999</v>
      </c>
      <c r="F7" s="36">
        <v>49272.508399999999</v>
      </c>
      <c r="G7" s="36">
        <v>7093</v>
      </c>
      <c r="H7" s="36">
        <v>8467</v>
      </c>
      <c r="I7" s="36">
        <v>9081.755000000001</v>
      </c>
      <c r="J7" s="173">
        <v>5.8193584976969408</v>
      </c>
      <c r="K7" s="173">
        <v>5.4254390698714063</v>
      </c>
      <c r="L7" s="171">
        <f t="shared" si="0"/>
        <v>0.19371211053150994</v>
      </c>
      <c r="M7" s="171">
        <v>7.2605999763788898E-2</v>
      </c>
      <c r="N7" s="36">
        <v>7285</v>
      </c>
      <c r="O7" s="176">
        <v>0.8603991968820125</v>
      </c>
      <c r="P7" s="36">
        <v>1755</v>
      </c>
      <c r="Q7" s="183">
        <v>0.20727530412188497</v>
      </c>
      <c r="R7" s="36">
        <v>2593</v>
      </c>
      <c r="S7" s="183">
        <v>0.30624778552025511</v>
      </c>
      <c r="T7" s="36">
        <v>654</v>
      </c>
      <c r="U7" s="183">
        <v>7.7241053501830637E-2</v>
      </c>
      <c r="V7" s="36">
        <v>2515</v>
      </c>
      <c r="W7" s="36">
        <v>3697</v>
      </c>
      <c r="X7" s="183">
        <v>0.29703554978150465</v>
      </c>
      <c r="Y7" s="36">
        <v>3221</v>
      </c>
      <c r="Z7" s="36">
        <v>5971</v>
      </c>
      <c r="AA7" s="36">
        <v>3395.5353242424239</v>
      </c>
      <c r="AB7" s="36">
        <v>2533.7220000000002</v>
      </c>
      <c r="AC7" s="170">
        <v>0.40103169059199528</v>
      </c>
    </row>
    <row r="8" spans="1:29" x14ac:dyDescent="0.2">
      <c r="A8" s="1" t="s">
        <v>19</v>
      </c>
      <c r="B8" s="1" t="s">
        <v>19</v>
      </c>
      <c r="C8" s="1" t="s">
        <v>20</v>
      </c>
      <c r="D8" s="36" t="s">
        <v>495</v>
      </c>
      <c r="E8" s="36">
        <v>53751.963400000001</v>
      </c>
      <c r="F8" s="36">
        <v>52287.719499999999</v>
      </c>
      <c r="G8" s="36">
        <v>4694</v>
      </c>
      <c r="H8" s="36">
        <v>5964</v>
      </c>
      <c r="I8" s="36">
        <v>6610.5380000000005</v>
      </c>
      <c r="J8" s="173">
        <v>8.7672232562038896</v>
      </c>
      <c r="K8" s="173">
        <v>7.9097525042591084</v>
      </c>
      <c r="L8" s="171">
        <f t="shared" si="0"/>
        <v>0.27055815935236471</v>
      </c>
      <c r="M8" s="171">
        <v>0.10840677397719656</v>
      </c>
      <c r="N8" s="36">
        <v>4992</v>
      </c>
      <c r="O8" s="176">
        <v>0.83702213279678073</v>
      </c>
      <c r="P8" s="36">
        <v>1186</v>
      </c>
      <c r="Q8" s="183">
        <v>0.19885982562038901</v>
      </c>
      <c r="R8" s="36">
        <v>1634</v>
      </c>
      <c r="S8" s="183">
        <v>0.27397719651240776</v>
      </c>
      <c r="T8" s="36">
        <v>664</v>
      </c>
      <c r="U8" s="183">
        <v>0.11133467471495641</v>
      </c>
      <c r="V8" s="36">
        <v>1823</v>
      </c>
      <c r="W8" s="36">
        <v>2438</v>
      </c>
      <c r="X8" s="183">
        <v>0.3056673373574782</v>
      </c>
      <c r="Y8" s="36">
        <v>1938</v>
      </c>
      <c r="Z8" s="36">
        <v>1464</v>
      </c>
      <c r="AA8" s="36">
        <v>1268.9562790151069</v>
      </c>
      <c r="AB8" s="36">
        <v>1695.9180000000001</v>
      </c>
      <c r="AC8" s="170">
        <v>0.21276932914404878</v>
      </c>
    </row>
    <row r="9" spans="1:29" x14ac:dyDescent="0.2">
      <c r="A9" s="1" t="s">
        <v>23</v>
      </c>
      <c r="B9" s="1" t="s">
        <v>23</v>
      </c>
      <c r="C9" s="1" t="s">
        <v>24</v>
      </c>
      <c r="D9" s="36" t="s">
        <v>505</v>
      </c>
      <c r="E9" s="36">
        <v>30961.627899999999</v>
      </c>
      <c r="F9" s="36">
        <v>30069.100900000001</v>
      </c>
      <c r="G9" s="36">
        <v>1390.5129999999999</v>
      </c>
      <c r="H9" s="36">
        <v>2264.8180000000002</v>
      </c>
      <c r="I9" s="36">
        <v>2957.73</v>
      </c>
      <c r="J9" s="173">
        <v>13.27660805415711</v>
      </c>
      <c r="K9" s="173">
        <v>10.166276468778422</v>
      </c>
      <c r="L9" s="171">
        <f t="shared" si="0"/>
        <v>0.62876434812188042</v>
      </c>
      <c r="M9" s="171">
        <v>0.30594599654365151</v>
      </c>
      <c r="N9" s="36">
        <v>1706.5400173339845</v>
      </c>
      <c r="O9" s="176">
        <v>0.75349984737580866</v>
      </c>
      <c r="P9" s="36">
        <v>377.51799999999997</v>
      </c>
      <c r="Q9" s="183">
        <v>0.16668800760149377</v>
      </c>
      <c r="R9" s="36">
        <v>946.61699999999996</v>
      </c>
      <c r="S9" s="183">
        <v>0.41796603523991765</v>
      </c>
      <c r="T9" s="36">
        <v>210.53299999999999</v>
      </c>
      <c r="U9" s="183">
        <v>9.2958021350942971E-2</v>
      </c>
      <c r="V9" s="36">
        <v>59.362000000000002</v>
      </c>
      <c r="W9" s="36">
        <v>778.80000000000007</v>
      </c>
      <c r="X9" s="183">
        <v>2.6210494618110591E-2</v>
      </c>
      <c r="Y9" s="36">
        <v>535.26</v>
      </c>
      <c r="Z9" s="36">
        <v>726.495</v>
      </c>
      <c r="AA9" s="36">
        <v>-89.498374022804001</v>
      </c>
      <c r="AB9" s="36">
        <v>496.71600000000001</v>
      </c>
      <c r="AC9" s="170">
        <v>-3.9516806217013457E-2</v>
      </c>
    </row>
    <row r="10" spans="1:29" x14ac:dyDescent="0.2">
      <c r="A10" s="1" t="s">
        <v>29</v>
      </c>
      <c r="B10" s="1" t="s">
        <v>29</v>
      </c>
      <c r="C10" s="1" t="s">
        <v>30</v>
      </c>
      <c r="D10" s="36" t="s">
        <v>506</v>
      </c>
      <c r="E10" s="36">
        <v>29089.448</v>
      </c>
      <c r="F10" s="36">
        <v>37238.548000000003</v>
      </c>
      <c r="G10" s="36">
        <v>3578.991</v>
      </c>
      <c r="H10" s="36">
        <v>3957.0110000000004</v>
      </c>
      <c r="I10" s="36">
        <v>4123.2660000000005</v>
      </c>
      <c r="J10" s="173">
        <v>9.4107769728211519</v>
      </c>
      <c r="K10" s="173">
        <v>9.0313232277519813</v>
      </c>
      <c r="L10" s="171">
        <f t="shared" si="0"/>
        <v>0.10562194763831495</v>
      </c>
      <c r="M10" s="171">
        <v>4.2015298921332267E-2</v>
      </c>
      <c r="N10" s="36">
        <v>2980.6710327148439</v>
      </c>
      <c r="O10" s="176">
        <v>0.75326326682307521</v>
      </c>
      <c r="P10" s="36">
        <v>0</v>
      </c>
      <c r="Q10" s="183">
        <v>0</v>
      </c>
      <c r="R10" s="36">
        <v>669.50599999999997</v>
      </c>
      <c r="S10" s="183">
        <v>0.16919487967053917</v>
      </c>
      <c r="T10" s="36">
        <v>295.101</v>
      </c>
      <c r="U10" s="183">
        <v>7.4576744921861463E-2</v>
      </c>
      <c r="V10" s="36">
        <v>1336.268</v>
      </c>
      <c r="W10" s="36">
        <v>2025.325</v>
      </c>
      <c r="X10" s="183">
        <v>0.33769630663144479</v>
      </c>
      <c r="Y10" s="36">
        <v>255.92199999999997</v>
      </c>
      <c r="Z10" s="36">
        <v>126.503</v>
      </c>
      <c r="AA10" s="36">
        <v>93.840450000000004</v>
      </c>
      <c r="AB10" s="36">
        <v>1334.0820000000001</v>
      </c>
      <c r="AC10" s="170">
        <v>2.3714983354860525E-2</v>
      </c>
    </row>
    <row r="11" spans="1:29" x14ac:dyDescent="0.2">
      <c r="A11" s="1" t="s">
        <v>31</v>
      </c>
      <c r="B11" s="1" t="s">
        <v>31</v>
      </c>
      <c r="C11" s="1" t="s">
        <v>32</v>
      </c>
      <c r="D11" s="36" t="s">
        <v>495</v>
      </c>
      <c r="E11" s="36">
        <v>28194.987400000002</v>
      </c>
      <c r="F11" s="36">
        <v>28484.287400000001</v>
      </c>
      <c r="G11" s="36">
        <v>2504.1</v>
      </c>
      <c r="H11" s="36">
        <v>2240.6999999999998</v>
      </c>
      <c r="I11" s="36">
        <v>2807.2000000000003</v>
      </c>
      <c r="J11" s="173">
        <v>12.712227161154997</v>
      </c>
      <c r="K11" s="173">
        <v>10.146867839840409</v>
      </c>
      <c r="L11" s="171">
        <f t="shared" si="0"/>
        <v>-0.10518749251227991</v>
      </c>
      <c r="M11" s="171">
        <v>0.25282277859597468</v>
      </c>
      <c r="N11" s="36">
        <v>1953.5000061035157</v>
      </c>
      <c r="O11" s="176">
        <v>0.87182577145691786</v>
      </c>
      <c r="P11" s="36">
        <v>755.5</v>
      </c>
      <c r="Q11" s="183">
        <v>0.33717141964564645</v>
      </c>
      <c r="R11" s="36">
        <v>1087.3</v>
      </c>
      <c r="S11" s="183">
        <v>0.48525014504395947</v>
      </c>
      <c r="T11" s="36">
        <v>305.2</v>
      </c>
      <c r="U11" s="183">
        <v>0.13620743517650735</v>
      </c>
      <c r="V11" s="36">
        <v>-131.1</v>
      </c>
      <c r="W11" s="36">
        <v>635.5</v>
      </c>
      <c r="X11" s="183">
        <v>-5.8508501807470879E-2</v>
      </c>
      <c r="Y11" s="36">
        <v>84.1</v>
      </c>
      <c r="Z11" s="36">
        <v>1078</v>
      </c>
      <c r="AA11" s="36">
        <v>-301.367196788814</v>
      </c>
      <c r="AB11" s="36">
        <v>429.976</v>
      </c>
      <c r="AC11" s="170">
        <v>-0.13449689685759542</v>
      </c>
    </row>
    <row r="12" spans="1:29" x14ac:dyDescent="0.2">
      <c r="A12" s="1" t="s">
        <v>33</v>
      </c>
      <c r="B12" s="1" t="s">
        <v>33</v>
      </c>
      <c r="C12" s="1" t="s">
        <v>34</v>
      </c>
      <c r="D12" s="36" t="s">
        <v>495</v>
      </c>
      <c r="E12" s="36">
        <v>27264.9643</v>
      </c>
      <c r="F12" s="36">
        <v>25456.8783</v>
      </c>
      <c r="G12" s="36">
        <v>1156.69</v>
      </c>
      <c r="H12" s="36">
        <v>2428.232</v>
      </c>
      <c r="I12" s="36">
        <v>3119.846</v>
      </c>
      <c r="J12" s="173">
        <v>10.483709258423414</v>
      </c>
      <c r="K12" s="173">
        <v>8.1596586177651069</v>
      </c>
      <c r="L12" s="171">
        <f t="shared" si="0"/>
        <v>1.0992936741910104</v>
      </c>
      <c r="M12" s="171">
        <v>0.28482204336323713</v>
      </c>
      <c r="N12" s="36">
        <v>1715.5240270996094</v>
      </c>
      <c r="O12" s="176">
        <v>0.70649098895806062</v>
      </c>
      <c r="P12" s="36">
        <v>910.58399999999995</v>
      </c>
      <c r="Q12" s="183">
        <v>0.37499876453320768</v>
      </c>
      <c r="R12" s="36">
        <v>683.36699999999996</v>
      </c>
      <c r="S12" s="183">
        <v>0.28142574515120466</v>
      </c>
      <c r="T12" s="36">
        <v>222.90899999999999</v>
      </c>
      <c r="U12" s="183">
        <v>9.1798889068260364E-2</v>
      </c>
      <c r="V12" s="36">
        <v>-107.83699999999999</v>
      </c>
      <c r="W12" s="36">
        <v>502.2</v>
      </c>
      <c r="X12" s="183">
        <v>-4.4409677493748537E-2</v>
      </c>
      <c r="Y12" s="36">
        <v>288.99900000000002</v>
      </c>
      <c r="Z12" s="36">
        <v>1134.355</v>
      </c>
      <c r="AA12" s="36">
        <v>-334.86065359999998</v>
      </c>
      <c r="AB12" s="36">
        <v>272.8</v>
      </c>
      <c r="AC12" s="170">
        <v>-0.137903072523548</v>
      </c>
    </row>
    <row r="13" spans="1:29" x14ac:dyDescent="0.2">
      <c r="A13" s="1" t="s">
        <v>35</v>
      </c>
      <c r="B13" s="1" t="s">
        <v>35</v>
      </c>
      <c r="C13" s="1" t="s">
        <v>36</v>
      </c>
      <c r="D13" s="36" t="s">
        <v>506</v>
      </c>
      <c r="E13" s="36">
        <v>23584.501899999999</v>
      </c>
      <c r="F13" s="36">
        <v>23118.2019</v>
      </c>
      <c r="G13" s="36">
        <v>2951.9</v>
      </c>
      <c r="H13" s="36">
        <v>3426.9</v>
      </c>
      <c r="I13" s="36">
        <v>3662.9560000000001</v>
      </c>
      <c r="J13" s="173">
        <v>6.7460976100849166</v>
      </c>
      <c r="K13" s="173">
        <v>6.3113512420023605</v>
      </c>
      <c r="L13" s="171">
        <f t="shared" si="0"/>
        <v>0.16091331007147938</v>
      </c>
      <c r="M13" s="171">
        <v>6.8883247249700963E-2</v>
      </c>
      <c r="N13" s="36">
        <v>2375.6999633789064</v>
      </c>
      <c r="O13" s="176">
        <v>0.69325044891269261</v>
      </c>
      <c r="P13" s="36">
        <v>0</v>
      </c>
      <c r="Q13" s="183">
        <v>0</v>
      </c>
      <c r="R13" s="36" t="s">
        <v>480</v>
      </c>
      <c r="S13" s="183" t="e">
        <v>#VALUE!</v>
      </c>
      <c r="T13" s="36" t="s">
        <v>480</v>
      </c>
      <c r="U13" s="183" t="e">
        <v>#VALUE!</v>
      </c>
      <c r="V13" s="36">
        <v>1437.8257196663981</v>
      </c>
      <c r="W13" s="36">
        <v>1504.6000000000001</v>
      </c>
      <c r="X13" s="183">
        <v>0.41957037546073656</v>
      </c>
      <c r="Y13" s="36">
        <v>1005.9</v>
      </c>
      <c r="Z13" s="36">
        <v>358.2</v>
      </c>
      <c r="AA13" s="36">
        <v>914.04665999999997</v>
      </c>
      <c r="AB13" s="36">
        <v>1049.039</v>
      </c>
      <c r="AC13" s="170">
        <v>0.26672697189880062</v>
      </c>
    </row>
    <row r="14" spans="1:29" x14ac:dyDescent="0.2">
      <c r="A14" s="1" t="s">
        <v>37</v>
      </c>
      <c r="B14" s="1" t="s">
        <v>37</v>
      </c>
      <c r="C14" s="1" t="s">
        <v>38</v>
      </c>
      <c r="D14" s="36" t="s">
        <v>505</v>
      </c>
      <c r="E14" s="36">
        <v>20800.9689</v>
      </c>
      <c r="F14" s="36">
        <v>19172.8344</v>
      </c>
      <c r="G14" s="36">
        <v>2052.23</v>
      </c>
      <c r="H14" s="36">
        <v>3156.587</v>
      </c>
      <c r="I14" s="36">
        <v>3599.1820000000002</v>
      </c>
      <c r="J14" s="173">
        <v>6.0739128685507477</v>
      </c>
      <c r="K14" s="173">
        <v>5.3269977455988604</v>
      </c>
      <c r="L14" s="171">
        <f t="shared" si="0"/>
        <v>0.5381253563197107</v>
      </c>
      <c r="M14" s="171">
        <v>0.14021314793477901</v>
      </c>
      <c r="N14" s="36">
        <v>2690.5739580078125</v>
      </c>
      <c r="O14" s="176">
        <v>0.85236806652495634</v>
      </c>
      <c r="P14" s="36">
        <v>578.32999999999993</v>
      </c>
      <c r="Q14" s="183">
        <v>0.18321370518221103</v>
      </c>
      <c r="R14" s="36">
        <v>1198.576</v>
      </c>
      <c r="S14" s="183">
        <v>0.37970630937781852</v>
      </c>
      <c r="T14" s="36">
        <v>239.316</v>
      </c>
      <c r="U14" s="183">
        <v>7.5814796170674215E-2</v>
      </c>
      <c r="V14" s="36">
        <v>602.68600000000004</v>
      </c>
      <c r="W14" s="36">
        <v>1001.4</v>
      </c>
      <c r="X14" s="183">
        <v>0.19092963381018804</v>
      </c>
      <c r="Y14" s="36">
        <v>941.41899999999998</v>
      </c>
      <c r="Z14" s="36">
        <v>1724.1319999999998</v>
      </c>
      <c r="AA14" s="36">
        <v>417.021865536652</v>
      </c>
      <c r="AB14" s="36">
        <v>679.60699999999997</v>
      </c>
      <c r="AC14" s="170">
        <v>0.13211163371598883</v>
      </c>
    </row>
    <row r="15" spans="1:29" x14ac:dyDescent="0.2">
      <c r="A15" s="1" t="s">
        <v>39</v>
      </c>
      <c r="B15" s="1" t="s">
        <v>39</v>
      </c>
      <c r="C15" s="1" t="s">
        <v>40</v>
      </c>
      <c r="D15" s="36" t="s">
        <v>506</v>
      </c>
      <c r="E15" s="36">
        <v>20486.037899999999</v>
      </c>
      <c r="F15" s="36">
        <v>38637.037900000003</v>
      </c>
      <c r="G15" s="36">
        <v>11584</v>
      </c>
      <c r="H15" s="36">
        <v>10956</v>
      </c>
      <c r="I15" s="36">
        <v>8994.0679999999993</v>
      </c>
      <c r="J15" s="173">
        <v>3.5265642479006938</v>
      </c>
      <c r="K15" s="173">
        <v>4.2958356441156553</v>
      </c>
      <c r="L15" s="171">
        <f t="shared" si="0"/>
        <v>-5.4212707182320442E-2</v>
      </c>
      <c r="M15" s="171">
        <v>-0.17907374954362909</v>
      </c>
      <c r="N15" s="36">
        <v>5450</v>
      </c>
      <c r="O15" s="176">
        <v>0.49744432274552758</v>
      </c>
      <c r="P15" s="36">
        <v>0</v>
      </c>
      <c r="Q15" s="183">
        <v>0</v>
      </c>
      <c r="R15" s="36" t="s">
        <v>480</v>
      </c>
      <c r="S15" s="183" t="e">
        <v>#VALUE!</v>
      </c>
      <c r="T15" s="36" t="s">
        <v>480</v>
      </c>
      <c r="U15" s="183" t="e">
        <v>#VALUE!</v>
      </c>
      <c r="V15" s="36">
        <v>3054</v>
      </c>
      <c r="W15" s="36">
        <v>3430.4389999999999</v>
      </c>
      <c r="X15" s="183">
        <v>0.2787513691128149</v>
      </c>
      <c r="Y15" s="36">
        <v>1975</v>
      </c>
      <c r="Z15" s="36">
        <v>498</v>
      </c>
      <c r="AA15" s="36">
        <v>958.78000000000009</v>
      </c>
      <c r="AB15" s="36">
        <v>1452.2719999999999</v>
      </c>
      <c r="AC15" s="170">
        <v>8.7511865644395767E-2</v>
      </c>
    </row>
    <row r="16" spans="1:29" x14ac:dyDescent="0.2">
      <c r="A16" s="1" t="s">
        <v>43</v>
      </c>
      <c r="B16" s="1" t="s">
        <v>43</v>
      </c>
      <c r="C16" s="1" t="s">
        <v>44</v>
      </c>
      <c r="D16" s="36" t="s">
        <v>505</v>
      </c>
      <c r="E16" s="36">
        <v>18309.393199999999</v>
      </c>
      <c r="F16" s="36">
        <v>17761.393199999999</v>
      </c>
      <c r="G16" s="36">
        <v>4025</v>
      </c>
      <c r="H16" s="36">
        <v>4148</v>
      </c>
      <c r="I16" s="36">
        <v>4285.5</v>
      </c>
      <c r="J16" s="173">
        <v>4.2819173577627767</v>
      </c>
      <c r="K16" s="173">
        <v>4.1445323066153303</v>
      </c>
      <c r="L16" s="171">
        <f t="shared" si="0"/>
        <v>3.0559006211180125E-2</v>
      </c>
      <c r="M16" s="171">
        <v>3.3148505303760789E-2</v>
      </c>
      <c r="N16" s="36">
        <v>3546</v>
      </c>
      <c r="O16" s="176">
        <v>0.85486981677917073</v>
      </c>
      <c r="P16" s="36">
        <v>642</v>
      </c>
      <c r="Q16" s="183">
        <v>0.15477338476374156</v>
      </c>
      <c r="R16" s="36">
        <v>1061</v>
      </c>
      <c r="S16" s="183">
        <v>0.25578592092574737</v>
      </c>
      <c r="T16" s="36">
        <v>406</v>
      </c>
      <c r="U16" s="183">
        <v>9.7878495660559311E-2</v>
      </c>
      <c r="V16" s="36">
        <v>1440</v>
      </c>
      <c r="W16" s="36" t="s">
        <v>480</v>
      </c>
      <c r="X16" s="183">
        <v>0.34715525554484089</v>
      </c>
      <c r="Y16" s="36">
        <v>1064</v>
      </c>
      <c r="Z16" s="36">
        <v>3405</v>
      </c>
      <c r="AA16" s="36">
        <v>788.04512350394702</v>
      </c>
      <c r="AB16" s="36">
        <v>1167.5</v>
      </c>
      <c r="AC16" s="170">
        <v>0.18998194877144337</v>
      </c>
    </row>
    <row r="17" spans="1:29" x14ac:dyDescent="0.2">
      <c r="A17" s="1" t="s">
        <v>45</v>
      </c>
      <c r="B17" s="1" t="s">
        <v>45</v>
      </c>
      <c r="C17" s="1" t="s">
        <v>46</v>
      </c>
      <c r="D17" s="36" t="s">
        <v>506</v>
      </c>
      <c r="E17" s="36">
        <v>17794.284</v>
      </c>
      <c r="F17" s="36">
        <v>21757.589</v>
      </c>
      <c r="G17" s="36">
        <v>2898.15</v>
      </c>
      <c r="H17" s="36">
        <v>3721.3010000000004</v>
      </c>
      <c r="I17" s="36">
        <v>4117.8980000000001</v>
      </c>
      <c r="J17" s="173">
        <v>5.8467694497166445</v>
      </c>
      <c r="K17" s="173">
        <v>5.2836638984258473</v>
      </c>
      <c r="L17" s="171">
        <f t="shared" si="0"/>
        <v>0.28402636164449746</v>
      </c>
      <c r="M17" s="171">
        <v>0.10657482423485765</v>
      </c>
      <c r="N17" s="36">
        <v>2202.0189868164061</v>
      </c>
      <c r="O17" s="176">
        <v>0.59173364014800356</v>
      </c>
      <c r="P17" s="36">
        <v>0</v>
      </c>
      <c r="Q17" s="183">
        <v>0</v>
      </c>
      <c r="R17" s="36" t="s">
        <v>480</v>
      </c>
      <c r="S17" s="183" t="e">
        <v>#VALUE!</v>
      </c>
      <c r="T17" s="36" t="s">
        <v>480</v>
      </c>
      <c r="U17" s="183" t="e">
        <v>#VALUE!</v>
      </c>
      <c r="V17" s="36">
        <v>1229.5550000000001</v>
      </c>
      <c r="W17" s="36">
        <v>1462.3140000000001</v>
      </c>
      <c r="X17" s="183">
        <v>0.33040998296026036</v>
      </c>
      <c r="Y17" s="36">
        <v>611.91800000000001</v>
      </c>
      <c r="Z17" s="36">
        <v>1335.855</v>
      </c>
      <c r="AA17" s="36">
        <v>446.25907235741499</v>
      </c>
      <c r="AB17" s="36">
        <v>872.38800000000003</v>
      </c>
      <c r="AC17" s="170">
        <v>0.11992017639997811</v>
      </c>
    </row>
    <row r="18" spans="1:29" x14ac:dyDescent="0.2">
      <c r="A18" s="1" t="s">
        <v>49</v>
      </c>
      <c r="B18" s="1" t="s">
        <v>49</v>
      </c>
      <c r="C18" s="1" t="s">
        <v>50</v>
      </c>
      <c r="D18" s="36" t="s">
        <v>505</v>
      </c>
      <c r="E18" s="36">
        <v>17063.220099999999</v>
      </c>
      <c r="F18" s="36">
        <v>12991.4501</v>
      </c>
      <c r="G18" s="36">
        <v>1741.3009999999999</v>
      </c>
      <c r="H18" s="36">
        <v>1896.9269999999999</v>
      </c>
      <c r="I18" s="36">
        <v>1960.394</v>
      </c>
      <c r="J18" s="173">
        <v>6.8486821580377111</v>
      </c>
      <c r="K18" s="173">
        <v>6.62695871340149</v>
      </c>
      <c r="L18" s="171">
        <f t="shared" si="0"/>
        <v>8.9373405287196173E-2</v>
      </c>
      <c r="M18" s="171">
        <v>3.3457797796119682E-2</v>
      </c>
      <c r="N18" s="36">
        <v>1698.6110100097656</v>
      </c>
      <c r="O18" s="176">
        <v>0.89545407388358411</v>
      </c>
      <c r="P18" s="36">
        <v>192.386</v>
      </c>
      <c r="Q18" s="183">
        <v>0.1014198226921753</v>
      </c>
      <c r="R18" s="36">
        <v>433.42700000000002</v>
      </c>
      <c r="S18" s="183">
        <v>0.22848902461718351</v>
      </c>
      <c r="T18" s="36">
        <v>91.965000000000003</v>
      </c>
      <c r="U18" s="183">
        <v>4.8481043287380066E-2</v>
      </c>
      <c r="V18" s="36">
        <v>949.65100000000007</v>
      </c>
      <c r="W18" s="36">
        <v>1030.3389999999999</v>
      </c>
      <c r="X18" s="183">
        <v>0.50062601249283711</v>
      </c>
      <c r="Y18" s="36">
        <v>1109.6179999999999</v>
      </c>
      <c r="Z18" s="36">
        <v>245.01399999999998</v>
      </c>
      <c r="AA18" s="36">
        <v>822.62414000000001</v>
      </c>
      <c r="AB18" s="36">
        <v>920.476</v>
      </c>
      <c r="AC18" s="170">
        <v>0.43366146404157885</v>
      </c>
    </row>
    <row r="19" spans="1:29" x14ac:dyDescent="0.2">
      <c r="A19" s="1" t="s">
        <v>51</v>
      </c>
      <c r="B19" s="1" t="s">
        <v>51</v>
      </c>
      <c r="C19" s="1" t="s">
        <v>52</v>
      </c>
      <c r="D19" s="36" t="s">
        <v>495</v>
      </c>
      <c r="E19" s="36">
        <v>16357.567800000001</v>
      </c>
      <c r="F19" s="36">
        <v>15390.5118</v>
      </c>
      <c r="G19" s="36">
        <v>457.05799999999999</v>
      </c>
      <c r="H19" s="36">
        <v>947.42399999999998</v>
      </c>
      <c r="I19" s="36">
        <v>1254.6490000000001</v>
      </c>
      <c r="J19" s="173">
        <v>16.244587217549903</v>
      </c>
      <c r="K19" s="173">
        <v>12.266786806509231</v>
      </c>
      <c r="L19" s="171">
        <f t="shared" si="0"/>
        <v>1.0728747773805511</v>
      </c>
      <c r="M19" s="171">
        <v>0.32427403147904221</v>
      </c>
      <c r="N19" s="36">
        <v>769.6390129394531</v>
      </c>
      <c r="O19" s="176">
        <v>0.81234907806795387</v>
      </c>
      <c r="P19" s="36">
        <v>415.77599999999995</v>
      </c>
      <c r="Q19" s="183">
        <v>0.43884892086330929</v>
      </c>
      <c r="R19" s="36">
        <v>187.99</v>
      </c>
      <c r="S19" s="183">
        <v>0.19842224811699938</v>
      </c>
      <c r="T19" s="36">
        <v>151.24199999999999</v>
      </c>
      <c r="U19" s="183">
        <v>0.15963496808187252</v>
      </c>
      <c r="V19" s="36">
        <v>43.517999999999994</v>
      </c>
      <c r="W19" s="36">
        <v>323.28500000000003</v>
      </c>
      <c r="X19" s="183">
        <v>4.5932971932313299E-2</v>
      </c>
      <c r="Y19" s="36">
        <v>292.77500000000003</v>
      </c>
      <c r="Z19" s="36">
        <v>1410.3389999999999</v>
      </c>
      <c r="AA19" s="36">
        <v>-301.38798999999995</v>
      </c>
      <c r="AB19" s="36">
        <v>205.11199999999999</v>
      </c>
      <c r="AC19" s="170">
        <v>-0.31811310458675307</v>
      </c>
    </row>
    <row r="20" spans="1:29" x14ac:dyDescent="0.2">
      <c r="A20" s="1" t="s">
        <v>53</v>
      </c>
      <c r="B20" s="1" t="s">
        <v>53</v>
      </c>
      <c r="C20" s="1" t="s">
        <v>54</v>
      </c>
      <c r="D20" s="36" t="s">
        <v>506</v>
      </c>
      <c r="E20" s="36">
        <v>16949.372200000002</v>
      </c>
      <c r="F20" s="36">
        <v>20360.7772</v>
      </c>
      <c r="G20" s="36">
        <v>4170.0770000000002</v>
      </c>
      <c r="H20" s="36">
        <v>4283.41</v>
      </c>
      <c r="I20" s="36">
        <v>4236.25</v>
      </c>
      <c r="J20" s="173">
        <v>4.7534037600883412</v>
      </c>
      <c r="K20" s="173">
        <v>4.8063209678371202</v>
      </c>
      <c r="L20" s="171">
        <f t="shared" si="0"/>
        <v>2.7177675616061676E-2</v>
      </c>
      <c r="M20" s="171">
        <v>-1.1009919666807533E-2</v>
      </c>
      <c r="N20" s="36">
        <v>1488.7579999999998</v>
      </c>
      <c r="O20" s="176">
        <v>0.34756374010426272</v>
      </c>
      <c r="P20" s="36">
        <v>0</v>
      </c>
      <c r="Q20" s="183">
        <v>0</v>
      </c>
      <c r="R20" s="36" t="s">
        <v>480</v>
      </c>
      <c r="S20" s="183" t="e">
        <v>#VALUE!</v>
      </c>
      <c r="T20" s="36" t="s">
        <v>480</v>
      </c>
      <c r="U20" s="183" t="e">
        <v>#VALUE!</v>
      </c>
      <c r="V20" s="36">
        <v>1222.1279999999999</v>
      </c>
      <c r="W20" s="36">
        <v>1425.299</v>
      </c>
      <c r="X20" s="183">
        <v>0.28531660522807761</v>
      </c>
      <c r="Y20" s="36">
        <v>851.66700000000003</v>
      </c>
      <c r="Z20" s="36">
        <v>450.35699999999997</v>
      </c>
      <c r="AA20" s="36">
        <v>562.78363790922901</v>
      </c>
      <c r="AB20" s="36">
        <v>866.24</v>
      </c>
      <c r="AC20" s="170">
        <v>0.13138682449479014</v>
      </c>
    </row>
    <row r="21" spans="1:29" x14ac:dyDescent="0.2">
      <c r="A21" s="1" t="s">
        <v>55</v>
      </c>
      <c r="B21" s="1" t="s">
        <v>55</v>
      </c>
      <c r="C21" s="1" t="s">
        <v>56</v>
      </c>
      <c r="D21" s="36" t="s">
        <v>495</v>
      </c>
      <c r="E21" s="36">
        <v>14142.858</v>
      </c>
      <c r="F21" s="36">
        <v>14085.412700000001</v>
      </c>
      <c r="G21" s="36">
        <v>2125.0859999999998</v>
      </c>
      <c r="H21" s="36">
        <v>2794.5149999999999</v>
      </c>
      <c r="I21" s="36">
        <v>3253.5360000000001</v>
      </c>
      <c r="J21" s="173">
        <v>5.0403782767313832</v>
      </c>
      <c r="K21" s="173">
        <v>4.3292629004258751</v>
      </c>
      <c r="L21" s="171">
        <f t="shared" si="0"/>
        <v>0.31501266301693209</v>
      </c>
      <c r="M21" s="171">
        <v>0.16425784080600758</v>
      </c>
      <c r="N21" s="36">
        <v>2459.358009765625</v>
      </c>
      <c r="O21" s="176">
        <v>0.88006613303762016</v>
      </c>
      <c r="P21" s="36">
        <v>341.4</v>
      </c>
      <c r="Q21" s="183">
        <v>0.12216788959801611</v>
      </c>
      <c r="R21" s="36">
        <v>180.9</v>
      </c>
      <c r="S21" s="183">
        <v>6.4733952045345974E-2</v>
      </c>
      <c r="T21" s="36">
        <v>193.1</v>
      </c>
      <c r="U21" s="183">
        <v>6.9099646987044266E-2</v>
      </c>
      <c r="V21" s="36">
        <v>707.22400000000005</v>
      </c>
      <c r="W21" s="36">
        <v>838.06700000000001</v>
      </c>
      <c r="X21" s="183">
        <v>0.25307575733177318</v>
      </c>
      <c r="Y21" s="36">
        <v>569.976</v>
      </c>
      <c r="Z21" s="36">
        <v>488.964</v>
      </c>
      <c r="AA21" s="36">
        <v>288.48589500000003</v>
      </c>
      <c r="AB21" s="36">
        <v>622.91700000000003</v>
      </c>
      <c r="AC21" s="170">
        <v>0.10323290266826267</v>
      </c>
    </row>
    <row r="22" spans="1:29" x14ac:dyDescent="0.2">
      <c r="A22" s="1" t="s">
        <v>57</v>
      </c>
      <c r="B22" s="1" t="s">
        <v>57</v>
      </c>
      <c r="C22" s="1" t="s">
        <v>58</v>
      </c>
      <c r="D22" s="36" t="s">
        <v>495</v>
      </c>
      <c r="E22" s="36">
        <v>13669.9229</v>
      </c>
      <c r="F22" s="36">
        <v>12778.339900000001</v>
      </c>
      <c r="G22" s="36">
        <v>668.43499999999995</v>
      </c>
      <c r="H22" s="36">
        <v>1448.318</v>
      </c>
      <c r="I22" s="36">
        <v>1866.8810000000001</v>
      </c>
      <c r="J22" s="173">
        <v>8.8228827508875813</v>
      </c>
      <c r="K22" s="173">
        <v>6.8447533077898379</v>
      </c>
      <c r="L22" s="171">
        <f t="shared" si="0"/>
        <v>1.1667297493398761</v>
      </c>
      <c r="M22" s="171">
        <v>0.28899937720859659</v>
      </c>
      <c r="N22" s="36">
        <v>1148.2299877929688</v>
      </c>
      <c r="O22" s="176">
        <v>0.79280240098719257</v>
      </c>
      <c r="P22" s="36">
        <v>301.11399999999998</v>
      </c>
      <c r="Q22" s="183">
        <v>0.20790599854451852</v>
      </c>
      <c r="R22" s="36">
        <v>808.41700000000003</v>
      </c>
      <c r="S22" s="183">
        <v>0.55817645019947282</v>
      </c>
      <c r="T22" s="36">
        <v>159.143</v>
      </c>
      <c r="U22" s="183">
        <v>0.10988125535966549</v>
      </c>
      <c r="V22" s="36">
        <v>-257.30799999999999</v>
      </c>
      <c r="W22" s="36">
        <v>294.62</v>
      </c>
      <c r="X22" s="183">
        <v>-0.17765987856258086</v>
      </c>
      <c r="Y22" s="36">
        <v>293.40800000000002</v>
      </c>
      <c r="Z22" s="36">
        <v>545.947</v>
      </c>
      <c r="AA22" s="36">
        <v>-319.97310999999996</v>
      </c>
      <c r="AB22" s="36">
        <v>199.589</v>
      </c>
      <c r="AC22" s="170">
        <v>-0.22092738611271831</v>
      </c>
    </row>
    <row r="23" spans="1:29" x14ac:dyDescent="0.2">
      <c r="A23" s="1" t="s">
        <v>59</v>
      </c>
      <c r="B23" s="1" t="s">
        <v>59</v>
      </c>
      <c r="C23" s="1" t="s">
        <v>60</v>
      </c>
      <c r="D23" s="36" t="s">
        <v>505</v>
      </c>
      <c r="E23" s="36">
        <v>13796.5016</v>
      </c>
      <c r="F23" s="36">
        <v>12362.801600000001</v>
      </c>
      <c r="G23" s="36">
        <v>1275.443</v>
      </c>
      <c r="H23" s="36">
        <v>1631.1849999999999</v>
      </c>
      <c r="I23" s="36">
        <v>1909.7080000000001</v>
      </c>
      <c r="J23" s="173">
        <v>7.5790309498922568</v>
      </c>
      <c r="K23" s="173">
        <v>6.4736606852984853</v>
      </c>
      <c r="L23" s="171">
        <f t="shared" si="0"/>
        <v>0.27891642354852392</v>
      </c>
      <c r="M23" s="171">
        <v>0.17074887275201789</v>
      </c>
      <c r="N23" s="36">
        <v>1221.8169738769532</v>
      </c>
      <c r="O23" s="176">
        <v>0.74903642068615961</v>
      </c>
      <c r="P23" s="36">
        <v>210.614</v>
      </c>
      <c r="Q23" s="183">
        <v>0.12911717555029012</v>
      </c>
      <c r="R23" s="36">
        <v>701.02599999999995</v>
      </c>
      <c r="S23" s="183">
        <v>0.42976486419382226</v>
      </c>
      <c r="T23" s="36">
        <v>87.861999999999995</v>
      </c>
      <c r="U23" s="183">
        <v>5.386390875345224E-2</v>
      </c>
      <c r="V23" s="36">
        <v>213.77799999999999</v>
      </c>
      <c r="W23" s="36">
        <v>476.64300000000003</v>
      </c>
      <c r="X23" s="183">
        <v>0.1310568696990225</v>
      </c>
      <c r="Y23" s="36">
        <v>561.17100000000005</v>
      </c>
      <c r="Z23" s="36">
        <v>811.00400000000002</v>
      </c>
      <c r="AA23" s="36">
        <v>136.69200000000001</v>
      </c>
      <c r="AB23" s="36">
        <v>317.08300000000003</v>
      </c>
      <c r="AC23" s="170">
        <v>8.3799201194223835E-2</v>
      </c>
    </row>
    <row r="24" spans="1:29" x14ac:dyDescent="0.2">
      <c r="A24" s="1" t="s">
        <v>61</v>
      </c>
      <c r="B24" s="1" t="s">
        <v>61</v>
      </c>
      <c r="C24" s="1" t="s">
        <v>62</v>
      </c>
      <c r="D24" s="36" t="s">
        <v>495</v>
      </c>
      <c r="E24" s="36">
        <v>13766.6196</v>
      </c>
      <c r="F24" s="36">
        <v>14433.059600000001</v>
      </c>
      <c r="G24" s="36">
        <v>2736.08</v>
      </c>
      <c r="H24" s="36">
        <v>2908.3389999999999</v>
      </c>
      <c r="I24" s="36">
        <v>2991.1260000000002</v>
      </c>
      <c r="J24" s="173">
        <v>4.9626469266478219</v>
      </c>
      <c r="K24" s="173">
        <v>4.8252930836079786</v>
      </c>
      <c r="L24" s="171">
        <f t="shared" si="0"/>
        <v>6.2958319932165732E-2</v>
      </c>
      <c r="M24" s="171">
        <v>2.8465388663426294E-2</v>
      </c>
      <c r="N24" s="36">
        <v>2463.42801171875</v>
      </c>
      <c r="O24" s="176">
        <v>0.84702230782544607</v>
      </c>
      <c r="P24" s="36">
        <v>415.80099999999999</v>
      </c>
      <c r="Q24" s="183">
        <v>0.14296854665154235</v>
      </c>
      <c r="R24" s="36">
        <v>1006.112</v>
      </c>
      <c r="S24" s="183">
        <v>0.34594041478658438</v>
      </c>
      <c r="T24" s="36">
        <v>302.565</v>
      </c>
      <c r="U24" s="183">
        <v>0.104033608186666</v>
      </c>
      <c r="V24" s="36">
        <v>891.87300000000005</v>
      </c>
      <c r="W24" s="36">
        <v>1100.25</v>
      </c>
      <c r="X24" s="183">
        <v>0.30666060593348987</v>
      </c>
      <c r="Y24" s="36">
        <v>1009.174</v>
      </c>
      <c r="Z24" s="36">
        <v>1115.1299999999999</v>
      </c>
      <c r="AA24" s="36">
        <v>590.64465502973098</v>
      </c>
      <c r="AB24" s="36">
        <v>750.726</v>
      </c>
      <c r="AC24" s="170">
        <v>0.2030865917039695</v>
      </c>
    </row>
    <row r="25" spans="1:29" x14ac:dyDescent="0.2">
      <c r="A25" s="1" t="s">
        <v>63</v>
      </c>
      <c r="B25" s="1" t="s">
        <v>63</v>
      </c>
      <c r="C25" s="1" t="s">
        <v>64</v>
      </c>
      <c r="D25" s="36" t="s">
        <v>495</v>
      </c>
      <c r="E25" s="36">
        <v>13366.986000000001</v>
      </c>
      <c r="F25" s="36">
        <v>13254.6572</v>
      </c>
      <c r="G25" s="36">
        <v>2422.5320000000002</v>
      </c>
      <c r="H25" s="36">
        <v>3022.62</v>
      </c>
      <c r="I25" s="36">
        <v>3239.1</v>
      </c>
      <c r="J25" s="173">
        <v>4.3851549979818829</v>
      </c>
      <c r="K25" s="173">
        <v>4.0920802692105829</v>
      </c>
      <c r="L25" s="171">
        <f t="shared" si="0"/>
        <v>0.24771107254723557</v>
      </c>
      <c r="M25" s="171">
        <v>7.1619985310756862E-2</v>
      </c>
      <c r="N25" s="36">
        <v>2310.4400556640626</v>
      </c>
      <c r="O25" s="176">
        <v>0.76438323562474364</v>
      </c>
      <c r="P25" s="36">
        <v>908.84100000000001</v>
      </c>
      <c r="Q25" s="183">
        <v>0.30067987375191063</v>
      </c>
      <c r="R25" s="36">
        <v>549.24800000000005</v>
      </c>
      <c r="S25" s="183">
        <v>0.18171255400943553</v>
      </c>
      <c r="T25" s="36">
        <v>196.84399999999999</v>
      </c>
      <c r="U25" s="183">
        <v>6.5123634462817021E-2</v>
      </c>
      <c r="V25" s="36">
        <v>650.30199999999991</v>
      </c>
      <c r="W25" s="36">
        <v>778</v>
      </c>
      <c r="X25" s="183">
        <v>0.21514513898538351</v>
      </c>
      <c r="Y25" s="36">
        <v>387.55500000000006</v>
      </c>
      <c r="Z25" s="36">
        <v>1048.356</v>
      </c>
      <c r="AA25" s="36">
        <v>367.32709702556298</v>
      </c>
      <c r="AB25" s="36">
        <v>608.80000000000007</v>
      </c>
      <c r="AC25" s="170">
        <v>0.12152605918890333</v>
      </c>
    </row>
    <row r="26" spans="1:29" x14ac:dyDescent="0.2">
      <c r="A26" s="1" t="s">
        <v>65</v>
      </c>
      <c r="B26" s="1" t="s">
        <v>65</v>
      </c>
      <c r="C26" s="1" t="s">
        <v>66</v>
      </c>
      <c r="D26" s="36" t="s">
        <v>506</v>
      </c>
      <c r="E26" s="36">
        <v>13553.7274</v>
      </c>
      <c r="F26" s="36">
        <v>14343.2274</v>
      </c>
      <c r="G26" s="36">
        <v>2897</v>
      </c>
      <c r="H26" s="36">
        <v>4329.9000000000005</v>
      </c>
      <c r="I26" s="36">
        <v>4491.5709999999999</v>
      </c>
      <c r="J26" s="173">
        <v>3.3126001524284621</v>
      </c>
      <c r="K26" s="173">
        <v>3.1933653948696348</v>
      </c>
      <c r="L26" s="171">
        <f t="shared" si="0"/>
        <v>0.49461511908871264</v>
      </c>
      <c r="M26" s="171">
        <v>3.7338275710755209E-2</v>
      </c>
      <c r="N26" s="36">
        <v>1160.2999847412111</v>
      </c>
      <c r="O26" s="176">
        <v>0.26797385268509921</v>
      </c>
      <c r="P26" s="36">
        <v>0</v>
      </c>
      <c r="Q26" s="183">
        <v>0</v>
      </c>
      <c r="R26" s="36" t="s">
        <v>480</v>
      </c>
      <c r="S26" s="183" t="e">
        <v>#VALUE!</v>
      </c>
      <c r="T26" s="36" t="s">
        <v>480</v>
      </c>
      <c r="U26" s="183" t="e">
        <v>#VALUE!</v>
      </c>
      <c r="V26" s="36">
        <v>810.10000000000014</v>
      </c>
      <c r="W26" s="36">
        <v>903</v>
      </c>
      <c r="X26" s="183">
        <v>0.1870943901706737</v>
      </c>
      <c r="Y26" s="36">
        <v>595.70000000000005</v>
      </c>
      <c r="Z26" s="36">
        <v>263.89999999999998</v>
      </c>
      <c r="AA26" s="36">
        <v>445.40826848170406</v>
      </c>
      <c r="AB26" s="36">
        <v>557.30000000000007</v>
      </c>
      <c r="AC26" s="170">
        <v>0.102868026624565</v>
      </c>
    </row>
    <row r="27" spans="1:29" x14ac:dyDescent="0.2">
      <c r="A27" s="1" t="s">
        <v>67</v>
      </c>
      <c r="B27" s="1" t="s">
        <v>67</v>
      </c>
      <c r="C27" s="1" t="s">
        <v>68</v>
      </c>
      <c r="D27" s="36" t="s">
        <v>495</v>
      </c>
      <c r="E27" s="36">
        <v>12978.531999999999</v>
      </c>
      <c r="F27" s="36">
        <v>12773.614</v>
      </c>
      <c r="G27" s="36">
        <v>1816.0830000000001</v>
      </c>
      <c r="H27" s="36">
        <v>2069.8940000000002</v>
      </c>
      <c r="I27" s="36">
        <v>2201.5</v>
      </c>
      <c r="J27" s="173">
        <v>6.1711440295976496</v>
      </c>
      <c r="K27" s="173">
        <v>5.8022321144674081</v>
      </c>
      <c r="L27" s="171">
        <f t="shared" si="0"/>
        <v>0.13975737893036835</v>
      </c>
      <c r="M27" s="171">
        <v>6.3581033618146598E-2</v>
      </c>
      <c r="N27" s="36">
        <v>1826.9869919433593</v>
      </c>
      <c r="O27" s="176">
        <v>0.88264760994686642</v>
      </c>
      <c r="P27" s="36">
        <v>804.22299999999996</v>
      </c>
      <c r="Q27" s="183">
        <v>0.38853342248443634</v>
      </c>
      <c r="R27" s="36">
        <v>419.161</v>
      </c>
      <c r="S27" s="183">
        <v>0.20250360646487209</v>
      </c>
      <c r="T27" s="36">
        <v>134.18100000000001</v>
      </c>
      <c r="U27" s="183">
        <v>6.4825058674502167E-2</v>
      </c>
      <c r="V27" s="36">
        <v>518.21699999999998</v>
      </c>
      <c r="W27" s="36">
        <v>749</v>
      </c>
      <c r="X27" s="183">
        <v>0.25035919713763116</v>
      </c>
      <c r="Y27" s="36">
        <v>539.73699999999997</v>
      </c>
      <c r="Z27" s="36">
        <v>688.08699999999999</v>
      </c>
      <c r="AA27" s="36">
        <v>347.59648759077601</v>
      </c>
      <c r="AB27" s="36">
        <v>523.6</v>
      </c>
      <c r="AC27" s="170">
        <v>0.16792960779188498</v>
      </c>
    </row>
    <row r="28" spans="1:29" x14ac:dyDescent="0.2">
      <c r="A28" s="1" t="s">
        <v>69</v>
      </c>
      <c r="B28" s="1" t="s">
        <v>69</v>
      </c>
      <c r="C28" s="1" t="s">
        <v>70</v>
      </c>
      <c r="D28" s="36" t="s">
        <v>495</v>
      </c>
      <c r="E28" s="36">
        <v>12412.0106</v>
      </c>
      <c r="F28" s="36">
        <v>11715.847599999999</v>
      </c>
      <c r="G28" s="36">
        <v>988.46500000000003</v>
      </c>
      <c r="H28" s="36">
        <v>1172.3630000000001</v>
      </c>
      <c r="I28" s="36">
        <v>1282.5710000000001</v>
      </c>
      <c r="J28" s="173">
        <v>9.9933617829972441</v>
      </c>
      <c r="K28" s="173">
        <v>9.1346581202911938</v>
      </c>
      <c r="L28" s="171">
        <f t="shared" si="0"/>
        <v>0.18604401774468496</v>
      </c>
      <c r="M28" s="171">
        <v>9.4005013805451121E-2</v>
      </c>
      <c r="N28" s="36">
        <v>1016.0799910888672</v>
      </c>
      <c r="O28" s="176">
        <v>0.86669401123104972</v>
      </c>
      <c r="P28" s="36">
        <v>202.74599999999998</v>
      </c>
      <c r="Q28" s="183">
        <v>0.17293790404507817</v>
      </c>
      <c r="R28" s="36" t="s">
        <v>480</v>
      </c>
      <c r="S28" s="183" t="e">
        <v>#VALUE!</v>
      </c>
      <c r="T28" s="36" t="s">
        <v>480</v>
      </c>
      <c r="U28" s="183" t="e">
        <v>#VALUE!</v>
      </c>
      <c r="V28" s="36">
        <v>497.34900000000005</v>
      </c>
      <c r="W28" s="36">
        <v>591.66700000000003</v>
      </c>
      <c r="X28" s="183">
        <v>0.42422782022291733</v>
      </c>
      <c r="Y28" s="36">
        <v>417.50700000000001</v>
      </c>
      <c r="Z28" s="36">
        <v>881.50099999999998</v>
      </c>
      <c r="AA28" s="36">
        <v>334.11229267563596</v>
      </c>
      <c r="AB28" s="36">
        <v>429.33500000000004</v>
      </c>
      <c r="AC28" s="170">
        <v>0.28499047878143197</v>
      </c>
    </row>
    <row r="29" spans="1:29" x14ac:dyDescent="0.2">
      <c r="A29" s="1" t="s">
        <v>71</v>
      </c>
      <c r="B29" s="1" t="s">
        <v>71</v>
      </c>
      <c r="C29" s="1" t="s">
        <v>72</v>
      </c>
      <c r="D29" s="36" t="s">
        <v>495</v>
      </c>
      <c r="E29" s="36">
        <v>12161.8995</v>
      </c>
      <c r="F29" s="36">
        <v>18277.499500000002</v>
      </c>
      <c r="G29" s="36">
        <v>1481.4359999999999</v>
      </c>
      <c r="H29" s="36">
        <v>2174.3449999999998</v>
      </c>
      <c r="I29" s="36">
        <v>4355.393</v>
      </c>
      <c r="J29" s="173">
        <v>8.405979501872979</v>
      </c>
      <c r="K29" s="173">
        <v>4.1965213012924441</v>
      </c>
      <c r="L29" s="171">
        <f t="shared" si="0"/>
        <v>0.46772793424758136</v>
      </c>
      <c r="M29" s="171">
        <v>1.003082767454107</v>
      </c>
      <c r="N29" s="36">
        <v>895.99100952148433</v>
      </c>
      <c r="O29" s="176">
        <v>0.4120739852790079</v>
      </c>
      <c r="P29" s="36">
        <v>153.334</v>
      </c>
      <c r="Q29" s="183">
        <v>7.0519627749966091E-2</v>
      </c>
      <c r="R29" s="36">
        <v>118.449</v>
      </c>
      <c r="S29" s="183">
        <v>5.4475715675295321E-2</v>
      </c>
      <c r="T29" s="36">
        <v>120.17400000000001</v>
      </c>
      <c r="U29" s="183">
        <v>5.5269058038167826E-2</v>
      </c>
      <c r="V29" s="36">
        <v>748.41300000000001</v>
      </c>
      <c r="W29" s="36">
        <v>1565</v>
      </c>
      <c r="X29" s="183">
        <v>0.34420158714463439</v>
      </c>
      <c r="Y29" s="36">
        <v>419.84499999999997</v>
      </c>
      <c r="Z29" s="36">
        <v>64.057000000000002</v>
      </c>
      <c r="AA29" s="36">
        <v>260.79930813918901</v>
      </c>
      <c r="AB29" s="36">
        <v>771.38900000000001</v>
      </c>
      <c r="AC29" s="170">
        <v>0.11994384890125027</v>
      </c>
    </row>
    <row r="30" spans="1:29" x14ac:dyDescent="0.2">
      <c r="A30" s="1" t="s">
        <v>73</v>
      </c>
      <c r="B30" s="1" t="s">
        <v>73</v>
      </c>
      <c r="C30" s="1" t="s">
        <v>74</v>
      </c>
      <c r="D30" s="36" t="s">
        <v>505</v>
      </c>
      <c r="E30" s="36">
        <v>11921.111500000001</v>
      </c>
      <c r="F30" s="36">
        <v>14628.111500000001</v>
      </c>
      <c r="G30" s="36">
        <v>3600</v>
      </c>
      <c r="H30" s="36">
        <v>4827</v>
      </c>
      <c r="I30" s="36">
        <v>4770.0380000000005</v>
      </c>
      <c r="J30" s="173">
        <v>3.0304767971825153</v>
      </c>
      <c r="K30" s="173">
        <v>3.066665611468923</v>
      </c>
      <c r="L30" s="171">
        <f t="shared" si="0"/>
        <v>0.34083333333333332</v>
      </c>
      <c r="M30" s="171">
        <v>-1.180070437124503E-2</v>
      </c>
      <c r="N30" s="36">
        <v>3803</v>
      </c>
      <c r="O30" s="176">
        <v>0.78785995442303713</v>
      </c>
      <c r="P30" s="36">
        <v>957</v>
      </c>
      <c r="Q30" s="183">
        <v>0.19825978868862648</v>
      </c>
      <c r="R30" s="36">
        <v>1593</v>
      </c>
      <c r="S30" s="183">
        <v>0.33001864512119328</v>
      </c>
      <c r="T30" s="36">
        <v>578</v>
      </c>
      <c r="U30" s="183">
        <v>0.11974311166355915</v>
      </c>
      <c r="V30" s="36">
        <v>1276</v>
      </c>
      <c r="W30" s="36">
        <v>2019.2670000000001</v>
      </c>
      <c r="X30" s="183">
        <v>0.26434638491816864</v>
      </c>
      <c r="Y30" s="36">
        <v>966</v>
      </c>
      <c r="Z30" s="36">
        <v>1774</v>
      </c>
      <c r="AA30" s="36">
        <v>412.36329172576399</v>
      </c>
      <c r="AB30" s="36">
        <v>1047.7170000000001</v>
      </c>
      <c r="AC30" s="170">
        <v>8.5428483887666037E-2</v>
      </c>
    </row>
    <row r="31" spans="1:29" x14ac:dyDescent="0.2">
      <c r="A31" s="1" t="s">
        <v>75</v>
      </c>
      <c r="B31" s="1" t="s">
        <v>75</v>
      </c>
      <c r="C31" s="1" t="s">
        <v>76</v>
      </c>
      <c r="D31" s="36" t="s">
        <v>506</v>
      </c>
      <c r="E31" s="36">
        <v>11691.1903</v>
      </c>
      <c r="F31" s="36">
        <v>11659.7503</v>
      </c>
      <c r="G31" s="36">
        <v>1354.646</v>
      </c>
      <c r="H31" s="36">
        <v>1536.6029999999998</v>
      </c>
      <c r="I31" s="36">
        <v>1642.25</v>
      </c>
      <c r="J31" s="173">
        <v>7.5880043836957238</v>
      </c>
      <c r="K31" s="173">
        <v>7.0998631755213886</v>
      </c>
      <c r="L31" s="171">
        <f t="shared" si="0"/>
        <v>0.13432070075872213</v>
      </c>
      <c r="M31" s="171">
        <v>6.8753607795897898E-2</v>
      </c>
      <c r="N31" s="36">
        <v>662.96098620605471</v>
      </c>
      <c r="O31" s="176">
        <v>0.43144584919205209</v>
      </c>
      <c r="P31" s="36">
        <v>90.339999999999989</v>
      </c>
      <c r="Q31" s="183">
        <v>5.8792023704235905E-2</v>
      </c>
      <c r="R31" s="36" t="s">
        <v>480</v>
      </c>
      <c r="S31" s="183" t="e">
        <v>#VALUE!</v>
      </c>
      <c r="T31" s="36" t="s">
        <v>480</v>
      </c>
      <c r="U31" s="183" t="e">
        <v>#VALUE!</v>
      </c>
      <c r="V31" s="36">
        <v>542.40800000000002</v>
      </c>
      <c r="W31" s="36">
        <v>568.83299999999997</v>
      </c>
      <c r="X31" s="183">
        <v>0.35299163154048252</v>
      </c>
      <c r="Y31" s="36">
        <v>359.726</v>
      </c>
      <c r="Z31" s="36">
        <v>31.439999999999998</v>
      </c>
      <c r="AA31" s="36">
        <v>282.15797000000003</v>
      </c>
      <c r="AB31" s="36">
        <v>310.75</v>
      </c>
      <c r="AC31" s="170">
        <v>0.18362450808699454</v>
      </c>
    </row>
    <row r="32" spans="1:29" x14ac:dyDescent="0.2">
      <c r="A32" s="1" t="s">
        <v>77</v>
      </c>
      <c r="B32" s="1" t="s">
        <v>77</v>
      </c>
      <c r="C32" s="1" t="s">
        <v>78</v>
      </c>
      <c r="D32" s="36" t="s">
        <v>506</v>
      </c>
      <c r="E32" s="36">
        <v>11146.956</v>
      </c>
      <c r="F32" s="36">
        <v>13353.356</v>
      </c>
      <c r="G32" s="36">
        <v>7138.1</v>
      </c>
      <c r="H32" s="36">
        <v>7841.5</v>
      </c>
      <c r="I32" s="36">
        <v>8247.7070000000003</v>
      </c>
      <c r="J32" s="173">
        <v>1.7029083721226805</v>
      </c>
      <c r="K32" s="173">
        <v>1.6190386006680402</v>
      </c>
      <c r="L32" s="171">
        <f t="shared" si="0"/>
        <v>9.8541628724730615E-2</v>
      </c>
      <c r="M32" s="171">
        <v>5.1802206210546542E-2</v>
      </c>
      <c r="N32" s="36">
        <v>3531.9999511718752</v>
      </c>
      <c r="O32" s="176">
        <v>0.45042401978854496</v>
      </c>
      <c r="P32" s="36">
        <v>0</v>
      </c>
      <c r="Q32" s="183">
        <v>0</v>
      </c>
      <c r="R32" s="36" t="s">
        <v>480</v>
      </c>
      <c r="S32" s="183" t="e">
        <v>#VALUE!</v>
      </c>
      <c r="T32" s="36">
        <v>166.3</v>
      </c>
      <c r="U32" s="183">
        <v>2.120767710259517E-2</v>
      </c>
      <c r="V32" s="36">
        <v>2272.1</v>
      </c>
      <c r="W32" s="36">
        <v>2256.143</v>
      </c>
      <c r="X32" s="183">
        <v>0.2897532359880125</v>
      </c>
      <c r="Y32" s="36">
        <v>2657.3</v>
      </c>
      <c r="Z32" s="36">
        <v>4190</v>
      </c>
      <c r="AA32" s="36">
        <v>884.5</v>
      </c>
      <c r="AB32" s="36">
        <v>1348.825</v>
      </c>
      <c r="AC32" s="170">
        <v>0.11279729643563094</v>
      </c>
    </row>
    <row r="33" spans="1:29" x14ac:dyDescent="0.2">
      <c r="A33" s="1" t="s">
        <v>79</v>
      </c>
      <c r="B33" s="1" t="s">
        <v>79</v>
      </c>
      <c r="C33" s="1" t="s">
        <v>80</v>
      </c>
      <c r="D33" s="36" t="s">
        <v>495</v>
      </c>
      <c r="E33" s="36">
        <v>10263.557500000001</v>
      </c>
      <c r="F33" s="36">
        <v>10635.886500000001</v>
      </c>
      <c r="G33" s="36">
        <v>1140.5329999999999</v>
      </c>
      <c r="H33" s="36">
        <v>1235.683</v>
      </c>
      <c r="I33" s="36">
        <v>1329.231</v>
      </c>
      <c r="J33" s="173">
        <v>8.6072936991121516</v>
      </c>
      <c r="K33" s="173">
        <v>8.0015335934837513</v>
      </c>
      <c r="L33" s="171">
        <f t="shared" si="0"/>
        <v>8.3425907010143588E-2</v>
      </c>
      <c r="M33" s="171">
        <v>7.5705500520764524E-2</v>
      </c>
      <c r="N33" s="36">
        <v>904.73300866699219</v>
      </c>
      <c r="O33" s="176">
        <v>0.73217241692812174</v>
      </c>
      <c r="P33" s="36">
        <v>236.059</v>
      </c>
      <c r="Q33" s="183">
        <v>0.19103524123905566</v>
      </c>
      <c r="R33" s="36">
        <v>372.94600000000003</v>
      </c>
      <c r="S33" s="183">
        <v>0.30181365285433243</v>
      </c>
      <c r="T33" s="36">
        <v>145.06700000000001</v>
      </c>
      <c r="U33" s="183">
        <v>0.11739823239455427</v>
      </c>
      <c r="V33" s="36">
        <v>170.774</v>
      </c>
      <c r="W33" s="36">
        <v>372.6</v>
      </c>
      <c r="X33" s="183">
        <v>0.1382021117066432</v>
      </c>
      <c r="Y33" s="36">
        <v>211.76999999999998</v>
      </c>
      <c r="Z33" s="36">
        <v>259.94600000000003</v>
      </c>
      <c r="AA33" s="36">
        <v>48.873303467433999</v>
      </c>
      <c r="AB33" s="36">
        <v>217.095</v>
      </c>
      <c r="AC33" s="170">
        <v>3.955165157037363E-2</v>
      </c>
    </row>
    <row r="34" spans="1:29" x14ac:dyDescent="0.2">
      <c r="A34" s="1" t="s">
        <v>81</v>
      </c>
      <c r="B34" s="1" t="s">
        <v>81</v>
      </c>
      <c r="C34" s="1" t="s">
        <v>82</v>
      </c>
      <c r="D34" s="36" t="s">
        <v>506</v>
      </c>
      <c r="E34" s="36">
        <v>10068.413699999999</v>
      </c>
      <c r="F34" s="36">
        <v>10049.311299999999</v>
      </c>
      <c r="G34" s="36">
        <v>1138.385</v>
      </c>
      <c r="H34" s="36">
        <v>790.56539690225225</v>
      </c>
      <c r="I34" s="36">
        <v>1373.425</v>
      </c>
      <c r="J34" s="173">
        <v>12.711549657216436</v>
      </c>
      <c r="K34" s="173">
        <v>7.3169712943917578</v>
      </c>
      <c r="L34" s="171">
        <f t="shared" si="0"/>
        <v>-0.30553776015824852</v>
      </c>
      <c r="M34" s="171">
        <v>0.73726930799352219</v>
      </c>
      <c r="N34" s="36">
        <v>375.64298104046151</v>
      </c>
      <c r="O34" s="176">
        <v>0.47515737788724272</v>
      </c>
      <c r="P34" s="36">
        <v>0</v>
      </c>
      <c r="Q34" s="183">
        <v>0</v>
      </c>
      <c r="R34" s="36">
        <v>76.995211344008382</v>
      </c>
      <c r="S34" s="183">
        <v>9.7392589715798408E-2</v>
      </c>
      <c r="T34" s="36">
        <v>47.989678864420718</v>
      </c>
      <c r="U34" s="183">
        <v>6.0702984284998117E-2</v>
      </c>
      <c r="V34" s="36">
        <v>266.81505779650513</v>
      </c>
      <c r="W34" s="36">
        <v>498.81</v>
      </c>
      <c r="X34" s="183">
        <v>0.3374990340356307</v>
      </c>
      <c r="Y34" s="36">
        <v>346.06900000000002</v>
      </c>
      <c r="Z34" s="36">
        <v>66.766999999999996</v>
      </c>
      <c r="AA34" s="36">
        <v>149.9999767353207</v>
      </c>
      <c r="AB34" s="36">
        <v>349.94299999999998</v>
      </c>
      <c r="AC34" s="170">
        <v>0.1897375945406666</v>
      </c>
    </row>
    <row r="35" spans="1:29" x14ac:dyDescent="0.2">
      <c r="A35" s="1" t="s">
        <v>83</v>
      </c>
      <c r="B35" s="1" t="s">
        <v>83</v>
      </c>
      <c r="C35" s="1" t="s">
        <v>84</v>
      </c>
      <c r="D35" s="36" t="s">
        <v>495</v>
      </c>
      <c r="E35" s="36">
        <v>9184.6566000000003</v>
      </c>
      <c r="F35" s="36">
        <v>9553.6566000000003</v>
      </c>
      <c r="G35" s="36">
        <v>844.8</v>
      </c>
      <c r="H35" s="36">
        <v>1106.8</v>
      </c>
      <c r="I35" s="36">
        <v>1480.6469999999999</v>
      </c>
      <c r="J35" s="173">
        <v>8.6317822551499823</v>
      </c>
      <c r="K35" s="173">
        <v>6.4523526539411495</v>
      </c>
      <c r="L35" s="171">
        <f t="shared" si="0"/>
        <v>0.3101325757575758</v>
      </c>
      <c r="M35" s="171">
        <v>0.33777285869172391</v>
      </c>
      <c r="N35" s="36">
        <v>737.9</v>
      </c>
      <c r="O35" s="176">
        <v>0.66669678352005779</v>
      </c>
      <c r="P35" s="36">
        <v>380.29999999999995</v>
      </c>
      <c r="Q35" s="183">
        <v>0.3436031803397181</v>
      </c>
      <c r="R35" s="36">
        <v>314</v>
      </c>
      <c r="S35" s="183">
        <v>0.28370075894470548</v>
      </c>
      <c r="T35" s="36">
        <v>157.30000000000001</v>
      </c>
      <c r="U35" s="183">
        <v>0.14212143115287315</v>
      </c>
      <c r="V35" s="36">
        <v>68.100000000000009</v>
      </c>
      <c r="W35" s="36">
        <v>323.16000000000003</v>
      </c>
      <c r="X35" s="183">
        <v>6.1528731478135174E-2</v>
      </c>
      <c r="Y35" s="36">
        <v>305</v>
      </c>
      <c r="Z35" s="36">
        <v>430</v>
      </c>
      <c r="AA35" s="36">
        <v>-50</v>
      </c>
      <c r="AB35" s="36">
        <v>133.304</v>
      </c>
      <c r="AC35" s="170">
        <v>-4.517528008673654E-2</v>
      </c>
    </row>
    <row r="36" spans="1:29" x14ac:dyDescent="0.2">
      <c r="A36" s="1" t="s">
        <v>85</v>
      </c>
      <c r="B36" s="1" t="s">
        <v>85</v>
      </c>
      <c r="C36" s="1" t="s">
        <v>86</v>
      </c>
      <c r="D36" s="36" t="s">
        <v>495</v>
      </c>
      <c r="E36" s="36">
        <v>9193.2610000000004</v>
      </c>
      <c r="F36" s="36">
        <v>11155.011</v>
      </c>
      <c r="G36" s="36">
        <v>1824.2280000000001</v>
      </c>
      <c r="H36" s="36">
        <v>2815.241</v>
      </c>
      <c r="I36" s="36">
        <v>2896.0419999999999</v>
      </c>
      <c r="J36" s="173">
        <v>3.9623645009432589</v>
      </c>
      <c r="K36" s="173">
        <v>3.8518125773037823</v>
      </c>
      <c r="L36" s="171">
        <f t="shared" si="0"/>
        <v>0.54325062437370764</v>
      </c>
      <c r="M36" s="171">
        <v>2.8701272821758383E-2</v>
      </c>
      <c r="N36" s="36">
        <v>1863.8300090332032</v>
      </c>
      <c r="O36" s="176">
        <v>0.66204989520726754</v>
      </c>
      <c r="P36" s="36">
        <v>323.46100000000001</v>
      </c>
      <c r="Q36" s="183">
        <v>0.11489638009676614</v>
      </c>
      <c r="R36" s="36">
        <v>529.38099999999997</v>
      </c>
      <c r="S36" s="183">
        <v>0.18804109488317342</v>
      </c>
      <c r="T36" s="36">
        <v>205.31299999999999</v>
      </c>
      <c r="U36" s="183">
        <v>7.2929102694938019E-2</v>
      </c>
      <c r="V36" s="36">
        <v>991.54299999999989</v>
      </c>
      <c r="W36" s="36">
        <v>1070.75</v>
      </c>
      <c r="X36" s="183">
        <v>0.35220537069472913</v>
      </c>
      <c r="Y36" s="36">
        <v>714.82</v>
      </c>
      <c r="Z36" s="36">
        <v>682.94200000000001</v>
      </c>
      <c r="AA36" s="36">
        <v>279.654731196885</v>
      </c>
      <c r="AB36" s="36">
        <v>728.4</v>
      </c>
      <c r="AC36" s="170">
        <v>9.9335982673200984E-2</v>
      </c>
    </row>
    <row r="37" spans="1:29" x14ac:dyDescent="0.2">
      <c r="A37" s="1" t="s">
        <v>87</v>
      </c>
      <c r="B37" s="1" t="s">
        <v>87</v>
      </c>
      <c r="C37" s="1" t="s">
        <v>88</v>
      </c>
      <c r="D37" s="36" t="s">
        <v>495</v>
      </c>
      <c r="E37" s="36">
        <v>8905.6998000000003</v>
      </c>
      <c r="F37" s="36">
        <v>8730.4277999999995</v>
      </c>
      <c r="G37" s="36">
        <v>781.29100000000005</v>
      </c>
      <c r="H37" s="36">
        <v>1035.461</v>
      </c>
      <c r="I37" s="36">
        <v>1245.01</v>
      </c>
      <c r="J37" s="173">
        <v>8.4314404888257499</v>
      </c>
      <c r="K37" s="173">
        <v>7.0123354832491298</v>
      </c>
      <c r="L37" s="171">
        <f t="shared" si="0"/>
        <v>0.32532052717873361</v>
      </c>
      <c r="M37" s="171">
        <v>0.20237266299744738</v>
      </c>
      <c r="N37" s="36">
        <v>648.36900695800773</v>
      </c>
      <c r="O37" s="176">
        <v>0.62616458462270208</v>
      </c>
      <c r="P37" s="36">
        <v>150.583</v>
      </c>
      <c r="Q37" s="183">
        <v>0.14542604694913666</v>
      </c>
      <c r="R37" s="36">
        <v>269.78100000000001</v>
      </c>
      <c r="S37" s="183">
        <v>0.26054192287300054</v>
      </c>
      <c r="T37" s="36">
        <v>122.119</v>
      </c>
      <c r="U37" s="183">
        <v>0.11793684165796683</v>
      </c>
      <c r="V37" s="36">
        <v>114.41199999999999</v>
      </c>
      <c r="W37" s="36">
        <v>301.96199999999999</v>
      </c>
      <c r="X37" s="183">
        <v>0.11049378006511108</v>
      </c>
      <c r="Y37" s="36">
        <v>172.06</v>
      </c>
      <c r="Z37" s="36">
        <v>155.685</v>
      </c>
      <c r="AA37" s="36">
        <v>46.960708818636007</v>
      </c>
      <c r="AB37" s="36">
        <v>188.41400000000002</v>
      </c>
      <c r="AC37" s="170">
        <v>4.5352465055309668E-2</v>
      </c>
    </row>
    <row r="38" spans="1:29" x14ac:dyDescent="0.2">
      <c r="A38" s="1" t="s">
        <v>89</v>
      </c>
      <c r="B38" s="1" t="s">
        <v>89</v>
      </c>
      <c r="C38" s="1" t="s">
        <v>90</v>
      </c>
      <c r="D38" s="36" t="s">
        <v>505</v>
      </c>
      <c r="E38" s="36">
        <v>8352.4141999999993</v>
      </c>
      <c r="F38" s="36">
        <v>7440.2691999999997</v>
      </c>
      <c r="G38" s="36">
        <v>826.94299999999998</v>
      </c>
      <c r="H38" s="36">
        <v>992.76900000000001</v>
      </c>
      <c r="I38" s="36">
        <v>1052.4590000000001</v>
      </c>
      <c r="J38" s="173">
        <v>7.494461652207109</v>
      </c>
      <c r="K38" s="173">
        <v>7.0694147705516315</v>
      </c>
      <c r="L38" s="171">
        <f t="shared" si="0"/>
        <v>0.20052893609353972</v>
      </c>
      <c r="M38" s="171">
        <v>6.0124762155143952E-2</v>
      </c>
      <c r="N38" s="36">
        <v>864.88000952148434</v>
      </c>
      <c r="O38" s="176">
        <v>0.87117950854779347</v>
      </c>
      <c r="P38" s="36">
        <v>334.14799999999997</v>
      </c>
      <c r="Q38" s="183">
        <v>0.33658182316329377</v>
      </c>
      <c r="R38" s="36">
        <v>517.44600000000003</v>
      </c>
      <c r="S38" s="183">
        <v>0.52121490497789513</v>
      </c>
      <c r="T38" s="36">
        <v>102.871</v>
      </c>
      <c r="U38" s="183">
        <v>0.10362027823189483</v>
      </c>
      <c r="V38" s="36">
        <v>-123.949</v>
      </c>
      <c r="W38" s="36">
        <v>17.222000000000001</v>
      </c>
      <c r="X38" s="183">
        <v>-0.12485180339031537</v>
      </c>
      <c r="Y38" s="36">
        <v>121.97600000000001</v>
      </c>
      <c r="Z38" s="36">
        <v>627.87799999999993</v>
      </c>
      <c r="AA38" s="36">
        <v>-146.929</v>
      </c>
      <c r="AB38" s="36">
        <v>-13.881</v>
      </c>
      <c r="AC38" s="170">
        <v>-0.14799918208566143</v>
      </c>
    </row>
    <row r="39" spans="1:29" x14ac:dyDescent="0.2">
      <c r="A39" s="1" t="s">
        <v>91</v>
      </c>
      <c r="B39" s="1" t="s">
        <v>91</v>
      </c>
      <c r="C39" s="1" t="s">
        <v>92</v>
      </c>
      <c r="D39" s="36" t="s">
        <v>495</v>
      </c>
      <c r="E39" s="36">
        <v>8104.8091999999997</v>
      </c>
      <c r="F39" s="36">
        <v>7952.1031999999996</v>
      </c>
      <c r="G39" s="36">
        <v>756.04300000000001</v>
      </c>
      <c r="H39" s="36">
        <v>891.15700000000004</v>
      </c>
      <c r="I39" s="36">
        <v>1005.667</v>
      </c>
      <c r="J39" s="173">
        <v>8.9233470645464266</v>
      </c>
      <c r="K39" s="173">
        <v>7.9072925729888714</v>
      </c>
      <c r="L39" s="171">
        <f t="shared" si="0"/>
        <v>0.17871205738297957</v>
      </c>
      <c r="M39" s="171">
        <v>0.12849587670859353</v>
      </c>
      <c r="N39" s="36">
        <v>422.93600115966797</v>
      </c>
      <c r="O39" s="176">
        <v>0.47459202044047005</v>
      </c>
      <c r="P39" s="36">
        <v>47.323999999999998</v>
      </c>
      <c r="Q39" s="183">
        <v>5.3103998509802422E-2</v>
      </c>
      <c r="R39" s="36" t="s">
        <v>480</v>
      </c>
      <c r="S39" s="183" t="e">
        <v>#VALUE!</v>
      </c>
      <c r="T39" s="36" t="s">
        <v>480</v>
      </c>
      <c r="U39" s="183" t="e">
        <v>#VALUE!</v>
      </c>
      <c r="V39" s="36">
        <v>222.82000000000002</v>
      </c>
      <c r="W39" s="36">
        <v>297.92500000000001</v>
      </c>
      <c r="X39" s="183">
        <v>0.25003450570438207</v>
      </c>
      <c r="Y39" s="36">
        <v>203.94400000000002</v>
      </c>
      <c r="Z39" s="36">
        <v>185.92599999999999</v>
      </c>
      <c r="AA39" s="36">
        <v>145.27799871199099</v>
      </c>
      <c r="AB39" s="36">
        <v>206.56300000000002</v>
      </c>
      <c r="AC39" s="170">
        <v>0.16302177810642904</v>
      </c>
    </row>
    <row r="40" spans="1:29" x14ac:dyDescent="0.2">
      <c r="A40" s="1" t="s">
        <v>93</v>
      </c>
      <c r="B40" s="1" t="s">
        <v>93</v>
      </c>
      <c r="C40" s="1" t="s">
        <v>94</v>
      </c>
      <c r="D40" s="36" t="s">
        <v>506</v>
      </c>
      <c r="E40" s="36">
        <v>8005.7865000000002</v>
      </c>
      <c r="F40" s="36">
        <v>10399.2865</v>
      </c>
      <c r="G40" s="36">
        <v>5422.9</v>
      </c>
      <c r="H40" s="36">
        <v>5643.5</v>
      </c>
      <c r="I40" s="36">
        <v>5758.5690000000004</v>
      </c>
      <c r="J40" s="173">
        <v>1.8427016036147781</v>
      </c>
      <c r="K40" s="173">
        <v>1.8058803324228641</v>
      </c>
      <c r="L40" s="171">
        <f t="shared" si="0"/>
        <v>4.0679341311844287E-2</v>
      </c>
      <c r="M40" s="171">
        <v>2.0389651811818954E-2</v>
      </c>
      <c r="N40" s="36">
        <v>2280.8999999999996</v>
      </c>
      <c r="O40" s="176">
        <v>0.4041640825728714</v>
      </c>
      <c r="P40" s="36">
        <v>0</v>
      </c>
      <c r="Q40" s="183">
        <v>0</v>
      </c>
      <c r="R40" s="36" t="s">
        <v>480</v>
      </c>
      <c r="S40" s="183" t="e">
        <v>#VALUE!</v>
      </c>
      <c r="T40" s="36" t="s">
        <v>480</v>
      </c>
      <c r="U40" s="183" t="e">
        <v>#VALUE!</v>
      </c>
      <c r="V40" s="36">
        <v>1359.4</v>
      </c>
      <c r="W40" s="36">
        <v>1420.375</v>
      </c>
      <c r="X40" s="183">
        <v>0.24087888721538053</v>
      </c>
      <c r="Y40" s="36">
        <v>709.8</v>
      </c>
      <c r="Z40" s="36">
        <v>838.19999999999993</v>
      </c>
      <c r="AA40" s="36">
        <v>852.35</v>
      </c>
      <c r="AB40" s="36">
        <v>860.87900000000002</v>
      </c>
      <c r="AC40" s="170">
        <v>0.15103216089306282</v>
      </c>
    </row>
    <row r="41" spans="1:29" x14ac:dyDescent="0.2">
      <c r="A41" s="1" t="s">
        <v>95</v>
      </c>
      <c r="B41" s="1" t="s">
        <v>95</v>
      </c>
      <c r="C41" s="1" t="s">
        <v>96</v>
      </c>
      <c r="D41" s="36" t="s">
        <v>506</v>
      </c>
      <c r="E41" s="36">
        <v>7756.0488999999998</v>
      </c>
      <c r="F41" s="36">
        <v>9911.8019000000004</v>
      </c>
      <c r="G41" s="36">
        <v>1018.46</v>
      </c>
      <c r="H41" s="36">
        <v>1381.0119999999999</v>
      </c>
      <c r="I41" s="36">
        <v>1551.74</v>
      </c>
      <c r="J41" s="173">
        <v>7.1772018635609252</v>
      </c>
      <c r="K41" s="173">
        <v>6.3875403740317322</v>
      </c>
      <c r="L41" s="171">
        <f t="shared" si="0"/>
        <v>0.35598059815800315</v>
      </c>
      <c r="M41" s="171">
        <v>0.12362528348776114</v>
      </c>
      <c r="N41" s="36">
        <v>1037.137987915039</v>
      </c>
      <c r="O41" s="176">
        <v>0.75099853434657993</v>
      </c>
      <c r="P41" s="36">
        <v>0</v>
      </c>
      <c r="Q41" s="183">
        <v>0</v>
      </c>
      <c r="R41" s="36">
        <v>0</v>
      </c>
      <c r="S41" s="183">
        <v>0</v>
      </c>
      <c r="T41" s="36" t="s">
        <v>480</v>
      </c>
      <c r="U41" s="183" t="e">
        <v>#VALUE!</v>
      </c>
      <c r="V41" s="36">
        <v>541.74800000000005</v>
      </c>
      <c r="W41" s="36">
        <v>659.16700000000003</v>
      </c>
      <c r="X41" s="183">
        <v>0.3922833400433885</v>
      </c>
      <c r="Y41" s="36">
        <v>285.154</v>
      </c>
      <c r="Z41" s="36">
        <v>508.072</v>
      </c>
      <c r="AA41" s="36">
        <v>160.82074499958901</v>
      </c>
      <c r="AB41" s="36">
        <v>378.98200000000003</v>
      </c>
      <c r="AC41" s="170">
        <v>0.11645137406451864</v>
      </c>
    </row>
    <row r="42" spans="1:29" x14ac:dyDescent="0.2">
      <c r="A42" s="1" t="s">
        <v>97</v>
      </c>
      <c r="B42" s="1" t="s">
        <v>97</v>
      </c>
      <c r="C42" s="1" t="s">
        <v>98</v>
      </c>
      <c r="D42" s="36" t="s">
        <v>495</v>
      </c>
      <c r="E42" s="36">
        <v>7426.6350000000002</v>
      </c>
      <c r="F42" s="36">
        <v>7407.2659999999996</v>
      </c>
      <c r="G42" s="36">
        <v>329.14100000000002</v>
      </c>
      <c r="H42" s="36">
        <v>498.02800000000002</v>
      </c>
      <c r="I42" s="36">
        <v>621.76</v>
      </c>
      <c r="J42" s="173">
        <v>14.87319186873027</v>
      </c>
      <c r="K42" s="173">
        <v>11.913384585692228</v>
      </c>
      <c r="L42" s="171">
        <f t="shared" si="0"/>
        <v>0.5131144403158524</v>
      </c>
      <c r="M42" s="171">
        <v>0.24844386259407103</v>
      </c>
      <c r="N42" s="36">
        <v>416.48600439453128</v>
      </c>
      <c r="O42" s="176">
        <v>0.83627025868933325</v>
      </c>
      <c r="P42" s="36">
        <v>30.43</v>
      </c>
      <c r="Q42" s="183">
        <v>6.1100982274089007E-2</v>
      </c>
      <c r="R42" s="36">
        <v>150.512</v>
      </c>
      <c r="S42" s="183">
        <v>0.30221593966604288</v>
      </c>
      <c r="T42" s="36">
        <v>91.647000000000006</v>
      </c>
      <c r="U42" s="183">
        <v>0.18401977398861108</v>
      </c>
      <c r="V42" s="36">
        <v>148.13299999999998</v>
      </c>
      <c r="W42" s="36">
        <v>254.15200000000002</v>
      </c>
      <c r="X42" s="183">
        <v>0.29743909980964922</v>
      </c>
      <c r="Y42" s="36">
        <v>123.30200000000001</v>
      </c>
      <c r="Z42" s="36">
        <v>46.076999999999998</v>
      </c>
      <c r="AA42" s="36">
        <v>104.562799698118</v>
      </c>
      <c r="AB42" s="36">
        <v>171.12</v>
      </c>
      <c r="AC42" s="170">
        <v>0.20995365661793713</v>
      </c>
    </row>
    <row r="43" spans="1:29" x14ac:dyDescent="0.2">
      <c r="A43" s="1" t="s">
        <v>99</v>
      </c>
      <c r="B43" s="1" t="s">
        <v>99</v>
      </c>
      <c r="C43" s="1" t="s">
        <v>100</v>
      </c>
      <c r="D43" s="36" t="s">
        <v>495</v>
      </c>
      <c r="E43" s="36">
        <v>7408.9178000000002</v>
      </c>
      <c r="F43" s="36">
        <v>9247.8755000000001</v>
      </c>
      <c r="G43" s="36">
        <v>2114.6</v>
      </c>
      <c r="H43" s="36">
        <v>2273.2000000000003</v>
      </c>
      <c r="I43" s="36">
        <v>2275</v>
      </c>
      <c r="J43" s="173">
        <v>4.0682190304416679</v>
      </c>
      <c r="K43" s="173">
        <v>4.0650002197802202</v>
      </c>
      <c r="L43" s="171">
        <f t="shared" si="0"/>
        <v>7.5002364513383324E-2</v>
      </c>
      <c r="M43" s="171">
        <v>7.9183529825788135E-4</v>
      </c>
      <c r="N43" s="36">
        <v>1091.2</v>
      </c>
      <c r="O43" s="176">
        <v>0.48002815414393801</v>
      </c>
      <c r="P43" s="36">
        <v>0</v>
      </c>
      <c r="Q43" s="183">
        <v>0</v>
      </c>
      <c r="R43" s="36" t="s">
        <v>480</v>
      </c>
      <c r="S43" s="183" t="e">
        <v>#VALUE!</v>
      </c>
      <c r="T43" s="36" t="s">
        <v>480</v>
      </c>
      <c r="U43" s="183" t="e">
        <v>#VALUE!</v>
      </c>
      <c r="V43" s="36">
        <v>767.59999999999991</v>
      </c>
      <c r="W43" s="36">
        <v>898.33299999999997</v>
      </c>
      <c r="X43" s="183">
        <v>0.33767376385711761</v>
      </c>
      <c r="Y43" s="36">
        <v>429.3</v>
      </c>
      <c r="Z43" s="36">
        <v>804.4</v>
      </c>
      <c r="AA43" s="36">
        <v>426.99656571026196</v>
      </c>
      <c r="AB43" s="36">
        <v>496.33300000000003</v>
      </c>
      <c r="AC43" s="170">
        <v>0.18783941831350603</v>
      </c>
    </row>
    <row r="44" spans="1:29" x14ac:dyDescent="0.2">
      <c r="A44" s="1" t="s">
        <v>101</v>
      </c>
      <c r="B44" s="1" t="s">
        <v>101</v>
      </c>
      <c r="C44" s="1" t="s">
        <v>102</v>
      </c>
      <c r="D44" s="36" t="s">
        <v>495</v>
      </c>
      <c r="E44" s="36">
        <v>7152.3764000000001</v>
      </c>
      <c r="F44" s="36">
        <v>6390.3563999999997</v>
      </c>
      <c r="G44" s="36">
        <v>424.44600000000003</v>
      </c>
      <c r="H44" s="36">
        <v>661.06700000000001</v>
      </c>
      <c r="I44" s="36">
        <v>749.7</v>
      </c>
      <c r="J44" s="173">
        <v>9.6667303011646322</v>
      </c>
      <c r="K44" s="173">
        <v>8.5238847539015605</v>
      </c>
      <c r="L44" s="171">
        <f t="shared" si="0"/>
        <v>0.55748198828590667</v>
      </c>
      <c r="M44" s="171">
        <v>0.13407566857822273</v>
      </c>
      <c r="N44" s="36">
        <v>364.36000024414062</v>
      </c>
      <c r="O44" s="176">
        <v>0.55116954899297743</v>
      </c>
      <c r="P44" s="36">
        <v>171.65699999999998</v>
      </c>
      <c r="Q44" s="183">
        <v>0.25966656934924898</v>
      </c>
      <c r="R44" s="36">
        <v>124.117</v>
      </c>
      <c r="S44" s="183">
        <v>0.18775252735350578</v>
      </c>
      <c r="T44" s="36">
        <v>75.915999999999997</v>
      </c>
      <c r="U44" s="183">
        <v>0.11483858670906277</v>
      </c>
      <c r="V44" s="36">
        <v>28.280999999999985</v>
      </c>
      <c r="W44" s="36">
        <v>147.46700000000001</v>
      </c>
      <c r="X44" s="183">
        <v>4.2780837645805925E-2</v>
      </c>
      <c r="Y44" s="36">
        <v>131.27800000000002</v>
      </c>
      <c r="Z44" s="36">
        <v>437.14</v>
      </c>
      <c r="AA44" s="36">
        <v>35.34196</v>
      </c>
      <c r="AB44" s="36">
        <v>101.65600000000001</v>
      </c>
      <c r="AC44" s="170">
        <v>5.3461994018760582E-2</v>
      </c>
    </row>
    <row r="45" spans="1:29" x14ac:dyDescent="0.2">
      <c r="A45" s="1" t="s">
        <v>105</v>
      </c>
      <c r="B45" s="1" t="s">
        <v>105</v>
      </c>
      <c r="C45" s="1" t="s">
        <v>106</v>
      </c>
      <c r="D45" s="36" t="s">
        <v>495</v>
      </c>
      <c r="E45" s="36">
        <v>6820.7802000000001</v>
      </c>
      <c r="F45" s="36">
        <v>6894.6152000000002</v>
      </c>
      <c r="G45" s="36">
        <v>472.34399999999999</v>
      </c>
      <c r="H45" s="36">
        <v>499.51400000000001</v>
      </c>
      <c r="I45" s="36">
        <v>548.56299999999999</v>
      </c>
      <c r="J45" s="173">
        <v>13.80264657246844</v>
      </c>
      <c r="K45" s="173">
        <v>12.568502068130735</v>
      </c>
      <c r="L45" s="171">
        <f t="shared" si="0"/>
        <v>5.7521636773199228E-2</v>
      </c>
      <c r="M45" s="171">
        <v>9.8193444027594667E-2</v>
      </c>
      <c r="N45" s="36">
        <v>448.87000836181642</v>
      </c>
      <c r="O45" s="176">
        <v>0.89861346901551586</v>
      </c>
      <c r="P45" s="36">
        <v>82.075999999999993</v>
      </c>
      <c r="Q45" s="183">
        <v>0.16431171098307554</v>
      </c>
      <c r="R45" s="36">
        <v>101.077</v>
      </c>
      <c r="S45" s="183">
        <v>0.20235068486568944</v>
      </c>
      <c r="T45" s="36">
        <v>56.076000000000001</v>
      </c>
      <c r="U45" s="183">
        <v>0.11226111780650792</v>
      </c>
      <c r="V45" s="36">
        <v>218.595</v>
      </c>
      <c r="W45" s="36">
        <v>277.47500000000002</v>
      </c>
      <c r="X45" s="183">
        <v>0.43761536213199226</v>
      </c>
      <c r="Y45" s="36">
        <v>199.48799999999997</v>
      </c>
      <c r="Z45" s="36">
        <v>96.164999999999992</v>
      </c>
      <c r="AA45" s="36">
        <v>150.27254635458399</v>
      </c>
      <c r="AB45" s="36">
        <v>222.1</v>
      </c>
      <c r="AC45" s="170">
        <v>0.30083750676574428</v>
      </c>
    </row>
    <row r="46" spans="1:29" x14ac:dyDescent="0.2">
      <c r="A46" s="1" t="s">
        <v>107</v>
      </c>
      <c r="B46" s="1" t="s">
        <v>107</v>
      </c>
      <c r="C46" s="1" t="s">
        <v>108</v>
      </c>
      <c r="D46" s="36" t="s">
        <v>495</v>
      </c>
      <c r="E46" s="36">
        <v>6740.9416000000001</v>
      </c>
      <c r="F46" s="36">
        <v>6236.2366000000002</v>
      </c>
      <c r="G46" s="36">
        <v>503.41</v>
      </c>
      <c r="H46" s="36">
        <v>1155.4570000000001</v>
      </c>
      <c r="I46" s="36">
        <v>1366.1669999999999</v>
      </c>
      <c r="J46" s="173">
        <v>5.397203530724207</v>
      </c>
      <c r="K46" s="173">
        <v>4.5647688752546358</v>
      </c>
      <c r="L46" s="171">
        <f t="shared" si="0"/>
        <v>1.2952603245863212</v>
      </c>
      <c r="M46" s="171">
        <v>0.18236074557512727</v>
      </c>
      <c r="N46" s="36">
        <v>769.42700024414057</v>
      </c>
      <c r="O46" s="176">
        <v>0.66590708286343891</v>
      </c>
      <c r="P46" s="36">
        <v>313.77699999999999</v>
      </c>
      <c r="Q46" s="183">
        <v>0.27156094947713327</v>
      </c>
      <c r="R46" s="36">
        <v>649.65700000000004</v>
      </c>
      <c r="S46" s="183">
        <v>0.56225112661050991</v>
      </c>
      <c r="T46" s="36">
        <v>86.400999999999996</v>
      </c>
      <c r="U46" s="183">
        <v>7.4776473724249351E-2</v>
      </c>
      <c r="V46" s="36">
        <v>-222.005860759494</v>
      </c>
      <c r="W46" s="36">
        <v>-120.633</v>
      </c>
      <c r="X46" s="183">
        <v>-0.19213684348227064</v>
      </c>
      <c r="Y46" s="36">
        <v>58.033000000000001</v>
      </c>
      <c r="Z46" s="36">
        <v>305.97499999999997</v>
      </c>
      <c r="AA46" s="36">
        <v>-290.7982245</v>
      </c>
      <c r="AB46" s="36">
        <v>-189.75900000000001</v>
      </c>
      <c r="AC46" s="170">
        <v>-0.25167377453250095</v>
      </c>
    </row>
    <row r="47" spans="1:29" x14ac:dyDescent="0.2">
      <c r="A47" s="1" t="s">
        <v>109</v>
      </c>
      <c r="B47" s="1" t="s">
        <v>109</v>
      </c>
      <c r="C47" s="1" t="s">
        <v>110</v>
      </c>
      <c r="D47" s="36" t="s">
        <v>506</v>
      </c>
      <c r="E47" s="36">
        <v>6666.2766000000001</v>
      </c>
      <c r="F47" s="36">
        <v>9733.1316000000006</v>
      </c>
      <c r="G47" s="36">
        <v>3373.3870000000002</v>
      </c>
      <c r="H47" s="36">
        <v>3755.2129999999997</v>
      </c>
      <c r="I47" s="36">
        <v>3945.0750000000003</v>
      </c>
      <c r="J47" s="173">
        <v>2.5918986752549058</v>
      </c>
      <c r="K47" s="173">
        <v>2.4671600920134598</v>
      </c>
      <c r="L47" s="171">
        <f t="shared" si="0"/>
        <v>0.11318772497789301</v>
      </c>
      <c r="M47" s="171">
        <v>5.0559582106261436E-2</v>
      </c>
      <c r="N47" s="36">
        <v>1077.0209764404296</v>
      </c>
      <c r="O47" s="176">
        <v>0.28680689389401604</v>
      </c>
      <c r="P47" s="36">
        <v>0</v>
      </c>
      <c r="Q47" s="183">
        <v>0</v>
      </c>
      <c r="R47" s="36" t="s">
        <v>480</v>
      </c>
      <c r="S47" s="183" t="e">
        <v>#VALUE!</v>
      </c>
      <c r="T47" s="36" t="s">
        <v>480</v>
      </c>
      <c r="U47" s="183" t="e">
        <v>#VALUE!</v>
      </c>
      <c r="V47" s="36">
        <v>972.27599999999995</v>
      </c>
      <c r="W47" s="36">
        <v>1138.2860000000001</v>
      </c>
      <c r="X47" s="183">
        <v>0.2589136754692743</v>
      </c>
      <c r="Y47" s="36">
        <v>478.452</v>
      </c>
      <c r="Z47" s="36">
        <v>361.38099999999997</v>
      </c>
      <c r="AA47" s="36">
        <v>307.796316586464</v>
      </c>
      <c r="AB47" s="36">
        <v>431.33300000000003</v>
      </c>
      <c r="AC47" s="170">
        <v>8.1965075372945298E-2</v>
      </c>
    </row>
    <row r="48" spans="1:29" x14ac:dyDescent="0.2">
      <c r="A48" s="1" t="s">
        <v>113</v>
      </c>
      <c r="B48" s="1" t="s">
        <v>113</v>
      </c>
      <c r="C48" s="1" t="s">
        <v>114</v>
      </c>
      <c r="D48" s="36" t="s">
        <v>495</v>
      </c>
      <c r="E48" s="36">
        <v>6043.8905999999997</v>
      </c>
      <c r="F48" s="36">
        <v>5616.1094999999996</v>
      </c>
      <c r="G48" s="36">
        <v>311.99900000000002</v>
      </c>
      <c r="H48" s="36">
        <v>507.88499999999999</v>
      </c>
      <c r="I48" s="36">
        <v>667.96900000000005</v>
      </c>
      <c r="J48" s="173">
        <v>11.057836911899347</v>
      </c>
      <c r="K48" s="173">
        <v>8.4077397304365906</v>
      </c>
      <c r="L48" s="171">
        <f t="shared" si="0"/>
        <v>0.62784175590306368</v>
      </c>
      <c r="M48" s="171">
        <v>0.31519733798005456</v>
      </c>
      <c r="N48" s="36">
        <v>356.01800524902342</v>
      </c>
      <c r="O48" s="176">
        <v>0.70098153174246813</v>
      </c>
      <c r="P48" s="36">
        <v>115.291</v>
      </c>
      <c r="Q48" s="183">
        <v>0.2270021756893785</v>
      </c>
      <c r="R48" s="36">
        <v>220.74199999999999</v>
      </c>
      <c r="S48" s="183">
        <v>0.43462988668694685</v>
      </c>
      <c r="T48" s="36">
        <v>81.680000000000007</v>
      </c>
      <c r="U48" s="183">
        <v>0.1608238085393347</v>
      </c>
      <c r="V48" s="36">
        <v>-86.045139240506003</v>
      </c>
      <c r="W48" s="36">
        <v>50.771999999999998</v>
      </c>
      <c r="X48" s="183">
        <v>-0.16941854797937722</v>
      </c>
      <c r="Y48" s="36">
        <v>35.010000000000005</v>
      </c>
      <c r="Z48" s="36">
        <v>109.36999999999999</v>
      </c>
      <c r="AA48" s="36">
        <v>-115.405</v>
      </c>
      <c r="AB48" s="36">
        <v>25.371000000000002</v>
      </c>
      <c r="AC48" s="170">
        <v>-0.22722663595105191</v>
      </c>
    </row>
    <row r="49" spans="1:29" x14ac:dyDescent="0.2">
      <c r="A49" s="1" t="s">
        <v>115</v>
      </c>
      <c r="B49" s="1" t="s">
        <v>115</v>
      </c>
      <c r="C49" s="1" t="s">
        <v>116</v>
      </c>
      <c r="D49" s="36" t="s">
        <v>495</v>
      </c>
      <c r="E49" s="36">
        <v>5895.5968999999996</v>
      </c>
      <c r="F49" s="36">
        <v>5688.8769000000002</v>
      </c>
      <c r="G49" s="36">
        <v>379.72399999999999</v>
      </c>
      <c r="H49" s="36">
        <v>581.47399999999993</v>
      </c>
      <c r="I49" s="36">
        <v>724.625</v>
      </c>
      <c r="J49" s="173">
        <v>9.7835447500662127</v>
      </c>
      <c r="K49" s="173">
        <v>7.8507875107814389</v>
      </c>
      <c r="L49" s="171">
        <f t="shared" si="0"/>
        <v>0.53130694925788191</v>
      </c>
      <c r="M49" s="171">
        <v>0.24618641590165691</v>
      </c>
      <c r="N49" s="36">
        <v>443.33000299072262</v>
      </c>
      <c r="O49" s="176">
        <v>0.762424464362504</v>
      </c>
      <c r="P49" s="36">
        <v>75.147999999999996</v>
      </c>
      <c r="Q49" s="183">
        <v>0.12923707680824939</v>
      </c>
      <c r="R49" s="36">
        <v>260.06900000000002</v>
      </c>
      <c r="S49" s="183">
        <v>0.44725817491409769</v>
      </c>
      <c r="T49" s="36">
        <v>72.313000000000002</v>
      </c>
      <c r="U49" s="183">
        <v>0.1243615363713597</v>
      </c>
      <c r="V49" s="36">
        <v>1.981681596884</v>
      </c>
      <c r="W49" s="36">
        <v>88.007999999999996</v>
      </c>
      <c r="X49" s="183">
        <v>3.4080313081651117E-3</v>
      </c>
      <c r="Y49" s="36">
        <v>27.823</v>
      </c>
      <c r="Z49" s="36">
        <v>181.19199999999998</v>
      </c>
      <c r="AA49" s="36">
        <v>-22.126999999999999</v>
      </c>
      <c r="AB49" s="36">
        <v>62.160000000000004</v>
      </c>
      <c r="AC49" s="170">
        <v>-3.8053292150637866E-2</v>
      </c>
    </row>
    <row r="50" spans="1:29" x14ac:dyDescent="0.2">
      <c r="A50" s="1" t="s">
        <v>117</v>
      </c>
      <c r="B50" s="1" t="s">
        <v>117</v>
      </c>
      <c r="C50" s="1" t="s">
        <v>118</v>
      </c>
      <c r="D50" s="36" t="s">
        <v>495</v>
      </c>
      <c r="E50" s="36">
        <v>5899.6878999999999</v>
      </c>
      <c r="F50" s="36">
        <v>6521.5419000000002</v>
      </c>
      <c r="G50" s="36">
        <v>881.35599999999999</v>
      </c>
      <c r="H50" s="36">
        <v>1005.8890000000001</v>
      </c>
      <c r="I50" s="36">
        <v>1083.6669999999999</v>
      </c>
      <c r="J50" s="173">
        <v>6.4833613848048834</v>
      </c>
      <c r="K50" s="173">
        <v>6.0180312771358739</v>
      </c>
      <c r="L50" s="171">
        <f t="shared" si="0"/>
        <v>0.14129704682330424</v>
      </c>
      <c r="M50" s="171">
        <v>7.732264693221591E-2</v>
      </c>
      <c r="N50" s="36">
        <v>699.41901611328126</v>
      </c>
      <c r="O50" s="176">
        <v>0.69532425159563449</v>
      </c>
      <c r="P50" s="36">
        <v>110.86999999999999</v>
      </c>
      <c r="Q50" s="183">
        <v>0.11022090906650732</v>
      </c>
      <c r="R50" s="36" t="s">
        <v>480</v>
      </c>
      <c r="S50" s="183" t="e">
        <v>#VALUE!</v>
      </c>
      <c r="T50" s="36" t="s">
        <v>480</v>
      </c>
      <c r="U50" s="183" t="e">
        <v>#VALUE!</v>
      </c>
      <c r="V50" s="36">
        <v>228.197</v>
      </c>
      <c r="W50" s="36">
        <v>336.8</v>
      </c>
      <c r="X50" s="183">
        <v>0.2268610154798392</v>
      </c>
      <c r="Y50" s="36">
        <v>191.75299999999999</v>
      </c>
      <c r="Z50" s="36">
        <v>90.022999999999996</v>
      </c>
      <c r="AA50" s="36">
        <v>130.87135000000001</v>
      </c>
      <c r="AB50" s="36">
        <v>217.4</v>
      </c>
      <c r="AC50" s="170">
        <v>0.13010516070858713</v>
      </c>
    </row>
    <row r="51" spans="1:29" x14ac:dyDescent="0.2">
      <c r="A51" s="1" t="s">
        <v>119</v>
      </c>
      <c r="B51" s="1" t="s">
        <v>119</v>
      </c>
      <c r="C51" s="1" t="s">
        <v>120</v>
      </c>
      <c r="D51" s="36" t="s">
        <v>506</v>
      </c>
      <c r="E51" s="36">
        <v>5740.0319</v>
      </c>
      <c r="F51" s="36">
        <v>5499.3319000000001</v>
      </c>
      <c r="G51" s="36">
        <v>1958.615</v>
      </c>
      <c r="H51" s="36">
        <v>2491.8389999999999</v>
      </c>
      <c r="I51" s="36">
        <v>2815.54</v>
      </c>
      <c r="J51" s="173">
        <v>2.2069370854216506</v>
      </c>
      <c r="K51" s="173">
        <v>1.9532068093509594</v>
      </c>
      <c r="L51" s="171">
        <f t="shared" si="0"/>
        <v>0.27224543874115126</v>
      </c>
      <c r="M51" s="171">
        <v>0.12990446011961443</v>
      </c>
      <c r="N51" s="36">
        <v>1021.3030059814453</v>
      </c>
      <c r="O51" s="176">
        <v>0.40985914659070882</v>
      </c>
      <c r="P51" s="36">
        <v>0</v>
      </c>
      <c r="Q51" s="183">
        <v>0</v>
      </c>
      <c r="R51" s="36" t="s">
        <v>480</v>
      </c>
      <c r="S51" s="183" t="e">
        <v>#VALUE!</v>
      </c>
      <c r="T51" s="36" t="s">
        <v>480</v>
      </c>
      <c r="U51" s="183" t="e">
        <v>#VALUE!</v>
      </c>
      <c r="V51" s="36">
        <v>464.61600000000004</v>
      </c>
      <c r="W51" s="36">
        <v>577.71699999999998</v>
      </c>
      <c r="X51" s="183">
        <v>0.18645506391062988</v>
      </c>
      <c r="Y51" s="36">
        <v>165.20499999999998</v>
      </c>
      <c r="Z51" s="36">
        <v>819.14400000000001</v>
      </c>
      <c r="AA51" s="36">
        <v>221.308428571429</v>
      </c>
      <c r="AB51" s="36">
        <v>354.21300000000002</v>
      </c>
      <c r="AC51" s="170">
        <v>8.8813293544016694E-2</v>
      </c>
    </row>
    <row r="52" spans="1:29" x14ac:dyDescent="0.2">
      <c r="A52" s="1" t="s">
        <v>121</v>
      </c>
      <c r="B52" s="1" t="s">
        <v>121</v>
      </c>
      <c r="C52" s="1" t="s">
        <v>122</v>
      </c>
      <c r="D52" s="36" t="s">
        <v>506</v>
      </c>
      <c r="E52" s="36">
        <v>5282.4870000000001</v>
      </c>
      <c r="F52" s="36">
        <v>6190.1469999999999</v>
      </c>
      <c r="G52" s="36">
        <v>2570.7559999999999</v>
      </c>
      <c r="H52" s="36">
        <v>2860.71</v>
      </c>
      <c r="I52" s="36">
        <v>3102.7919999999999</v>
      </c>
      <c r="J52" s="173">
        <v>2.1638498834205495</v>
      </c>
      <c r="K52" s="173">
        <v>1.9950248034673288</v>
      </c>
      <c r="L52" s="171">
        <f t="shared" si="0"/>
        <v>0.11278938958034142</v>
      </c>
      <c r="M52" s="171">
        <v>8.4623048124416567E-2</v>
      </c>
      <c r="N52" s="36">
        <v>1068.4139918212891</v>
      </c>
      <c r="O52" s="176">
        <v>0.37347860909399733</v>
      </c>
      <c r="P52" s="36">
        <v>0</v>
      </c>
      <c r="Q52" s="183">
        <v>0</v>
      </c>
      <c r="R52" s="36" t="s">
        <v>480</v>
      </c>
      <c r="S52" s="183" t="e">
        <v>#VALUE!</v>
      </c>
      <c r="T52" s="36" t="s">
        <v>480</v>
      </c>
      <c r="U52" s="183" t="e">
        <v>#VALUE!</v>
      </c>
      <c r="V52" s="36">
        <v>407.05099999999999</v>
      </c>
      <c r="W52" s="36">
        <v>514.5</v>
      </c>
      <c r="X52" s="183">
        <v>0.14229020068444545</v>
      </c>
      <c r="Y52" s="36">
        <v>229.39300000000003</v>
      </c>
      <c r="Z52" s="36">
        <v>504.46799999999996</v>
      </c>
      <c r="AA52" s="36">
        <v>271.84730999999999</v>
      </c>
      <c r="AB52" s="36">
        <v>348.45100000000002</v>
      </c>
      <c r="AC52" s="170">
        <v>9.5027916146690858E-2</v>
      </c>
    </row>
    <row r="53" spans="1:29" x14ac:dyDescent="0.2">
      <c r="A53" s="1" t="s">
        <v>123</v>
      </c>
      <c r="B53" s="1" t="s">
        <v>123</v>
      </c>
      <c r="C53" s="1" t="s">
        <v>124</v>
      </c>
      <c r="D53" s="36" t="s">
        <v>495</v>
      </c>
      <c r="E53" s="36">
        <v>5142.1211000000003</v>
      </c>
      <c r="F53" s="36">
        <v>5264.8521000000001</v>
      </c>
      <c r="G53" s="36">
        <v>568.12800000000004</v>
      </c>
      <c r="H53" s="36">
        <v>774.29099999999994</v>
      </c>
      <c r="I53" s="36">
        <v>940.42899999999997</v>
      </c>
      <c r="J53" s="173">
        <v>6.7995780656109917</v>
      </c>
      <c r="K53" s="173">
        <v>5.5983514970295474</v>
      </c>
      <c r="L53" s="171">
        <f t="shared" si="0"/>
        <v>0.36288125211219985</v>
      </c>
      <c r="M53" s="171">
        <v>0.21456790793125591</v>
      </c>
      <c r="N53" s="36">
        <v>470.14299932861331</v>
      </c>
      <c r="O53" s="176">
        <v>0.60719161055548021</v>
      </c>
      <c r="P53" s="36">
        <v>89.451999999999998</v>
      </c>
      <c r="Q53" s="183">
        <v>0.11552762462691676</v>
      </c>
      <c r="R53" s="36">
        <v>165.07900000000001</v>
      </c>
      <c r="S53" s="183">
        <v>0.21320020509085089</v>
      </c>
      <c r="T53" s="36">
        <v>112.97499999999999</v>
      </c>
      <c r="U53" s="183">
        <v>0.14590767553800832</v>
      </c>
      <c r="V53" s="36">
        <v>151.96100000000001</v>
      </c>
      <c r="W53" s="36">
        <v>254.5</v>
      </c>
      <c r="X53" s="183">
        <v>0.19625825432557015</v>
      </c>
      <c r="Y53" s="36">
        <v>117.538</v>
      </c>
      <c r="Z53" s="36">
        <v>69.343000000000004</v>
      </c>
      <c r="AA53" s="36">
        <v>39.375608755979997</v>
      </c>
      <c r="AB53" s="36">
        <v>147.19200000000001</v>
      </c>
      <c r="AC53" s="170">
        <v>5.0853760092755822E-2</v>
      </c>
    </row>
    <row r="54" spans="1:29" x14ac:dyDescent="0.2">
      <c r="A54" s="1" t="s">
        <v>127</v>
      </c>
      <c r="B54" s="1" t="s">
        <v>127</v>
      </c>
      <c r="C54" s="1" t="s">
        <v>128</v>
      </c>
      <c r="D54" s="36" t="s">
        <v>505</v>
      </c>
      <c r="E54" s="36">
        <v>5107.2048999999997</v>
      </c>
      <c r="F54" s="36">
        <v>5177.2318999999998</v>
      </c>
      <c r="G54" s="36">
        <v>375.49599999999998</v>
      </c>
      <c r="H54" s="36">
        <v>614.04600000000005</v>
      </c>
      <c r="I54" s="36">
        <v>792.19399999999996</v>
      </c>
      <c r="J54" s="173">
        <v>8.4313421144344218</v>
      </c>
      <c r="K54" s="173">
        <v>6.5353081442171996</v>
      </c>
      <c r="L54" s="171">
        <f t="shared" si="0"/>
        <v>0.63529305238937317</v>
      </c>
      <c r="M54" s="171">
        <v>0.29012158698208257</v>
      </c>
      <c r="N54" s="36">
        <v>439.7080033569336</v>
      </c>
      <c r="O54" s="176">
        <v>0.71608316536046746</v>
      </c>
      <c r="P54" s="36">
        <v>129.803</v>
      </c>
      <c r="Q54" s="183">
        <v>0.21138970044589492</v>
      </c>
      <c r="R54" s="36">
        <v>258.83699999999999</v>
      </c>
      <c r="S54" s="183">
        <v>0.42152705171925225</v>
      </c>
      <c r="T54" s="36">
        <v>52.734999999999999</v>
      </c>
      <c r="U54" s="183">
        <v>8.5881188054315147E-2</v>
      </c>
      <c r="V54" s="36">
        <v>-23.048000000000005</v>
      </c>
      <c r="W54" s="36">
        <v>135.55000000000001</v>
      </c>
      <c r="X54" s="183">
        <v>-3.7534647241411888E-2</v>
      </c>
      <c r="Y54" s="36">
        <v>136.89599999999999</v>
      </c>
      <c r="Z54" s="36">
        <v>286.072</v>
      </c>
      <c r="AA54" s="36">
        <v>-78.538188416806008</v>
      </c>
      <c r="AB54" s="36">
        <v>74.016999999999996</v>
      </c>
      <c r="AC54" s="170">
        <v>-0.12790277669230971</v>
      </c>
    </row>
    <row r="55" spans="1:29" x14ac:dyDescent="0.2">
      <c r="A55" s="1" t="s">
        <v>129</v>
      </c>
      <c r="B55" s="1" t="s">
        <v>129</v>
      </c>
      <c r="C55" s="1" t="s">
        <v>130</v>
      </c>
      <c r="D55" s="36" t="s">
        <v>495</v>
      </c>
      <c r="E55" s="36">
        <v>4998.8274000000001</v>
      </c>
      <c r="F55" s="36">
        <v>4738.1673000000001</v>
      </c>
      <c r="G55" s="36">
        <v>270.96699999999998</v>
      </c>
      <c r="H55" s="36">
        <v>441.399</v>
      </c>
      <c r="I55" s="36">
        <v>558.06700000000001</v>
      </c>
      <c r="J55" s="173">
        <v>10.734431432785303</v>
      </c>
      <c r="K55" s="173">
        <v>8.490319800310715</v>
      </c>
      <c r="L55" s="171">
        <f t="shared" si="0"/>
        <v>0.62897696029405803</v>
      </c>
      <c r="M55" s="171">
        <v>0.26431414661111607</v>
      </c>
      <c r="N55" s="36">
        <v>354.10500488281252</v>
      </c>
      <c r="O55" s="176">
        <v>0.80223336455862504</v>
      </c>
      <c r="P55" s="36">
        <v>70.37299999999999</v>
      </c>
      <c r="Q55" s="183">
        <v>0.15943171597579511</v>
      </c>
      <c r="R55" s="36">
        <v>212.85900000000001</v>
      </c>
      <c r="S55" s="183">
        <v>0.48223715957670954</v>
      </c>
      <c r="T55" s="36">
        <v>56.786999999999999</v>
      </c>
      <c r="U55" s="183">
        <v>0.12865230777595779</v>
      </c>
      <c r="V55" s="36">
        <v>-24.503810126582</v>
      </c>
      <c r="W55" s="36">
        <v>59.963000000000001</v>
      </c>
      <c r="X55" s="183">
        <v>-5.5513968374604379E-2</v>
      </c>
      <c r="Y55" s="36">
        <v>43.858999999999995</v>
      </c>
      <c r="Z55" s="36">
        <v>87.679999999999993</v>
      </c>
      <c r="AA55" s="36">
        <v>-55.844099999999997</v>
      </c>
      <c r="AB55" s="36">
        <v>37.355000000000004</v>
      </c>
      <c r="AC55" s="170">
        <v>-0.1265161452563327</v>
      </c>
    </row>
    <row r="56" spans="1:29" x14ac:dyDescent="0.2">
      <c r="A56" s="1" t="s">
        <v>131</v>
      </c>
      <c r="B56" s="1" t="s">
        <v>131</v>
      </c>
      <c r="C56" s="1" t="s">
        <v>132</v>
      </c>
      <c r="D56" s="36" t="s">
        <v>505</v>
      </c>
      <c r="E56" s="36">
        <v>4889.1738999999998</v>
      </c>
      <c r="F56" s="36">
        <v>3355.8386999999998</v>
      </c>
      <c r="G56" s="36">
        <v>2160</v>
      </c>
      <c r="H56" s="36">
        <v>882</v>
      </c>
      <c r="I56" s="36">
        <v>905.96699999999998</v>
      </c>
      <c r="J56" s="173">
        <v>3.8048057823129251</v>
      </c>
      <c r="K56" s="173">
        <v>3.7041511445781135</v>
      </c>
      <c r="L56" s="171">
        <f t="shared" si="0"/>
        <v>-0.59166666666666667</v>
      </c>
      <c r="M56" s="171">
        <v>2.7173469387755E-2</v>
      </c>
      <c r="N56" s="36">
        <v>675</v>
      </c>
      <c r="O56" s="176">
        <v>0.76530612244897955</v>
      </c>
      <c r="P56" s="36">
        <v>239</v>
      </c>
      <c r="Q56" s="183">
        <v>0.27097505668934241</v>
      </c>
      <c r="R56" s="36">
        <v>0</v>
      </c>
      <c r="S56" s="183">
        <v>0</v>
      </c>
      <c r="T56" s="36" t="s">
        <v>480</v>
      </c>
      <c r="U56" s="183" t="e">
        <v>#VALUE!</v>
      </c>
      <c r="V56" s="36">
        <v>74</v>
      </c>
      <c r="W56" s="36">
        <v>159.923</v>
      </c>
      <c r="X56" s="183">
        <v>8.390022675736962E-2</v>
      </c>
      <c r="Y56" s="36">
        <v>-159</v>
      </c>
      <c r="Z56" s="36">
        <v>816</v>
      </c>
      <c r="AA56" s="36">
        <v>-68.715000000000003</v>
      </c>
      <c r="AB56" s="36">
        <v>88.109000000000009</v>
      </c>
      <c r="AC56" s="170">
        <v>-7.7908163265306127E-2</v>
      </c>
    </row>
    <row r="57" spans="1:29" x14ac:dyDescent="0.2">
      <c r="A57" s="1" t="s">
        <v>133</v>
      </c>
      <c r="B57" s="1" t="s">
        <v>133</v>
      </c>
      <c r="C57" s="1" t="s">
        <v>134</v>
      </c>
      <c r="D57" s="36" t="s">
        <v>495</v>
      </c>
      <c r="E57" s="36">
        <v>5030.9390999999996</v>
      </c>
      <c r="F57" s="36">
        <v>6274.3391000000001</v>
      </c>
      <c r="G57" s="36">
        <v>704.2</v>
      </c>
      <c r="H57" s="36">
        <v>750.7</v>
      </c>
      <c r="I57" s="36">
        <v>763.30000000000007</v>
      </c>
      <c r="J57" s="173">
        <v>8.3579846809644334</v>
      </c>
      <c r="K57" s="173">
        <v>8.2200171623214988</v>
      </c>
      <c r="L57" s="171">
        <f t="shared" si="0"/>
        <v>6.6032377165577957E-2</v>
      </c>
      <c r="M57" s="171">
        <v>1.6784334621020358E-2</v>
      </c>
      <c r="N57" s="36">
        <v>293.00000000000006</v>
      </c>
      <c r="O57" s="176">
        <v>0.39030238444118825</v>
      </c>
      <c r="P57" s="36">
        <v>0</v>
      </c>
      <c r="Q57" s="183">
        <v>0</v>
      </c>
      <c r="R57" s="36" t="s">
        <v>480</v>
      </c>
      <c r="S57" s="183" t="e">
        <v>#VALUE!</v>
      </c>
      <c r="T57" s="36" t="s">
        <v>480</v>
      </c>
      <c r="U57" s="183" t="e">
        <v>#VALUE!</v>
      </c>
      <c r="V57" s="36">
        <v>90.5</v>
      </c>
      <c r="W57" s="36">
        <v>163.22800000000001</v>
      </c>
      <c r="X57" s="183">
        <v>0.12055414946050352</v>
      </c>
      <c r="Y57" s="36">
        <v>-90.6</v>
      </c>
      <c r="Z57" s="36">
        <v>99.6</v>
      </c>
      <c r="AA57" s="36">
        <v>-9.1999999999999993</v>
      </c>
      <c r="AB57" s="36">
        <v>49.454999999999998</v>
      </c>
      <c r="AC57" s="170">
        <v>-1.2255228453443451E-2</v>
      </c>
    </row>
    <row r="58" spans="1:29" x14ac:dyDescent="0.2">
      <c r="A58" s="1" t="s">
        <v>135</v>
      </c>
      <c r="B58" s="1" t="s">
        <v>135</v>
      </c>
      <c r="C58" s="1" t="s">
        <v>136</v>
      </c>
      <c r="D58" s="36" t="s">
        <v>495</v>
      </c>
      <c r="E58" s="36">
        <v>4912.9336000000003</v>
      </c>
      <c r="F58" s="36">
        <v>6727.3046000000004</v>
      </c>
      <c r="G58" s="36">
        <v>1948.903</v>
      </c>
      <c r="H58" s="36">
        <v>2007.8210000000001</v>
      </c>
      <c r="I58" s="36">
        <v>2103.1669999999999</v>
      </c>
      <c r="J58" s="173">
        <v>3.3505499743254004</v>
      </c>
      <c r="K58" s="173">
        <v>3.1986545053245892</v>
      </c>
      <c r="L58" s="171">
        <f t="shared" si="0"/>
        <v>3.0231366055673434E-2</v>
      </c>
      <c r="M58" s="171">
        <v>4.7487300909792252E-2</v>
      </c>
      <c r="N58" s="36">
        <v>1132.4420061035157</v>
      </c>
      <c r="O58" s="176">
        <v>0.56401542074891919</v>
      </c>
      <c r="P58" s="36">
        <v>266.09699999999998</v>
      </c>
      <c r="Q58" s="183">
        <v>0.13253024049454606</v>
      </c>
      <c r="R58" s="36">
        <v>398.13</v>
      </c>
      <c r="S58" s="183">
        <v>0.19828958856392076</v>
      </c>
      <c r="T58" s="36">
        <v>166.67699999999999</v>
      </c>
      <c r="U58" s="183">
        <v>8.3013874244765834E-2</v>
      </c>
      <c r="V58" s="36">
        <v>344.83600000000001</v>
      </c>
      <c r="W58" s="36">
        <v>589</v>
      </c>
      <c r="X58" s="183">
        <v>0.17174638575849141</v>
      </c>
      <c r="Y58" s="36">
        <v>395.58100000000002</v>
      </c>
      <c r="Z58" s="36">
        <v>315.96299999999997</v>
      </c>
      <c r="AA58" s="36">
        <v>21.322419709094</v>
      </c>
      <c r="AB58" s="36">
        <v>352.72500000000002</v>
      </c>
      <c r="AC58" s="170">
        <v>1.0619681589690514E-2</v>
      </c>
    </row>
    <row r="59" spans="1:29" x14ac:dyDescent="0.2">
      <c r="A59" s="1" t="s">
        <v>137</v>
      </c>
      <c r="B59" s="1" t="s">
        <v>137</v>
      </c>
      <c r="C59" s="1" t="s">
        <v>138</v>
      </c>
      <c r="D59" s="36" t="s">
        <v>495</v>
      </c>
      <c r="E59" s="36">
        <v>4775.0842000000002</v>
      </c>
      <c r="F59" s="36">
        <v>4436.8191999999999</v>
      </c>
      <c r="G59" s="36">
        <v>181.309</v>
      </c>
      <c r="H59" s="36">
        <v>383.18099999999998</v>
      </c>
      <c r="I59" s="36">
        <v>489.97500000000002</v>
      </c>
      <c r="J59" s="173">
        <v>11.578912315589761</v>
      </c>
      <c r="K59" s="173">
        <v>9.0551950609724976</v>
      </c>
      <c r="L59" s="171">
        <f t="shared" si="0"/>
        <v>1.1134141162325091</v>
      </c>
      <c r="M59" s="171">
        <v>0.27870379794405276</v>
      </c>
      <c r="N59" s="36">
        <v>318.38299798583984</v>
      </c>
      <c r="O59" s="176">
        <v>0.83089453283393444</v>
      </c>
      <c r="P59" s="36">
        <v>74.331999999999994</v>
      </c>
      <c r="Q59" s="183">
        <v>0.1939866538267816</v>
      </c>
      <c r="R59" s="36">
        <v>207.02099999999999</v>
      </c>
      <c r="S59" s="183">
        <v>0.54026948100245054</v>
      </c>
      <c r="T59" s="36">
        <v>57.787999999999997</v>
      </c>
      <c r="U59" s="183">
        <v>0.1508112354213805</v>
      </c>
      <c r="V59" s="36">
        <v>-2.2589999999999986</v>
      </c>
      <c r="W59" s="36">
        <v>54.381999999999998</v>
      </c>
      <c r="X59" s="183">
        <v>-5.8953862534937762E-3</v>
      </c>
      <c r="Y59" s="36">
        <v>49.615000000000009</v>
      </c>
      <c r="Z59" s="36">
        <v>132.47900000000001</v>
      </c>
      <c r="AA59" s="36">
        <v>-33.405200000000001</v>
      </c>
      <c r="AB59" s="36">
        <v>28.193000000000001</v>
      </c>
      <c r="AC59" s="170">
        <v>-8.7178644035064382E-2</v>
      </c>
    </row>
    <row r="60" spans="1:29" x14ac:dyDescent="0.2">
      <c r="A60" s="1" t="s">
        <v>139</v>
      </c>
      <c r="B60" s="1" t="s">
        <v>139</v>
      </c>
      <c r="C60" s="1" t="s">
        <v>140</v>
      </c>
      <c r="D60" s="36" t="s">
        <v>495</v>
      </c>
      <c r="E60" s="36">
        <v>4558.2957999999999</v>
      </c>
      <c r="F60" s="36">
        <v>4485.9957999999997</v>
      </c>
      <c r="G60" s="36">
        <v>280.87400000000002</v>
      </c>
      <c r="H60" s="36">
        <v>509.43599999999998</v>
      </c>
      <c r="I60" s="36">
        <v>735.4</v>
      </c>
      <c r="J60" s="173">
        <v>8.8058083841738704</v>
      </c>
      <c r="K60" s="173">
        <v>6.1000758770737011</v>
      </c>
      <c r="L60" s="171">
        <f t="shared" si="0"/>
        <v>0.81375278594672318</v>
      </c>
      <c r="M60" s="171">
        <v>0.44355718873420802</v>
      </c>
      <c r="N60" s="36">
        <v>281.04199999999997</v>
      </c>
      <c r="O60" s="176">
        <v>0.55167283034571557</v>
      </c>
      <c r="P60" s="36">
        <v>160.947</v>
      </c>
      <c r="Q60" s="183">
        <v>0.31593173627305493</v>
      </c>
      <c r="R60" s="36">
        <v>221.18700000000001</v>
      </c>
      <c r="S60" s="183">
        <v>0.43418015216828026</v>
      </c>
      <c r="T60" s="36">
        <v>67.203999999999994</v>
      </c>
      <c r="U60" s="183">
        <v>0.13191843528922179</v>
      </c>
      <c r="V60" s="36">
        <v>-146.059</v>
      </c>
      <c r="W60" s="36">
        <v>-47.813000000000002</v>
      </c>
      <c r="X60" s="183">
        <v>-0.2867072605783651</v>
      </c>
      <c r="Y60" s="36">
        <v>-129.36799999999999</v>
      </c>
      <c r="Z60" s="36">
        <v>73.012</v>
      </c>
      <c r="AA60" s="36">
        <v>-163.51499999999999</v>
      </c>
      <c r="AB60" s="36">
        <v>-73.906999999999996</v>
      </c>
      <c r="AC60" s="170">
        <v>-0.32097260499846886</v>
      </c>
    </row>
    <row r="61" spans="1:29" x14ac:dyDescent="0.2">
      <c r="A61" s="1" t="s">
        <v>147</v>
      </c>
      <c r="B61" s="1" t="s">
        <v>147</v>
      </c>
      <c r="C61" s="1" t="s">
        <v>148</v>
      </c>
      <c r="D61" s="36" t="s">
        <v>495</v>
      </c>
      <c r="E61" s="36">
        <v>4131.2433000000001</v>
      </c>
      <c r="F61" s="36">
        <v>3887.6603</v>
      </c>
      <c r="G61" s="36">
        <v>750.26599999999996</v>
      </c>
      <c r="H61" s="36">
        <v>851.31600000000003</v>
      </c>
      <c r="I61" s="36">
        <v>927.80000000000007</v>
      </c>
      <c r="J61" s="173">
        <v>4.5666477547702611</v>
      </c>
      <c r="K61" s="173">
        <v>4.1901921750377236</v>
      </c>
      <c r="L61" s="171">
        <f t="shared" si="0"/>
        <v>0.1346855648529989</v>
      </c>
      <c r="M61" s="171">
        <v>8.9842079791757845E-2</v>
      </c>
      <c r="N61" s="36">
        <v>558.17699633789061</v>
      </c>
      <c r="O61" s="176">
        <v>0.65566369754343934</v>
      </c>
      <c r="P61" s="36">
        <v>162.886</v>
      </c>
      <c r="Q61" s="183">
        <v>0.19133435762983428</v>
      </c>
      <c r="R61" s="36">
        <v>307.20999999999998</v>
      </c>
      <c r="S61" s="183">
        <v>0.36086482575212958</v>
      </c>
      <c r="T61" s="36">
        <v>52.152999999999999</v>
      </c>
      <c r="U61" s="183">
        <v>6.1261623181051453E-2</v>
      </c>
      <c r="V61" s="36">
        <v>16.656999999999996</v>
      </c>
      <c r="W61" s="36">
        <v>104.4</v>
      </c>
      <c r="X61" s="183">
        <v>1.9566177541594419E-2</v>
      </c>
      <c r="Y61" s="36">
        <v>106.762</v>
      </c>
      <c r="Z61" s="36">
        <v>162.279</v>
      </c>
      <c r="AA61" s="36">
        <v>16.697999999999997</v>
      </c>
      <c r="AB61" s="36">
        <v>69.878</v>
      </c>
      <c r="AC61" s="170">
        <v>1.9614338271570129E-2</v>
      </c>
    </row>
    <row r="62" spans="1:29" x14ac:dyDescent="0.2">
      <c r="A62" s="1" t="s">
        <v>149</v>
      </c>
      <c r="B62" s="1" t="s">
        <v>149</v>
      </c>
      <c r="C62" s="1" t="s">
        <v>150</v>
      </c>
      <c r="D62" s="36" t="s">
        <v>506</v>
      </c>
      <c r="E62" s="36">
        <v>4143.2241999999997</v>
      </c>
      <c r="F62" s="36">
        <v>5314.2241999999997</v>
      </c>
      <c r="G62" s="36">
        <v>6408</v>
      </c>
      <c r="H62" s="36">
        <v>5780</v>
      </c>
      <c r="I62" s="36">
        <v>5298.5830000000005</v>
      </c>
      <c r="J62" s="173">
        <v>0.91941595155709332</v>
      </c>
      <c r="K62" s="173">
        <v>1.0029519590426343</v>
      </c>
      <c r="L62" s="171">
        <f t="shared" si="0"/>
        <v>-9.8002496878901377E-2</v>
      </c>
      <c r="M62" s="171">
        <v>-8.3290138408304459E-2</v>
      </c>
      <c r="N62" s="36">
        <v>1057</v>
      </c>
      <c r="O62" s="176">
        <v>0.1828719723183391</v>
      </c>
      <c r="P62" s="36">
        <v>13</v>
      </c>
      <c r="Q62" s="183">
        <v>2.249134948096886E-3</v>
      </c>
      <c r="R62" s="36" t="s">
        <v>480</v>
      </c>
      <c r="S62" s="183" t="e">
        <v>#VALUE!</v>
      </c>
      <c r="T62" s="36" t="s">
        <v>480</v>
      </c>
      <c r="U62" s="183" t="e">
        <v>#VALUE!</v>
      </c>
      <c r="V62" s="36">
        <v>689</v>
      </c>
      <c r="W62" s="36">
        <v>679.75</v>
      </c>
      <c r="X62" s="183">
        <v>0.11920415224913494</v>
      </c>
      <c r="Y62" s="36">
        <v>76</v>
      </c>
      <c r="Z62" s="36">
        <v>658</v>
      </c>
      <c r="AA62" s="36">
        <v>34.552340425531995</v>
      </c>
      <c r="AB62" s="36">
        <v>248.583</v>
      </c>
      <c r="AC62" s="170">
        <v>5.9779135684311412E-3</v>
      </c>
    </row>
    <row r="63" spans="1:29" x14ac:dyDescent="0.2">
      <c r="A63" s="1" t="s">
        <v>151</v>
      </c>
      <c r="B63" s="1" t="s">
        <v>151</v>
      </c>
      <c r="C63" s="1" t="s">
        <v>152</v>
      </c>
      <c r="D63" s="36" t="s">
        <v>506</v>
      </c>
      <c r="E63" s="36">
        <v>4212.7368999999999</v>
      </c>
      <c r="F63" s="36">
        <v>3967.4378999999999</v>
      </c>
      <c r="G63" s="36">
        <v>2403.36</v>
      </c>
      <c r="H63" s="36">
        <v>2454.6930000000002</v>
      </c>
      <c r="I63" s="36">
        <v>2523.6790000000001</v>
      </c>
      <c r="J63" s="173">
        <v>1.6162664333177303</v>
      </c>
      <c r="K63" s="173">
        <v>1.5720849997166835</v>
      </c>
      <c r="L63" s="171">
        <f t="shared" si="0"/>
        <v>2.1358847613341357E-2</v>
      </c>
      <c r="M63" s="171">
        <v>2.8103718061688321E-2</v>
      </c>
      <c r="N63" s="36">
        <v>618.02799414062497</v>
      </c>
      <c r="O63" s="176">
        <v>0.25177404838023532</v>
      </c>
      <c r="P63" s="36">
        <v>0</v>
      </c>
      <c r="Q63" s="183">
        <v>0</v>
      </c>
      <c r="R63" s="36" t="s">
        <v>480</v>
      </c>
      <c r="S63" s="183" t="e">
        <v>#VALUE!</v>
      </c>
      <c r="T63" s="36" t="s">
        <v>480</v>
      </c>
      <c r="U63" s="183" t="e">
        <v>#VALUE!</v>
      </c>
      <c r="V63" s="36">
        <v>376.36900000000003</v>
      </c>
      <c r="W63" s="36">
        <v>350.94</v>
      </c>
      <c r="X63" s="183">
        <v>0.1533263019041485</v>
      </c>
      <c r="Y63" s="36">
        <v>297.005</v>
      </c>
      <c r="Z63" s="36">
        <v>349.245</v>
      </c>
      <c r="AA63" s="36">
        <v>229.65975</v>
      </c>
      <c r="AB63" s="36">
        <v>216.108</v>
      </c>
      <c r="AC63" s="170">
        <v>9.3559459370275627E-2</v>
      </c>
    </row>
    <row r="64" spans="1:29" x14ac:dyDescent="0.2">
      <c r="A64" s="1" t="s">
        <v>153</v>
      </c>
      <c r="B64" s="1" t="s">
        <v>153</v>
      </c>
      <c r="C64" s="1" t="s">
        <v>154</v>
      </c>
      <c r="D64" s="36" t="s">
        <v>495</v>
      </c>
      <c r="E64" s="36">
        <v>4064.9578000000001</v>
      </c>
      <c r="F64" s="36">
        <v>4064.2968000000001</v>
      </c>
      <c r="G64" s="36">
        <v>336.06799999999998</v>
      </c>
      <c r="H64" s="36">
        <v>1130.17</v>
      </c>
      <c r="I64" s="36">
        <v>1221.8890000000001</v>
      </c>
      <c r="J64" s="173">
        <v>3.5961818133555128</v>
      </c>
      <c r="K64" s="173">
        <v>3.3262405995961988</v>
      </c>
      <c r="L64" s="171">
        <f t="shared" si="0"/>
        <v>2.3629205994025022</v>
      </c>
      <c r="M64" s="171">
        <v>8.1155047470734543E-2</v>
      </c>
      <c r="N64" s="36">
        <v>883.36700305175782</v>
      </c>
      <c r="O64" s="176">
        <v>0.78162312134613177</v>
      </c>
      <c r="P64" s="36">
        <v>156.73099999999999</v>
      </c>
      <c r="Q64" s="183">
        <v>0.13867913676703503</v>
      </c>
      <c r="R64" s="36">
        <v>346.96100000000001</v>
      </c>
      <c r="S64" s="183">
        <v>0.30699894706106162</v>
      </c>
      <c r="T64" s="36">
        <v>160.36600000000001</v>
      </c>
      <c r="U64" s="183">
        <v>0.1418954670536291</v>
      </c>
      <c r="V64" s="36">
        <v>389.65500000000003</v>
      </c>
      <c r="W64" s="36">
        <v>448.25</v>
      </c>
      <c r="X64" s="183">
        <v>0.34477556473804827</v>
      </c>
      <c r="Y64" s="36">
        <v>328.89800000000002</v>
      </c>
      <c r="Z64" s="36">
        <v>252.40199999999999</v>
      </c>
      <c r="AA64" s="36">
        <v>85.247472264912005</v>
      </c>
      <c r="AB64" s="36">
        <v>282.01300000000003</v>
      </c>
      <c r="AC64" s="170">
        <v>7.5428893232798611E-2</v>
      </c>
    </row>
    <row r="65" spans="1:29" x14ac:dyDescent="0.2">
      <c r="A65" s="1" t="s">
        <v>155</v>
      </c>
      <c r="B65" s="1" t="s">
        <v>155</v>
      </c>
      <c r="C65" s="1" t="s">
        <v>156</v>
      </c>
      <c r="D65" s="36" t="s">
        <v>495</v>
      </c>
      <c r="E65" s="36">
        <v>3530.201</v>
      </c>
      <c r="F65" s="36">
        <v>3256.0626999999999</v>
      </c>
      <c r="G65" s="36">
        <v>83.677999999999997</v>
      </c>
      <c r="H65" s="36">
        <v>219.095</v>
      </c>
      <c r="I65" s="36">
        <v>265.79300000000001</v>
      </c>
      <c r="J65" s="173">
        <v>14.861419475569958</v>
      </c>
      <c r="K65" s="173">
        <v>12.250370401026363</v>
      </c>
      <c r="L65" s="171">
        <f t="shared" si="0"/>
        <v>1.6183106670809533</v>
      </c>
      <c r="M65" s="171">
        <v>0.21314041853990284</v>
      </c>
      <c r="N65" s="36">
        <v>150.86900170898437</v>
      </c>
      <c r="O65" s="176">
        <v>0.68860084305431146</v>
      </c>
      <c r="P65" s="36">
        <v>44.536000000000001</v>
      </c>
      <c r="Q65" s="183">
        <v>0.20327255300212238</v>
      </c>
      <c r="R65" s="36">
        <v>88.721999999999994</v>
      </c>
      <c r="S65" s="183">
        <v>0.40494762545927565</v>
      </c>
      <c r="T65" s="36">
        <v>38.578000000000003</v>
      </c>
      <c r="U65" s="183">
        <v>0.17607886989662019</v>
      </c>
      <c r="V65" s="36">
        <v>-34.963000000000001</v>
      </c>
      <c r="W65" s="36">
        <v>4.0910000000000002</v>
      </c>
      <c r="X65" s="183">
        <v>-0.15957917798215387</v>
      </c>
      <c r="Y65" s="36">
        <v>20.446999999999996</v>
      </c>
      <c r="Z65" s="36">
        <v>412.90299999999996</v>
      </c>
      <c r="AA65" s="36">
        <v>-49.332999999999998</v>
      </c>
      <c r="AB65" s="36">
        <v>-6.7450000000000001</v>
      </c>
      <c r="AC65" s="170">
        <v>-0.22516716492845568</v>
      </c>
    </row>
    <row r="66" spans="1:29" x14ac:dyDescent="0.2">
      <c r="A66" s="1" t="s">
        <v>157</v>
      </c>
      <c r="B66" s="1" t="s">
        <v>157</v>
      </c>
      <c r="C66" s="1" t="s">
        <v>158</v>
      </c>
      <c r="D66" s="36" t="s">
        <v>495</v>
      </c>
      <c r="E66" s="36">
        <v>3622.2921999999999</v>
      </c>
      <c r="F66" s="36">
        <v>4272.2191999999995</v>
      </c>
      <c r="G66" s="36">
        <v>874.255</v>
      </c>
      <c r="H66" s="36">
        <v>1158.5079999999998</v>
      </c>
      <c r="I66" s="36">
        <v>1252.3330000000001</v>
      </c>
      <c r="J66" s="173">
        <v>3.6876907194425934</v>
      </c>
      <c r="K66" s="173">
        <v>3.4114083075348165</v>
      </c>
      <c r="L66" s="171">
        <f t="shared" si="0"/>
        <v>0.3251374027028725</v>
      </c>
      <c r="M66" s="171">
        <v>8.0987787740784078E-2</v>
      </c>
      <c r="N66" s="36">
        <v>974.26899780273436</v>
      </c>
      <c r="O66" s="176">
        <v>0.84096872684757851</v>
      </c>
      <c r="P66" s="36">
        <v>46.003999999999998</v>
      </c>
      <c r="Q66" s="183">
        <v>3.9709695573962374E-2</v>
      </c>
      <c r="R66" s="36">
        <v>330.29599999999999</v>
      </c>
      <c r="S66" s="183">
        <v>0.28510463458172064</v>
      </c>
      <c r="T66" s="36">
        <v>323.517</v>
      </c>
      <c r="U66" s="183">
        <v>0.27925314283544012</v>
      </c>
      <c r="V66" s="36">
        <v>412.85069230769199</v>
      </c>
      <c r="W66" s="36">
        <v>528.46699999999998</v>
      </c>
      <c r="X66" s="183">
        <v>0.35636412722889443</v>
      </c>
      <c r="Y66" s="36">
        <v>324.49900000000002</v>
      </c>
      <c r="Z66" s="36">
        <v>350.94499999999999</v>
      </c>
      <c r="AA66" s="36">
        <v>150.78399999999999</v>
      </c>
      <c r="AB66" s="36">
        <v>330.483</v>
      </c>
      <c r="AC66" s="170">
        <v>0.1301536113691058</v>
      </c>
    </row>
    <row r="67" spans="1:29" x14ac:dyDescent="0.2">
      <c r="A67" s="1" t="s">
        <v>159</v>
      </c>
      <c r="B67" s="1" t="s">
        <v>159</v>
      </c>
      <c r="C67" s="1" t="s">
        <v>160</v>
      </c>
      <c r="D67" s="36" t="s">
        <v>506</v>
      </c>
      <c r="E67" s="36">
        <v>3592.2889</v>
      </c>
      <c r="F67" s="36">
        <v>5315.9659000000001</v>
      </c>
      <c r="G67" s="36">
        <v>1952.557</v>
      </c>
      <c r="H67" s="36">
        <v>1870.5889999999999</v>
      </c>
      <c r="I67" s="36">
        <v>1850.3410000000001</v>
      </c>
      <c r="J67" s="173">
        <v>2.8418674011233898</v>
      </c>
      <c r="K67" s="173">
        <v>2.8729655236521268</v>
      </c>
      <c r="L67" s="171">
        <f t="shared" ref="L67:L130" si="1">(H67-G67)/G67</f>
        <v>-4.1979824404614091E-2</v>
      </c>
      <c r="M67" s="171">
        <v>-1.0824398090654719E-2</v>
      </c>
      <c r="N67" s="36">
        <v>918.13100402832038</v>
      </c>
      <c r="O67" s="176">
        <v>0.49082454992963198</v>
      </c>
      <c r="P67" s="36">
        <v>0</v>
      </c>
      <c r="Q67" s="183">
        <v>0</v>
      </c>
      <c r="R67" s="36" t="s">
        <v>480</v>
      </c>
      <c r="S67" s="183" t="e">
        <v>#VALUE!</v>
      </c>
      <c r="T67" s="36" t="s">
        <v>480</v>
      </c>
      <c r="U67" s="183" t="e">
        <v>#VALUE!</v>
      </c>
      <c r="V67" s="36">
        <v>460.75</v>
      </c>
      <c r="W67" s="36">
        <v>487.44200000000001</v>
      </c>
      <c r="X67" s="183">
        <v>0.24631279238785217</v>
      </c>
      <c r="Y67" s="36">
        <v>310.55</v>
      </c>
      <c r="Z67" s="36">
        <v>118.80399999999999</v>
      </c>
      <c r="AA67" s="36">
        <v>156.14600000000002</v>
      </c>
      <c r="AB67" s="36">
        <v>221.86700000000002</v>
      </c>
      <c r="AC67" s="170">
        <v>8.3474242604869381E-2</v>
      </c>
    </row>
    <row r="68" spans="1:29" x14ac:dyDescent="0.2">
      <c r="A68" s="1" t="s">
        <v>161</v>
      </c>
      <c r="B68" s="1" t="s">
        <v>161</v>
      </c>
      <c r="C68" s="1" t="s">
        <v>162</v>
      </c>
      <c r="D68" s="36" t="s">
        <v>495</v>
      </c>
      <c r="E68" s="36">
        <v>3651.6462000000001</v>
      </c>
      <c r="F68" s="36">
        <v>3162.8121999999998</v>
      </c>
      <c r="G68" s="36">
        <v>205.864</v>
      </c>
      <c r="H68" s="36">
        <v>346.63900000000001</v>
      </c>
      <c r="I68" s="36">
        <v>473.83300000000003</v>
      </c>
      <c r="J68" s="173">
        <v>9.1242249141037206</v>
      </c>
      <c r="K68" s="173">
        <v>6.6749513014078792</v>
      </c>
      <c r="L68" s="171">
        <f t="shared" si="1"/>
        <v>0.68382524385030896</v>
      </c>
      <c r="M68" s="171">
        <v>0.3669350534706135</v>
      </c>
      <c r="N68" s="36">
        <v>287.72500283813474</v>
      </c>
      <c r="O68" s="176">
        <v>0.83004221347896434</v>
      </c>
      <c r="P68" s="36">
        <v>45.925999999999995</v>
      </c>
      <c r="Q68" s="183">
        <v>0.13248941982869786</v>
      </c>
      <c r="R68" s="36">
        <v>150.923</v>
      </c>
      <c r="S68" s="183">
        <v>0.4353895551279573</v>
      </c>
      <c r="T68" s="36">
        <v>62.664999999999999</v>
      </c>
      <c r="U68" s="183">
        <v>0.18077885061980908</v>
      </c>
      <c r="V68" s="36">
        <v>-26.742999999999999</v>
      </c>
      <c r="W68" s="36">
        <v>23.045000000000002</v>
      </c>
      <c r="X68" s="183">
        <v>-7.7149426348448957E-2</v>
      </c>
      <c r="Y68" s="36" t="s">
        <v>480</v>
      </c>
      <c r="Z68" s="36">
        <v>223.36999999999998</v>
      </c>
      <c r="AA68" s="36">
        <v>-47.448000000000008</v>
      </c>
      <c r="AB68" s="36">
        <v>-2.9330000000000003</v>
      </c>
      <c r="AC68" s="170">
        <v>-0.13688015485851276</v>
      </c>
    </row>
    <row r="69" spans="1:29" x14ac:dyDescent="0.2">
      <c r="A69" s="1" t="s">
        <v>163</v>
      </c>
      <c r="B69" s="1" t="s">
        <v>163</v>
      </c>
      <c r="C69" s="1" t="s">
        <v>164</v>
      </c>
      <c r="D69" s="36" t="s">
        <v>495</v>
      </c>
      <c r="E69" s="36">
        <v>3424.6939000000002</v>
      </c>
      <c r="F69" s="36">
        <v>3579.8489</v>
      </c>
      <c r="G69" s="36">
        <v>730.81500000000005</v>
      </c>
      <c r="H69" s="36">
        <v>833.04499999999996</v>
      </c>
      <c r="I69" s="36">
        <v>871.04500000000007</v>
      </c>
      <c r="J69" s="173">
        <v>4.2973055477195112</v>
      </c>
      <c r="K69" s="173">
        <v>4.1098323278361049</v>
      </c>
      <c r="L69" s="171">
        <f t="shared" si="1"/>
        <v>0.13988492299692795</v>
      </c>
      <c r="M69" s="171">
        <v>4.5615783060939163E-2</v>
      </c>
      <c r="N69" s="36">
        <v>461.10500335693359</v>
      </c>
      <c r="O69" s="176">
        <v>0.55351752109061769</v>
      </c>
      <c r="P69" s="36">
        <v>89.911000000000001</v>
      </c>
      <c r="Q69" s="183">
        <v>0.10793054396821301</v>
      </c>
      <c r="R69" s="36">
        <v>173.52500000000001</v>
      </c>
      <c r="S69" s="183">
        <v>0.20830207251709093</v>
      </c>
      <c r="T69" s="36">
        <v>94.87</v>
      </c>
      <c r="U69" s="183">
        <v>0.11388340365766557</v>
      </c>
      <c r="V69" s="36">
        <v>162.346</v>
      </c>
      <c r="W69" s="36">
        <v>184.31399999999999</v>
      </c>
      <c r="X69" s="183">
        <v>0.19488262938976889</v>
      </c>
      <c r="Y69" s="36">
        <v>149.40600000000001</v>
      </c>
      <c r="Z69" s="36">
        <v>29.83</v>
      </c>
      <c r="AA69" s="36">
        <v>80.155496400630994</v>
      </c>
      <c r="AB69" s="36">
        <v>118.879</v>
      </c>
      <c r="AC69" s="170">
        <v>9.621988776192282E-2</v>
      </c>
    </row>
    <row r="70" spans="1:29" x14ac:dyDescent="0.2">
      <c r="A70" s="1" t="s">
        <v>165</v>
      </c>
      <c r="B70" s="1" t="s">
        <v>165</v>
      </c>
      <c r="C70" s="1" t="s">
        <v>166</v>
      </c>
      <c r="D70" s="36" t="s">
        <v>505</v>
      </c>
      <c r="E70" s="36">
        <v>3332.6280000000002</v>
      </c>
      <c r="F70" s="36">
        <v>3196.73</v>
      </c>
      <c r="G70" s="36">
        <v>714.11400000000003</v>
      </c>
      <c r="H70" s="36">
        <v>793.64200000000005</v>
      </c>
      <c r="I70" s="36">
        <v>853.05899999999997</v>
      </c>
      <c r="J70" s="173">
        <v>4.0279244294026775</v>
      </c>
      <c r="K70" s="173">
        <v>3.7473726905173033</v>
      </c>
      <c r="L70" s="171">
        <f t="shared" si="1"/>
        <v>0.11136597237976012</v>
      </c>
      <c r="M70" s="171">
        <v>7.4866249518044548E-2</v>
      </c>
      <c r="N70" s="36">
        <v>520.84100958251952</v>
      </c>
      <c r="O70" s="176">
        <v>0.65626694351170867</v>
      </c>
      <c r="P70" s="36">
        <v>243.273</v>
      </c>
      <c r="Q70" s="183">
        <v>0.30652737632332966</v>
      </c>
      <c r="R70" s="36">
        <v>371.935</v>
      </c>
      <c r="S70" s="183">
        <v>0.46864329256768161</v>
      </c>
      <c r="T70" s="36">
        <v>125.59699999999999</v>
      </c>
      <c r="U70" s="183">
        <v>0.15825397345402586</v>
      </c>
      <c r="V70" s="36">
        <v>-128.273</v>
      </c>
      <c r="W70" s="36">
        <v>121.242</v>
      </c>
      <c r="X70" s="183">
        <v>-0.1616257708135406</v>
      </c>
      <c r="Y70" s="36">
        <v>11.232999999999997</v>
      </c>
      <c r="Z70" s="36">
        <v>180.89099999999999</v>
      </c>
      <c r="AA70" s="36">
        <v>-257.473708220025</v>
      </c>
      <c r="AB70" s="36">
        <v>23.024000000000001</v>
      </c>
      <c r="AC70" s="170">
        <v>-0.32442046693600513</v>
      </c>
    </row>
    <row r="71" spans="1:29" x14ac:dyDescent="0.2">
      <c r="A71" s="1" t="s">
        <v>167</v>
      </c>
      <c r="B71" s="1" t="s">
        <v>167</v>
      </c>
      <c r="C71" s="1" t="s">
        <v>168</v>
      </c>
      <c r="D71" s="36" t="s">
        <v>495</v>
      </c>
      <c r="E71" s="36">
        <v>3339.4326000000001</v>
      </c>
      <c r="F71" s="36">
        <v>3202.2395999999999</v>
      </c>
      <c r="G71" s="36">
        <v>230.70099999999999</v>
      </c>
      <c r="H71" s="36">
        <v>377.52699999999999</v>
      </c>
      <c r="I71" s="36">
        <v>452.61400000000003</v>
      </c>
      <c r="J71" s="173">
        <v>8.482147237151251</v>
      </c>
      <c r="K71" s="173">
        <v>7.0749901682228113</v>
      </c>
      <c r="L71" s="171">
        <f t="shared" si="1"/>
        <v>0.63643417237029742</v>
      </c>
      <c r="M71" s="171">
        <v>0.19889173489578238</v>
      </c>
      <c r="N71" s="36">
        <v>228.32999908447266</v>
      </c>
      <c r="O71" s="176">
        <v>0.60480442215913743</v>
      </c>
      <c r="P71" s="36">
        <v>37.644999999999996</v>
      </c>
      <c r="Q71" s="183">
        <v>9.9714722390716423E-2</v>
      </c>
      <c r="R71" s="36">
        <v>95.483999999999995</v>
      </c>
      <c r="S71" s="183">
        <v>0.25291965872639571</v>
      </c>
      <c r="T71" s="36">
        <v>79.251999999999995</v>
      </c>
      <c r="U71" s="183">
        <v>0.20992405841171624</v>
      </c>
      <c r="V71" s="36">
        <v>46.511999999999993</v>
      </c>
      <c r="W71" s="36">
        <v>125.129</v>
      </c>
      <c r="X71" s="183">
        <v>0.12320178424324617</v>
      </c>
      <c r="Y71" s="36">
        <v>58.707999999999998</v>
      </c>
      <c r="Z71" s="36">
        <v>137.19299999999998</v>
      </c>
      <c r="AA71" s="36">
        <v>3.8283299999999998</v>
      </c>
      <c r="AB71" s="36">
        <v>76.643000000000001</v>
      </c>
      <c r="AC71" s="170">
        <v>1.0140546239076941E-2</v>
      </c>
    </row>
    <row r="72" spans="1:29" x14ac:dyDescent="0.2">
      <c r="A72" s="1" t="s">
        <v>169</v>
      </c>
      <c r="B72" s="1" t="s">
        <v>169</v>
      </c>
      <c r="C72" s="1" t="s">
        <v>170</v>
      </c>
      <c r="D72" s="36" t="s">
        <v>495</v>
      </c>
      <c r="E72" s="36">
        <v>3406.6007</v>
      </c>
      <c r="F72" s="36">
        <v>3692.9135000000001</v>
      </c>
      <c r="G72" s="36">
        <v>131.84100000000001</v>
      </c>
      <c r="H72" s="36">
        <v>166.82400000000001</v>
      </c>
      <c r="I72" s="36">
        <v>257.7</v>
      </c>
      <c r="J72" s="173">
        <v>22.136584064642975</v>
      </c>
      <c r="K72" s="173">
        <v>14.330281334885527</v>
      </c>
      <c r="L72" s="171">
        <f t="shared" si="1"/>
        <v>0.26534234418731656</v>
      </c>
      <c r="M72" s="171">
        <v>0.54474176377499628</v>
      </c>
      <c r="N72" s="36">
        <v>116.99600000000001</v>
      </c>
      <c r="O72" s="176">
        <v>0.70131395962211673</v>
      </c>
      <c r="P72" s="36">
        <v>0</v>
      </c>
      <c r="Q72" s="183">
        <v>0</v>
      </c>
      <c r="R72" s="36">
        <v>103.47799999999999</v>
      </c>
      <c r="S72" s="183">
        <v>0.62028245336402432</v>
      </c>
      <c r="T72" s="36">
        <v>46.970999999999997</v>
      </c>
      <c r="U72" s="183">
        <v>0.28156020716443675</v>
      </c>
      <c r="V72" s="36">
        <v>-66.082999999999998</v>
      </c>
      <c r="W72" s="36">
        <v>-48.283000000000001</v>
      </c>
      <c r="X72" s="183">
        <v>-0.39612405888840929</v>
      </c>
      <c r="Y72" s="36">
        <v>-18.09</v>
      </c>
      <c r="Z72" s="36">
        <v>28.266999999999999</v>
      </c>
      <c r="AA72" s="36">
        <v>-95.293880000000001</v>
      </c>
      <c r="AB72" s="36">
        <v>-59.25</v>
      </c>
      <c r="AC72" s="170">
        <v>-0.57122404450199005</v>
      </c>
    </row>
    <row r="73" spans="1:29" x14ac:dyDescent="0.2">
      <c r="A73" s="1" t="s">
        <v>171</v>
      </c>
      <c r="B73" s="1" t="s">
        <v>171</v>
      </c>
      <c r="C73" s="1" t="s">
        <v>172</v>
      </c>
      <c r="D73" s="36" t="s">
        <v>495</v>
      </c>
      <c r="E73" s="36">
        <v>2926.9940999999999</v>
      </c>
      <c r="F73" s="36">
        <v>2833.0971</v>
      </c>
      <c r="G73" s="36">
        <v>604.55700000000002</v>
      </c>
      <c r="H73" s="36">
        <v>558.87699999999995</v>
      </c>
      <c r="I73" s="36">
        <v>561.4</v>
      </c>
      <c r="J73" s="173">
        <v>5.0692676563895098</v>
      </c>
      <c r="K73" s="173">
        <v>5.0464857499109375</v>
      </c>
      <c r="L73" s="171">
        <f t="shared" si="1"/>
        <v>-7.5559459240402582E-2</v>
      </c>
      <c r="M73" s="171">
        <v>4.5144101474923204E-3</v>
      </c>
      <c r="N73" s="36">
        <v>322.08900360107418</v>
      </c>
      <c r="O73" s="176">
        <v>0.57631465170524854</v>
      </c>
      <c r="P73" s="36">
        <v>57.704000000000001</v>
      </c>
      <c r="Q73" s="183">
        <v>0.10324991008755058</v>
      </c>
      <c r="R73" s="36">
        <v>47.481999999999999</v>
      </c>
      <c r="S73" s="183">
        <v>8.4959660175673718E-2</v>
      </c>
      <c r="T73" s="36">
        <v>46.054000000000002</v>
      </c>
      <c r="U73" s="183">
        <v>8.2404536239637713E-2</v>
      </c>
      <c r="V73" s="36">
        <v>152.07</v>
      </c>
      <c r="W73" s="36">
        <v>131.92500000000001</v>
      </c>
      <c r="X73" s="183">
        <v>0.27209922755812105</v>
      </c>
      <c r="Y73" s="36">
        <v>142.90699999999998</v>
      </c>
      <c r="Z73" s="36">
        <v>125.52199999999999</v>
      </c>
      <c r="AA73" s="36">
        <v>105.80647999999999</v>
      </c>
      <c r="AB73" s="36">
        <v>94.12</v>
      </c>
      <c r="AC73" s="170">
        <v>0.18931979666366661</v>
      </c>
    </row>
    <row r="74" spans="1:29" x14ac:dyDescent="0.2">
      <c r="A74" s="1" t="s">
        <v>173</v>
      </c>
      <c r="B74" s="1" t="s">
        <v>173</v>
      </c>
      <c r="C74" s="1" t="s">
        <v>174</v>
      </c>
      <c r="D74" s="36" t="s">
        <v>505</v>
      </c>
      <c r="E74" s="36">
        <v>2917.6007</v>
      </c>
      <c r="F74" s="36">
        <v>2532.3746999999998</v>
      </c>
      <c r="G74" s="36">
        <v>197.92500000000001</v>
      </c>
      <c r="H74" s="36">
        <v>255.43600000000001</v>
      </c>
      <c r="I74" s="36">
        <v>303.84500000000003</v>
      </c>
      <c r="J74" s="173">
        <v>9.9139302995662302</v>
      </c>
      <c r="K74" s="173">
        <v>8.3344293965673266</v>
      </c>
      <c r="L74" s="171">
        <f t="shared" si="1"/>
        <v>0.2905696602248326</v>
      </c>
      <c r="M74" s="171">
        <v>0.18951518188509064</v>
      </c>
      <c r="N74" s="36">
        <v>196.15400054931641</v>
      </c>
      <c r="O74" s="176">
        <v>0.76791838483736197</v>
      </c>
      <c r="P74" s="36">
        <v>42.815999999999995</v>
      </c>
      <c r="Q74" s="183">
        <v>0.16761928623999747</v>
      </c>
      <c r="R74" s="36">
        <v>63.854999999999997</v>
      </c>
      <c r="S74" s="183">
        <v>0.24998434050016441</v>
      </c>
      <c r="T74" s="36">
        <v>35.334000000000003</v>
      </c>
      <c r="U74" s="183">
        <v>0.13832819179755398</v>
      </c>
      <c r="V74" s="36">
        <v>67.129000000000005</v>
      </c>
      <c r="W74" s="36">
        <v>109.622</v>
      </c>
      <c r="X74" s="183">
        <v>0.2628016411155828</v>
      </c>
      <c r="Y74" s="36">
        <v>93.984999999999999</v>
      </c>
      <c r="Z74" s="36">
        <v>86.590999999999994</v>
      </c>
      <c r="AA74" s="36">
        <v>42.557038674647998</v>
      </c>
      <c r="AB74" s="36">
        <v>67.052999999999997</v>
      </c>
      <c r="AC74" s="170">
        <v>0.166605485032055</v>
      </c>
    </row>
    <row r="75" spans="1:29" x14ac:dyDescent="0.2">
      <c r="A75" s="1" t="s">
        <v>175</v>
      </c>
      <c r="B75" s="1" t="s">
        <v>175</v>
      </c>
      <c r="C75" s="1" t="s">
        <v>176</v>
      </c>
      <c r="D75" s="36" t="s">
        <v>495</v>
      </c>
      <c r="E75" s="36">
        <v>2921.7831000000001</v>
      </c>
      <c r="F75" s="36">
        <v>3540.5491000000002</v>
      </c>
      <c r="G75" s="36">
        <v>1005.701</v>
      </c>
      <c r="H75" s="36">
        <v>996.43500000000006</v>
      </c>
      <c r="I75" s="36">
        <v>1060</v>
      </c>
      <c r="J75" s="173">
        <v>3.553216316167136</v>
      </c>
      <c r="K75" s="173">
        <v>3.3401406603773585</v>
      </c>
      <c r="L75" s="171">
        <f t="shared" si="1"/>
        <v>-9.2134739848125456E-3</v>
      </c>
      <c r="M75" s="171">
        <v>6.3792419977218628E-2</v>
      </c>
      <c r="N75" s="36">
        <v>549.45199468994144</v>
      </c>
      <c r="O75" s="176">
        <v>0.55141779914388933</v>
      </c>
      <c r="P75" s="36">
        <v>136.92099999999999</v>
      </c>
      <c r="Q75" s="183">
        <v>0.13741086975066108</v>
      </c>
      <c r="R75" s="36">
        <v>107.88500000000001</v>
      </c>
      <c r="S75" s="183">
        <v>0.10827098606532287</v>
      </c>
      <c r="T75" s="36">
        <v>153.03200000000001</v>
      </c>
      <c r="U75" s="183">
        <v>0.15357951095656014</v>
      </c>
      <c r="V75" s="36">
        <v>214.69400000000002</v>
      </c>
      <c r="W75" s="36">
        <v>279.60000000000002</v>
      </c>
      <c r="X75" s="183">
        <v>0.21546212246659341</v>
      </c>
      <c r="Y75" s="36">
        <v>138.00200000000001</v>
      </c>
      <c r="Z75" s="36">
        <v>69.709999999999994</v>
      </c>
      <c r="AA75" s="36">
        <v>48.026550000000007</v>
      </c>
      <c r="AB75" s="36">
        <v>108.74000000000001</v>
      </c>
      <c r="AC75" s="170">
        <v>4.819837721477066E-2</v>
      </c>
    </row>
    <row r="76" spans="1:29" x14ac:dyDescent="0.2">
      <c r="A76" s="1" t="s">
        <v>177</v>
      </c>
      <c r="B76" s="1" t="s">
        <v>177</v>
      </c>
      <c r="C76" s="1" t="s">
        <v>178</v>
      </c>
      <c r="D76" s="36" t="s">
        <v>495</v>
      </c>
      <c r="E76" s="36">
        <v>2940.2168000000001</v>
      </c>
      <c r="F76" s="36">
        <v>3342.4558000000002</v>
      </c>
      <c r="G76" s="36">
        <v>1130.2660000000001</v>
      </c>
      <c r="H76" s="36">
        <v>1198.9859999999999</v>
      </c>
      <c r="I76" s="36">
        <v>1271.2</v>
      </c>
      <c r="J76" s="173">
        <v>2.7877354698053192</v>
      </c>
      <c r="K76" s="173">
        <v>2.6293705160478287</v>
      </c>
      <c r="L76" s="171">
        <f t="shared" si="1"/>
        <v>6.0799847115634548E-2</v>
      </c>
      <c r="M76" s="171">
        <v>6.0229227030174082E-2</v>
      </c>
      <c r="N76" s="36">
        <v>770.49898681640627</v>
      </c>
      <c r="O76" s="176">
        <v>0.64262550756756653</v>
      </c>
      <c r="P76" s="36">
        <v>190.643</v>
      </c>
      <c r="Q76" s="183">
        <v>0.15900352464499171</v>
      </c>
      <c r="R76" s="36" t="s">
        <v>480</v>
      </c>
      <c r="S76" s="183" t="e">
        <v>#VALUE!</v>
      </c>
      <c r="T76" s="36" t="s">
        <v>480</v>
      </c>
      <c r="U76" s="183" t="e">
        <v>#VALUE!</v>
      </c>
      <c r="V76" s="36">
        <v>212.02799999999999</v>
      </c>
      <c r="W76" s="36">
        <v>291.33300000000003</v>
      </c>
      <c r="X76" s="183">
        <v>0.17683942931777352</v>
      </c>
      <c r="Y76" s="36">
        <v>144.71100000000001</v>
      </c>
      <c r="Z76" s="36">
        <v>337.94200000000001</v>
      </c>
      <c r="AA76" s="36">
        <v>54.014695631445996</v>
      </c>
      <c r="AB76" s="36">
        <v>213.55</v>
      </c>
      <c r="AC76" s="170">
        <v>4.5050313874762507E-2</v>
      </c>
    </row>
    <row r="77" spans="1:29" x14ac:dyDescent="0.2">
      <c r="A77" s="1" t="s">
        <v>179</v>
      </c>
      <c r="B77" s="1" t="s">
        <v>179</v>
      </c>
      <c r="C77" s="1" t="s">
        <v>180</v>
      </c>
      <c r="D77" s="36" t="s">
        <v>495</v>
      </c>
      <c r="E77" s="36">
        <v>2813.1309000000001</v>
      </c>
      <c r="F77" s="36">
        <v>2710.8598999999999</v>
      </c>
      <c r="G77" s="36">
        <v>423.12400000000002</v>
      </c>
      <c r="H77" s="36">
        <v>519.38200000000006</v>
      </c>
      <c r="I77" s="36">
        <v>532.57500000000005</v>
      </c>
      <c r="J77" s="173">
        <v>5.2193951657931921</v>
      </c>
      <c r="K77" s="173">
        <v>5.0900997981504945</v>
      </c>
      <c r="L77" s="171">
        <f t="shared" si="1"/>
        <v>0.22749359525812771</v>
      </c>
      <c r="M77" s="171">
        <v>2.540134236457936E-2</v>
      </c>
      <c r="N77" s="36">
        <v>372.4000010986328</v>
      </c>
      <c r="O77" s="176">
        <v>0.71700598229941115</v>
      </c>
      <c r="P77" s="36">
        <v>61.974999999999994</v>
      </c>
      <c r="Q77" s="183">
        <v>0.11932450489235281</v>
      </c>
      <c r="R77" s="36">
        <v>240.27099999999999</v>
      </c>
      <c r="S77" s="183">
        <v>0.46260940887439295</v>
      </c>
      <c r="T77" s="36">
        <v>84.588999999999999</v>
      </c>
      <c r="U77" s="183">
        <v>0.16286471229268629</v>
      </c>
      <c r="V77" s="36">
        <v>15.740000000000002</v>
      </c>
      <c r="W77" s="36">
        <v>115.2</v>
      </c>
      <c r="X77" s="183">
        <v>3.0305247390167545E-2</v>
      </c>
      <c r="Y77" s="36">
        <v>86.269000000000005</v>
      </c>
      <c r="Z77" s="36">
        <v>393.57599999999996</v>
      </c>
      <c r="AA77" s="36">
        <v>-40.478999999999999</v>
      </c>
      <c r="AB77" s="36">
        <v>56.395000000000003</v>
      </c>
      <c r="AC77" s="170">
        <v>-7.793685572468817E-2</v>
      </c>
    </row>
    <row r="78" spans="1:29" x14ac:dyDescent="0.2">
      <c r="A78" s="1" t="s">
        <v>181</v>
      </c>
      <c r="B78" s="1" t="s">
        <v>181</v>
      </c>
      <c r="C78" s="1" t="s">
        <v>182</v>
      </c>
      <c r="D78" s="36" t="s">
        <v>495</v>
      </c>
      <c r="E78" s="36">
        <v>2765.9047</v>
      </c>
      <c r="F78" s="36">
        <v>2781.2797</v>
      </c>
      <c r="G78" s="36">
        <v>343.274</v>
      </c>
      <c r="H78" s="36">
        <v>394.09599999999995</v>
      </c>
      <c r="I78" s="36">
        <v>427.56700000000001</v>
      </c>
      <c r="J78" s="173">
        <v>7.0573659717429269</v>
      </c>
      <c r="K78" s="173">
        <v>6.5048979458190175</v>
      </c>
      <c r="L78" s="171">
        <f t="shared" si="1"/>
        <v>0.14805082820137833</v>
      </c>
      <c r="M78" s="171">
        <v>8.4931082781860345E-2</v>
      </c>
      <c r="N78" s="36">
        <v>220.96600073242186</v>
      </c>
      <c r="O78" s="176">
        <v>0.56069079800967758</v>
      </c>
      <c r="P78" s="36">
        <v>57.309999999999995</v>
      </c>
      <c r="Q78" s="183">
        <v>0.14542142016158499</v>
      </c>
      <c r="R78" s="36">
        <v>85.912000000000006</v>
      </c>
      <c r="S78" s="183">
        <v>0.2179976452437985</v>
      </c>
      <c r="T78" s="36">
        <v>49.837000000000003</v>
      </c>
      <c r="U78" s="183">
        <v>0.12645903536194231</v>
      </c>
      <c r="V78" s="36">
        <v>54.477999999999994</v>
      </c>
      <c r="W78" s="36">
        <v>103.52500000000001</v>
      </c>
      <c r="X78" s="183">
        <v>0.13823535382241892</v>
      </c>
      <c r="Y78" s="36">
        <v>56.217000000000006</v>
      </c>
      <c r="Z78" s="36">
        <v>124.613</v>
      </c>
      <c r="AA78" s="36">
        <v>4.2689791113369981</v>
      </c>
      <c r="AB78" s="36">
        <v>61.438000000000002</v>
      </c>
      <c r="AC78" s="170">
        <v>1.0832333013623581E-2</v>
      </c>
    </row>
    <row r="79" spans="1:29" x14ac:dyDescent="0.2">
      <c r="A79" s="1" t="s">
        <v>183</v>
      </c>
      <c r="B79" s="1" t="s">
        <v>183</v>
      </c>
      <c r="C79" s="1" t="s">
        <v>184</v>
      </c>
      <c r="D79" s="36" t="s">
        <v>495</v>
      </c>
      <c r="E79" s="36">
        <v>2781.9353000000001</v>
      </c>
      <c r="F79" s="36">
        <v>2538.9832999999999</v>
      </c>
      <c r="G79" s="36">
        <v>360.28500000000003</v>
      </c>
      <c r="H79" s="36">
        <v>462.851</v>
      </c>
      <c r="I79" s="36">
        <v>534.75</v>
      </c>
      <c r="J79" s="173">
        <v>5.4855305487078994</v>
      </c>
      <c r="K79" s="173">
        <v>4.7479818606825619</v>
      </c>
      <c r="L79" s="171">
        <f t="shared" si="1"/>
        <v>0.28468018374342524</v>
      </c>
      <c r="M79" s="171">
        <v>0.15533940728225715</v>
      </c>
      <c r="N79" s="36">
        <v>273.98900335693361</v>
      </c>
      <c r="O79" s="176">
        <v>0.59195940671389624</v>
      </c>
      <c r="P79" s="36">
        <v>69.265999999999991</v>
      </c>
      <c r="Q79" s="183">
        <v>0.14965075153775187</v>
      </c>
      <c r="R79" s="36">
        <v>65.042000000000002</v>
      </c>
      <c r="S79" s="183">
        <v>0.14052470449453497</v>
      </c>
      <c r="T79" s="36">
        <v>79.686000000000007</v>
      </c>
      <c r="U79" s="183">
        <v>0.17216339599568761</v>
      </c>
      <c r="V79" s="36">
        <v>85.867999999999995</v>
      </c>
      <c r="W79" s="36">
        <v>150.49700000000001</v>
      </c>
      <c r="X79" s="183">
        <v>0.1855197460953957</v>
      </c>
      <c r="Y79" s="36">
        <v>30.468</v>
      </c>
      <c r="Z79" s="36">
        <v>137.69800000000001</v>
      </c>
      <c r="AA79" s="36">
        <v>19.337490000000003</v>
      </c>
      <c r="AB79" s="36">
        <v>76.745000000000005</v>
      </c>
      <c r="AC79" s="170">
        <v>4.177908225325213E-2</v>
      </c>
    </row>
    <row r="80" spans="1:29" x14ac:dyDescent="0.2">
      <c r="A80" s="1" t="s">
        <v>185</v>
      </c>
      <c r="B80" s="1" t="s">
        <v>185</v>
      </c>
      <c r="C80" s="1" t="s">
        <v>186</v>
      </c>
      <c r="D80" s="36" t="s">
        <v>495</v>
      </c>
      <c r="E80" s="36">
        <v>2694.8279000000002</v>
      </c>
      <c r="F80" s="36">
        <v>2584.7898</v>
      </c>
      <c r="G80" s="36">
        <v>302.70400000000001</v>
      </c>
      <c r="H80" s="36">
        <v>554.70800000000008</v>
      </c>
      <c r="I80" s="36">
        <v>668.68299999999999</v>
      </c>
      <c r="J80" s="173">
        <v>4.6597305248887695</v>
      </c>
      <c r="K80" s="173">
        <v>3.8654935148642928</v>
      </c>
      <c r="L80" s="171">
        <f t="shared" si="1"/>
        <v>0.83250964638723002</v>
      </c>
      <c r="M80" s="171">
        <v>0.20546846268667451</v>
      </c>
      <c r="N80" s="36">
        <v>403.28800524902346</v>
      </c>
      <c r="O80" s="176">
        <v>0.72702756269789404</v>
      </c>
      <c r="P80" s="36">
        <v>136.791</v>
      </c>
      <c r="Q80" s="183">
        <v>0.24660001297980194</v>
      </c>
      <c r="R80" s="36">
        <v>303.31900000000002</v>
      </c>
      <c r="S80" s="183">
        <v>0.54680841091168686</v>
      </c>
      <c r="T80" s="36">
        <v>84.805000000000007</v>
      </c>
      <c r="U80" s="183">
        <v>0.15288223714098229</v>
      </c>
      <c r="V80" s="36">
        <v>-104.10600000000001</v>
      </c>
      <c r="W80" s="36">
        <v>37.133000000000003</v>
      </c>
      <c r="X80" s="183">
        <v>-0.18767712021459937</v>
      </c>
      <c r="Y80" s="36">
        <v>53.064000000000007</v>
      </c>
      <c r="Z80" s="36">
        <v>208.07599999999999</v>
      </c>
      <c r="AA80" s="36">
        <v>-150.31100000000001</v>
      </c>
      <c r="AB80" s="36">
        <v>-2.8890000000000002</v>
      </c>
      <c r="AC80" s="170">
        <v>-0.27097319670889908</v>
      </c>
    </row>
    <row r="81" spans="1:29" x14ac:dyDescent="0.2">
      <c r="A81" s="1" t="s">
        <v>187</v>
      </c>
      <c r="B81" s="1" t="s">
        <v>187</v>
      </c>
      <c r="C81" s="1" t="s">
        <v>188</v>
      </c>
      <c r="D81" s="36" t="s">
        <v>505</v>
      </c>
      <c r="E81" s="36">
        <v>2707.2824000000001</v>
      </c>
      <c r="F81" s="36">
        <v>2961.8824</v>
      </c>
      <c r="G81" s="36">
        <v>124.371</v>
      </c>
      <c r="H81" s="36">
        <v>187.727</v>
      </c>
      <c r="I81" s="36">
        <v>294.17700000000002</v>
      </c>
      <c r="J81" s="173">
        <v>15.777604713227186</v>
      </c>
      <c r="K81" s="173">
        <v>10.068368363264293</v>
      </c>
      <c r="L81" s="171">
        <f t="shared" si="1"/>
        <v>0.50941135795322068</v>
      </c>
      <c r="M81" s="171">
        <v>0.56704682863946054</v>
      </c>
      <c r="N81" s="36">
        <v>162.13900000000001</v>
      </c>
      <c r="O81" s="176">
        <v>0.86369568575644429</v>
      </c>
      <c r="P81" s="36">
        <v>57.672999999999995</v>
      </c>
      <c r="Q81" s="183">
        <v>0.30721739547321375</v>
      </c>
      <c r="R81" s="36">
        <v>116.29900000000001</v>
      </c>
      <c r="S81" s="183">
        <v>0.61951131163870943</v>
      </c>
      <c r="T81" s="36">
        <v>28.927</v>
      </c>
      <c r="U81" s="183">
        <v>0.15409078076142482</v>
      </c>
      <c r="V81" s="36">
        <v>-36.067999999999998</v>
      </c>
      <c r="W81" s="36">
        <v>-63.645000000000003</v>
      </c>
      <c r="X81" s="183">
        <v>-0.19213006120590004</v>
      </c>
      <c r="Y81" s="36">
        <v>-9.0210000000000008</v>
      </c>
      <c r="Z81" s="36">
        <v>27.209999999999997</v>
      </c>
      <c r="AA81" s="36">
        <v>-41.021999999999998</v>
      </c>
      <c r="AB81" s="36">
        <v>-68.793000000000006</v>
      </c>
      <c r="AC81" s="170">
        <v>-0.21851944579096239</v>
      </c>
    </row>
    <row r="82" spans="1:29" x14ac:dyDescent="0.2">
      <c r="A82" s="1" t="s">
        <v>189</v>
      </c>
      <c r="B82" s="1" t="s">
        <v>189</v>
      </c>
      <c r="C82" s="1" t="s">
        <v>190</v>
      </c>
      <c r="D82" s="36" t="s">
        <v>495</v>
      </c>
      <c r="E82" s="36">
        <v>2698.6026999999999</v>
      </c>
      <c r="F82" s="36">
        <v>2363.1176</v>
      </c>
      <c r="G82" s="36">
        <v>85.79</v>
      </c>
      <c r="H82" s="36">
        <v>162.35999999999999</v>
      </c>
      <c r="I82" s="36">
        <v>224.28800000000001</v>
      </c>
      <c r="J82" s="173">
        <v>14.554801675289482</v>
      </c>
      <c r="K82" s="173">
        <v>10.536085746896847</v>
      </c>
      <c r="L82" s="171">
        <f t="shared" si="1"/>
        <v>0.89252826669774998</v>
      </c>
      <c r="M82" s="171">
        <v>0.3814239960581427</v>
      </c>
      <c r="N82" s="36">
        <v>140.40400271606444</v>
      </c>
      <c r="O82" s="176">
        <v>0.86476966442513215</v>
      </c>
      <c r="P82" s="36">
        <v>29.341999999999999</v>
      </c>
      <c r="Q82" s="183">
        <v>0.1807218526730722</v>
      </c>
      <c r="R82" s="36">
        <v>66.42</v>
      </c>
      <c r="S82" s="183">
        <v>0.40909090909090912</v>
      </c>
      <c r="T82" s="36">
        <v>32.241</v>
      </c>
      <c r="U82" s="183">
        <v>0.19857723577235775</v>
      </c>
      <c r="V82" s="36">
        <v>-13.546000000000001</v>
      </c>
      <c r="W82" s="36">
        <v>-7.2229999999999999</v>
      </c>
      <c r="X82" s="183">
        <v>-8.3431879773343209E-2</v>
      </c>
      <c r="Y82" s="36">
        <v>16.873000000000001</v>
      </c>
      <c r="Z82" s="36">
        <v>119.71599999999999</v>
      </c>
      <c r="AA82" s="36">
        <v>-19.666589999999999</v>
      </c>
      <c r="AB82" s="36">
        <v>-15.01</v>
      </c>
      <c r="AC82" s="170">
        <v>-0.12112952697708795</v>
      </c>
    </row>
    <row r="83" spans="1:29" x14ac:dyDescent="0.2">
      <c r="A83" s="1" t="s">
        <v>191</v>
      </c>
      <c r="B83" s="1" t="s">
        <v>191</v>
      </c>
      <c r="C83" s="1" t="s">
        <v>192</v>
      </c>
      <c r="D83" s="36" t="s">
        <v>505</v>
      </c>
      <c r="E83" s="36">
        <v>2711.1356000000001</v>
      </c>
      <c r="F83" s="36">
        <v>2249.4695999999999</v>
      </c>
      <c r="G83" s="36">
        <v>595.12599999999998</v>
      </c>
      <c r="H83" s="36">
        <v>709.59799999999996</v>
      </c>
      <c r="I83" s="36">
        <v>761.19500000000005</v>
      </c>
      <c r="J83" s="173">
        <v>3.1700619223842232</v>
      </c>
      <c r="K83" s="173">
        <v>2.955181786533017</v>
      </c>
      <c r="L83" s="171">
        <f t="shared" si="1"/>
        <v>0.19234918319817987</v>
      </c>
      <c r="M83" s="171">
        <v>7.2713000882189682E-2</v>
      </c>
      <c r="N83" s="36">
        <v>605.50099267578128</v>
      </c>
      <c r="O83" s="176">
        <v>0.85330143641298495</v>
      </c>
      <c r="P83" s="36">
        <v>94.164000000000001</v>
      </c>
      <c r="Q83" s="183">
        <v>0.13270048675447227</v>
      </c>
      <c r="R83" s="36">
        <v>410.72699999999998</v>
      </c>
      <c r="S83" s="183">
        <v>0.57881645664164783</v>
      </c>
      <c r="T83" s="36">
        <v>87.575000000000003</v>
      </c>
      <c r="U83" s="183">
        <v>0.12341494761822892</v>
      </c>
      <c r="V83" s="36">
        <v>20.122</v>
      </c>
      <c r="W83" s="36">
        <v>127.75</v>
      </c>
      <c r="X83" s="183">
        <v>2.8356900667701995E-2</v>
      </c>
      <c r="Y83" s="36">
        <v>88.67</v>
      </c>
      <c r="Z83" s="36">
        <v>330.78399999999999</v>
      </c>
      <c r="AA83" s="36">
        <v>-7.6881895614599998</v>
      </c>
      <c r="AB83" s="36">
        <v>84.094999999999999</v>
      </c>
      <c r="AC83" s="170">
        <v>-1.0834570505356555E-2</v>
      </c>
    </row>
    <row r="84" spans="1:29" x14ac:dyDescent="0.2">
      <c r="A84" s="1" t="s">
        <v>193</v>
      </c>
      <c r="B84" s="1" t="s">
        <v>193</v>
      </c>
      <c r="C84" s="1" t="s">
        <v>194</v>
      </c>
      <c r="D84" s="36" t="s">
        <v>506</v>
      </c>
      <c r="E84" s="36">
        <v>2588.6080999999999</v>
      </c>
      <c r="F84" s="36">
        <v>2665.1181000000001</v>
      </c>
      <c r="G84" s="36">
        <v>263.86500000000001</v>
      </c>
      <c r="H84" s="36">
        <v>325.887</v>
      </c>
      <c r="I84" s="36">
        <v>515.72500000000002</v>
      </c>
      <c r="J84" s="173">
        <v>8.1780436163455441</v>
      </c>
      <c r="K84" s="173">
        <v>5.1677116680401376</v>
      </c>
      <c r="L84" s="171">
        <f t="shared" si="1"/>
        <v>0.23505201523506333</v>
      </c>
      <c r="M84" s="171">
        <v>0.58252707226738099</v>
      </c>
      <c r="N84" s="36">
        <v>236.179</v>
      </c>
      <c r="O84" s="176">
        <v>0.72472666906013439</v>
      </c>
      <c r="P84" s="36">
        <v>0</v>
      </c>
      <c r="Q84" s="183">
        <v>0</v>
      </c>
      <c r="R84" s="36">
        <v>2.198</v>
      </c>
      <c r="S84" s="183">
        <v>6.7446691644649833E-3</v>
      </c>
      <c r="T84" s="36">
        <v>14.875999999999999</v>
      </c>
      <c r="U84" s="183">
        <v>4.5647724518007776E-2</v>
      </c>
      <c r="V84" s="36">
        <v>150.26899999999998</v>
      </c>
      <c r="W84" s="36">
        <v>231.45099999999999</v>
      </c>
      <c r="X84" s="183">
        <v>0.46110768456550882</v>
      </c>
      <c r="Y84" s="36">
        <v>156.25900000000001</v>
      </c>
      <c r="Z84" s="36">
        <v>224.61399999999998</v>
      </c>
      <c r="AA84" s="36">
        <v>138.66800000000001</v>
      </c>
      <c r="AB84" s="36">
        <v>148.94800000000001</v>
      </c>
      <c r="AC84" s="170">
        <v>0.42550945573158794</v>
      </c>
    </row>
    <row r="85" spans="1:29" x14ac:dyDescent="0.2">
      <c r="A85" s="1" t="s">
        <v>195</v>
      </c>
      <c r="B85" s="1" t="s">
        <v>195</v>
      </c>
      <c r="C85" s="1" t="s">
        <v>196</v>
      </c>
      <c r="D85" s="36" t="s">
        <v>505</v>
      </c>
      <c r="E85" s="36">
        <v>2499.4157</v>
      </c>
      <c r="F85" s="36">
        <v>2121.9027000000001</v>
      </c>
      <c r="G85" s="36">
        <v>216.613</v>
      </c>
      <c r="H85" s="36">
        <v>294.68199999999996</v>
      </c>
      <c r="I85" s="36">
        <v>349.25299999999999</v>
      </c>
      <c r="J85" s="173">
        <v>7.2006525678528055</v>
      </c>
      <c r="K85" s="173">
        <v>6.0755460940922488</v>
      </c>
      <c r="L85" s="171">
        <f t="shared" si="1"/>
        <v>0.36040773176125146</v>
      </c>
      <c r="M85" s="171">
        <v>0.1851860649785193</v>
      </c>
      <c r="N85" s="36">
        <v>249.10499847412109</v>
      </c>
      <c r="O85" s="176">
        <v>0.84533496607909919</v>
      </c>
      <c r="P85" s="36">
        <v>42.388999999999996</v>
      </c>
      <c r="Q85" s="183">
        <v>0.14384658716854101</v>
      </c>
      <c r="R85" s="36">
        <v>126.739</v>
      </c>
      <c r="S85" s="183">
        <v>0.43008734839589802</v>
      </c>
      <c r="T85" s="36">
        <v>30.399000000000001</v>
      </c>
      <c r="U85" s="183">
        <v>0.10315865916479461</v>
      </c>
      <c r="V85" s="36">
        <v>33.942999999999998</v>
      </c>
      <c r="W85" s="36">
        <v>80.558000000000007</v>
      </c>
      <c r="X85" s="183">
        <v>0.11518518267148996</v>
      </c>
      <c r="Y85" s="36">
        <v>115.262</v>
      </c>
      <c r="Z85" s="36">
        <v>161.261</v>
      </c>
      <c r="AA85" s="36">
        <v>27.055742028858003</v>
      </c>
      <c r="AB85" s="36">
        <v>55.678000000000004</v>
      </c>
      <c r="AC85" s="170">
        <v>9.1813351439375343E-2</v>
      </c>
    </row>
    <row r="86" spans="1:29" x14ac:dyDescent="0.2">
      <c r="A86" s="1" t="s">
        <v>197</v>
      </c>
      <c r="B86" s="1" t="s">
        <v>197</v>
      </c>
      <c r="C86" s="1" t="s">
        <v>198</v>
      </c>
      <c r="D86" s="36" t="s">
        <v>495</v>
      </c>
      <c r="E86" s="36">
        <v>2542.2449000000001</v>
      </c>
      <c r="F86" s="36">
        <v>2344.0949000000001</v>
      </c>
      <c r="G86" s="36">
        <v>313.24</v>
      </c>
      <c r="H86" s="36">
        <v>362.10199999999998</v>
      </c>
      <c r="I86" s="36">
        <v>403.58300000000003</v>
      </c>
      <c r="J86" s="173">
        <v>6.473576229902072</v>
      </c>
      <c r="K86" s="173">
        <v>5.8082102070701689</v>
      </c>
      <c r="L86" s="171">
        <f t="shared" si="1"/>
        <v>0.15598901800536319</v>
      </c>
      <c r="M86" s="171">
        <v>0.11455611954642619</v>
      </c>
      <c r="N86" s="36">
        <v>250.68500076293947</v>
      </c>
      <c r="O86" s="176">
        <v>0.69230493276187233</v>
      </c>
      <c r="P86" s="36">
        <v>93.233999999999995</v>
      </c>
      <c r="Q86" s="183">
        <v>0.25747993659245183</v>
      </c>
      <c r="R86" s="36">
        <v>79.957999999999998</v>
      </c>
      <c r="S86" s="183">
        <v>0.22081623409978404</v>
      </c>
      <c r="T86" s="36">
        <v>87.978999999999999</v>
      </c>
      <c r="U86" s="183">
        <v>0.24296745116017035</v>
      </c>
      <c r="V86" s="36">
        <v>-3.4740000000000002</v>
      </c>
      <c r="W86" s="36">
        <v>42.646999999999998</v>
      </c>
      <c r="X86" s="183">
        <v>-9.5939818062313938E-3</v>
      </c>
      <c r="Y86" s="36">
        <v>32.57</v>
      </c>
      <c r="Z86" s="36">
        <v>39.213000000000001</v>
      </c>
      <c r="AA86" s="36">
        <v>-84.54</v>
      </c>
      <c r="AB86" s="36">
        <v>25.7</v>
      </c>
      <c r="AC86" s="170">
        <v>-0.23347012720172772</v>
      </c>
    </row>
    <row r="87" spans="1:29" x14ac:dyDescent="0.2">
      <c r="A87" s="1" t="s">
        <v>199</v>
      </c>
      <c r="B87" s="1" t="s">
        <v>199</v>
      </c>
      <c r="C87" s="1" t="s">
        <v>200</v>
      </c>
      <c r="D87" s="36" t="s">
        <v>495</v>
      </c>
      <c r="E87" s="36">
        <v>2458.9054000000001</v>
      </c>
      <c r="F87" s="36">
        <v>2777.4384</v>
      </c>
      <c r="G87" s="36">
        <v>578.16399999999999</v>
      </c>
      <c r="H87" s="36">
        <v>757.60300000000007</v>
      </c>
      <c r="I87" s="36">
        <v>863.7</v>
      </c>
      <c r="J87" s="173">
        <v>3.6660868555166752</v>
      </c>
      <c r="K87" s="173">
        <v>3.215744355679055</v>
      </c>
      <c r="L87" s="171">
        <f t="shared" si="1"/>
        <v>0.31036003625268971</v>
      </c>
      <c r="M87" s="171">
        <v>0.14004300405357428</v>
      </c>
      <c r="N87" s="36">
        <v>512.96599737548831</v>
      </c>
      <c r="O87" s="176">
        <v>0.67709076835161464</v>
      </c>
      <c r="P87" s="36">
        <v>0</v>
      </c>
      <c r="Q87" s="183">
        <v>0</v>
      </c>
      <c r="R87" s="36" t="s">
        <v>480</v>
      </c>
      <c r="S87" s="183" t="e">
        <v>#VALUE!</v>
      </c>
      <c r="T87" s="36">
        <v>121.01</v>
      </c>
      <c r="U87" s="183">
        <v>0.15972745620067502</v>
      </c>
      <c r="V87" s="36">
        <v>106.039</v>
      </c>
      <c r="W87" s="36">
        <v>170.54</v>
      </c>
      <c r="X87" s="183">
        <v>0.13996644680657283</v>
      </c>
      <c r="Y87" s="36">
        <v>99.716999999999999</v>
      </c>
      <c r="Z87" s="36">
        <v>60.114999999999995</v>
      </c>
      <c r="AA87" s="36">
        <v>32.882268060742</v>
      </c>
      <c r="AB87" s="36">
        <v>91.412999999999997</v>
      </c>
      <c r="AC87" s="170">
        <v>4.3403033067110346E-2</v>
      </c>
    </row>
    <row r="88" spans="1:29" x14ac:dyDescent="0.2">
      <c r="A88" s="1" t="s">
        <v>201</v>
      </c>
      <c r="B88" s="1" t="s">
        <v>201</v>
      </c>
      <c r="C88" s="1" t="s">
        <v>202</v>
      </c>
      <c r="D88" s="36" t="s">
        <v>495</v>
      </c>
      <c r="E88" s="36">
        <v>2438.0086000000001</v>
      </c>
      <c r="F88" s="36">
        <v>2499.6136000000001</v>
      </c>
      <c r="G88" s="36">
        <v>40.750999999999998</v>
      </c>
      <c r="H88" s="36">
        <v>111.253</v>
      </c>
      <c r="I88" s="36">
        <v>195.833</v>
      </c>
      <c r="J88" s="173">
        <v>22.467830979838748</v>
      </c>
      <c r="K88" s="173">
        <v>12.764006066393305</v>
      </c>
      <c r="L88" s="171">
        <f t="shared" si="1"/>
        <v>1.7300679737920546</v>
      </c>
      <c r="M88" s="171">
        <v>0.76024916182035529</v>
      </c>
      <c r="N88" s="36">
        <v>89.570999999999998</v>
      </c>
      <c r="O88" s="176">
        <v>0.80511087341464949</v>
      </c>
      <c r="P88" s="36">
        <v>37.589999999999996</v>
      </c>
      <c r="Q88" s="183">
        <v>0.3378785291183159</v>
      </c>
      <c r="R88" s="36">
        <v>72.924999999999997</v>
      </c>
      <c r="S88" s="183">
        <v>0.65548794189819592</v>
      </c>
      <c r="T88" s="36">
        <v>28.033999999999999</v>
      </c>
      <c r="U88" s="183">
        <v>0.25198421615596883</v>
      </c>
      <c r="V88" s="36">
        <v>-44.902000000000001</v>
      </c>
      <c r="W88" s="36">
        <v>-45.95</v>
      </c>
      <c r="X88" s="183">
        <v>-0.40360259948046345</v>
      </c>
      <c r="Y88" s="36">
        <v>-19.587</v>
      </c>
      <c r="Z88" s="36">
        <v>58.157999999999994</v>
      </c>
      <c r="AA88" s="36">
        <v>-49.106000000000002</v>
      </c>
      <c r="AB88" s="36">
        <v>-63.59</v>
      </c>
      <c r="AC88" s="170">
        <v>-0.44139034453003517</v>
      </c>
    </row>
    <row r="89" spans="1:29" x14ac:dyDescent="0.2">
      <c r="A89" s="1" t="s">
        <v>203</v>
      </c>
      <c r="B89" s="1" t="s">
        <v>203</v>
      </c>
      <c r="C89" s="1" t="s">
        <v>204</v>
      </c>
      <c r="D89" s="36" t="s">
        <v>506</v>
      </c>
      <c r="E89" s="36">
        <v>2461.5574999999999</v>
      </c>
      <c r="F89" s="36">
        <v>2436.4575</v>
      </c>
      <c r="G89" s="36">
        <v>562.17899999999997</v>
      </c>
      <c r="H89" s="36">
        <v>777.6</v>
      </c>
      <c r="I89" s="36">
        <v>824</v>
      </c>
      <c r="J89" s="173">
        <v>3.1333043981481481</v>
      </c>
      <c r="K89" s="173">
        <v>2.9568658980582523</v>
      </c>
      <c r="L89" s="171">
        <f t="shared" si="1"/>
        <v>0.38318934005005534</v>
      </c>
      <c r="M89" s="171">
        <v>5.967078189300401E-2</v>
      </c>
      <c r="N89" s="36">
        <v>266.30000152587888</v>
      </c>
      <c r="O89" s="176">
        <v>0.34246399373184011</v>
      </c>
      <c r="P89" s="36">
        <v>0</v>
      </c>
      <c r="Q89" s="183">
        <v>0</v>
      </c>
      <c r="R89" s="36">
        <v>41.767000000000003</v>
      </c>
      <c r="S89" s="183">
        <v>5.3712705761316877E-2</v>
      </c>
      <c r="T89" s="36">
        <v>117.626</v>
      </c>
      <c r="U89" s="183">
        <v>0.15126800411522634</v>
      </c>
      <c r="V89" s="36">
        <v>119.85900000000001</v>
      </c>
      <c r="W89" s="36">
        <v>168.292</v>
      </c>
      <c r="X89" s="183">
        <v>0.15413966049382716</v>
      </c>
      <c r="Y89" s="36" t="s">
        <v>480</v>
      </c>
      <c r="Z89" s="36">
        <v>99.828999999999994</v>
      </c>
      <c r="AA89" s="36">
        <v>92.1</v>
      </c>
      <c r="AB89" s="36">
        <v>125.28400000000001</v>
      </c>
      <c r="AC89" s="170">
        <v>0.11844135802469134</v>
      </c>
    </row>
    <row r="90" spans="1:29" x14ac:dyDescent="0.2">
      <c r="A90" s="1" t="s">
        <v>205</v>
      </c>
      <c r="B90" s="1" t="s">
        <v>205</v>
      </c>
      <c r="C90" s="1" t="s">
        <v>206</v>
      </c>
      <c r="D90" s="36" t="s">
        <v>495</v>
      </c>
      <c r="E90" s="36">
        <v>2373.3932</v>
      </c>
      <c r="F90" s="36">
        <v>2399.3838999999998</v>
      </c>
      <c r="G90" s="36">
        <v>184.99299999999999</v>
      </c>
      <c r="H90" s="36">
        <v>259.76499999999999</v>
      </c>
      <c r="I90" s="36">
        <v>290.03199999999998</v>
      </c>
      <c r="J90" s="173">
        <v>9.2367482147325468</v>
      </c>
      <c r="K90" s="173">
        <v>8.2728247227892098</v>
      </c>
      <c r="L90" s="171">
        <f t="shared" si="1"/>
        <v>0.40418826658305984</v>
      </c>
      <c r="M90" s="171">
        <v>0.11651685176986892</v>
      </c>
      <c r="N90" s="36">
        <v>189.24499960327148</v>
      </c>
      <c r="O90" s="176">
        <v>0.72852385657525642</v>
      </c>
      <c r="P90" s="36">
        <v>41.803999999999995</v>
      </c>
      <c r="Q90" s="183">
        <v>0.16093007141069812</v>
      </c>
      <c r="R90" s="36">
        <v>33.128</v>
      </c>
      <c r="S90" s="183">
        <v>0.12753065270532982</v>
      </c>
      <c r="T90" s="36">
        <v>25.448</v>
      </c>
      <c r="U90" s="183">
        <v>9.7965468789097843E-2</v>
      </c>
      <c r="V90" s="36">
        <v>83.233999999999995</v>
      </c>
      <c r="W90" s="36">
        <v>100.771</v>
      </c>
      <c r="X90" s="183">
        <v>0.3204203799588089</v>
      </c>
      <c r="Y90" s="36">
        <v>71.663000000000011</v>
      </c>
      <c r="Z90" s="36">
        <v>35.144999999999996</v>
      </c>
      <c r="AA90" s="36">
        <v>31.351610000000001</v>
      </c>
      <c r="AB90" s="36">
        <v>42.183</v>
      </c>
      <c r="AC90" s="170">
        <v>0.12069220256770544</v>
      </c>
    </row>
    <row r="91" spans="1:29" x14ac:dyDescent="0.2">
      <c r="A91" s="1" t="s">
        <v>207</v>
      </c>
      <c r="B91" s="1" t="s">
        <v>207</v>
      </c>
      <c r="C91" s="1" t="s">
        <v>208</v>
      </c>
      <c r="D91" s="36" t="s">
        <v>495</v>
      </c>
      <c r="E91" s="36">
        <v>2279.9922999999999</v>
      </c>
      <c r="F91" s="36">
        <v>2165.1192999999998</v>
      </c>
      <c r="G91" s="36">
        <v>123.123</v>
      </c>
      <c r="H91" s="36">
        <v>202.84200000000001</v>
      </c>
      <c r="I91" s="36">
        <v>246.78800000000001</v>
      </c>
      <c r="J91" s="173">
        <v>10.673920095443743</v>
      </c>
      <c r="K91" s="173">
        <v>8.7731952120848646</v>
      </c>
      <c r="L91" s="171">
        <f t="shared" si="1"/>
        <v>0.64747447674276948</v>
      </c>
      <c r="M91" s="171">
        <v>0.21665138383569471</v>
      </c>
      <c r="N91" s="36">
        <v>157.49099987792968</v>
      </c>
      <c r="O91" s="176">
        <v>0.77642204217040689</v>
      </c>
      <c r="P91" s="36">
        <v>23.873999999999999</v>
      </c>
      <c r="Q91" s="183">
        <v>0.11769751826544797</v>
      </c>
      <c r="R91" s="36">
        <v>109.77500000000001</v>
      </c>
      <c r="S91" s="183">
        <v>0.54118476449650466</v>
      </c>
      <c r="T91" s="36">
        <v>36.956000000000003</v>
      </c>
      <c r="U91" s="183">
        <v>0.18219106496682147</v>
      </c>
      <c r="V91" s="36">
        <v>-13.472000000000001</v>
      </c>
      <c r="W91" s="36">
        <v>12.863</v>
      </c>
      <c r="X91" s="183">
        <v>-6.6416225436546669E-2</v>
      </c>
      <c r="Y91" s="36">
        <v>9.2060000000000013</v>
      </c>
      <c r="Z91" s="36">
        <v>31.103999999999999</v>
      </c>
      <c r="AA91" s="36">
        <v>-33.920332731689001</v>
      </c>
      <c r="AB91" s="36">
        <v>2.661</v>
      </c>
      <c r="AC91" s="170">
        <v>-0.16722539085440391</v>
      </c>
    </row>
    <row r="92" spans="1:29" x14ac:dyDescent="0.2">
      <c r="A92" s="1" t="s">
        <v>211</v>
      </c>
      <c r="B92" s="1" t="s">
        <v>211</v>
      </c>
      <c r="C92" s="1" t="s">
        <v>212</v>
      </c>
      <c r="D92" s="36" t="s">
        <v>495</v>
      </c>
      <c r="E92" s="36">
        <v>2144.8136</v>
      </c>
      <c r="F92" s="36">
        <v>2527.3155999999999</v>
      </c>
      <c r="G92" s="36">
        <v>167.42599999999999</v>
      </c>
      <c r="H92" s="36">
        <v>213.15899999999999</v>
      </c>
      <c r="I92" s="36">
        <v>282.81</v>
      </c>
      <c r="J92" s="173">
        <v>11.85648084293884</v>
      </c>
      <c r="K92" s="173">
        <v>8.9364435486722531</v>
      </c>
      <c r="L92" s="171">
        <f t="shared" si="1"/>
        <v>0.27315351259660992</v>
      </c>
      <c r="M92" s="171">
        <v>0.32675608348697449</v>
      </c>
      <c r="N92" s="36">
        <v>155.18199999999999</v>
      </c>
      <c r="O92" s="176">
        <v>0.72801054611815585</v>
      </c>
      <c r="P92" s="36">
        <v>41.263999999999996</v>
      </c>
      <c r="Q92" s="183">
        <v>0.19358319376615576</v>
      </c>
      <c r="R92" s="36">
        <v>133.79400000000001</v>
      </c>
      <c r="S92" s="183">
        <v>0.62767230095843951</v>
      </c>
      <c r="T92" s="36">
        <v>34.286000000000001</v>
      </c>
      <c r="U92" s="183">
        <v>0.16084706721273792</v>
      </c>
      <c r="V92" s="36">
        <v>-43.302999999999997</v>
      </c>
      <c r="W92" s="36">
        <v>-23.48</v>
      </c>
      <c r="X92" s="183">
        <v>-0.20314882317894153</v>
      </c>
      <c r="Y92" s="36">
        <v>-17.495999999999999</v>
      </c>
      <c r="Z92" s="36">
        <v>14.074999999999999</v>
      </c>
      <c r="AA92" s="36">
        <v>-55.233550000000001</v>
      </c>
      <c r="AB92" s="36">
        <v>-39.237000000000002</v>
      </c>
      <c r="AC92" s="170">
        <v>-0.25911901444461649</v>
      </c>
    </row>
    <row r="93" spans="1:29" x14ac:dyDescent="0.2">
      <c r="A93" s="1" t="s">
        <v>213</v>
      </c>
      <c r="B93" s="1" t="s">
        <v>213</v>
      </c>
      <c r="C93" s="1" t="s">
        <v>214</v>
      </c>
      <c r="D93" s="36" t="s">
        <v>495</v>
      </c>
      <c r="E93" s="36">
        <v>2123.6478000000002</v>
      </c>
      <c r="F93" s="36">
        <v>2086.6887999999999</v>
      </c>
      <c r="G93" s="36">
        <v>261.10599999999999</v>
      </c>
      <c r="H93" s="36">
        <v>375.99900000000002</v>
      </c>
      <c r="I93" s="36">
        <v>410.81200000000001</v>
      </c>
      <c r="J93" s="173">
        <v>5.5497190152101465</v>
      </c>
      <c r="K93" s="173">
        <v>5.0794251385061777</v>
      </c>
      <c r="L93" s="171">
        <f t="shared" si="1"/>
        <v>0.44002435792360201</v>
      </c>
      <c r="M93" s="171">
        <v>9.2588012202160064E-2</v>
      </c>
      <c r="N93" s="36">
        <v>251.41600036621094</v>
      </c>
      <c r="O93" s="176">
        <v>0.66866135379671465</v>
      </c>
      <c r="P93" s="36">
        <v>72.754999999999995</v>
      </c>
      <c r="Q93" s="183">
        <v>0.19349785504748682</v>
      </c>
      <c r="R93" s="36">
        <v>43.49</v>
      </c>
      <c r="S93" s="183">
        <v>0.11566520123723734</v>
      </c>
      <c r="T93" s="36">
        <v>55.396000000000001</v>
      </c>
      <c r="U93" s="183">
        <v>0.14733017906962517</v>
      </c>
      <c r="V93" s="36">
        <v>78.801000000000002</v>
      </c>
      <c r="W93" s="36">
        <v>86.858000000000004</v>
      </c>
      <c r="X93" s="183">
        <v>0.2095776850470347</v>
      </c>
      <c r="Y93" s="36">
        <v>41.491</v>
      </c>
      <c r="Z93" s="36">
        <v>96.328999999999994</v>
      </c>
      <c r="AA93" s="36">
        <v>54.195191958732003</v>
      </c>
      <c r="AB93" s="36">
        <v>60.554000000000002</v>
      </c>
      <c r="AC93" s="170">
        <v>0.14413653216825575</v>
      </c>
    </row>
    <row r="94" spans="1:29" x14ac:dyDescent="0.2">
      <c r="A94" s="1" t="s">
        <v>215</v>
      </c>
      <c r="B94" s="1" t="s">
        <v>215</v>
      </c>
      <c r="C94" s="1" t="s">
        <v>216</v>
      </c>
      <c r="D94" s="36" t="s">
        <v>495</v>
      </c>
      <c r="E94" s="36">
        <v>2082.1448999999998</v>
      </c>
      <c r="F94" s="36">
        <v>1642.0148999999999</v>
      </c>
      <c r="G94" s="36">
        <v>166.048</v>
      </c>
      <c r="H94" s="36">
        <v>411.06400000000002</v>
      </c>
      <c r="I94" s="36">
        <v>487.03300000000002</v>
      </c>
      <c r="J94" s="173">
        <v>3.9945480509117797</v>
      </c>
      <c r="K94" s="173">
        <v>3.3714653832491841</v>
      </c>
      <c r="L94" s="171">
        <f t="shared" si="1"/>
        <v>1.4755733281942571</v>
      </c>
      <c r="M94" s="171">
        <v>0.18481063775957018</v>
      </c>
      <c r="N94" s="36">
        <v>279.62800469970705</v>
      </c>
      <c r="O94" s="176">
        <v>0.68025418110004043</v>
      </c>
      <c r="P94" s="36">
        <v>215.69499999999999</v>
      </c>
      <c r="Q94" s="183">
        <v>0.52472364400677263</v>
      </c>
      <c r="R94" s="36">
        <v>298.46699999999998</v>
      </c>
      <c r="S94" s="183">
        <v>0.72608401611427897</v>
      </c>
      <c r="T94" s="36">
        <v>85.539000000000001</v>
      </c>
      <c r="U94" s="183">
        <v>0.20809168402000661</v>
      </c>
      <c r="V94" s="36">
        <v>-176.494</v>
      </c>
      <c r="W94" s="36">
        <v>-58.75</v>
      </c>
      <c r="X94" s="183">
        <v>-0.42935893194247121</v>
      </c>
      <c r="Y94" s="36">
        <v>-42.265000000000001</v>
      </c>
      <c r="Z94" s="36">
        <v>43.247</v>
      </c>
      <c r="AA94" s="36">
        <v>-184.54894999999999</v>
      </c>
      <c r="AB94" s="36">
        <v>-70.158000000000001</v>
      </c>
      <c r="AC94" s="170">
        <v>-0.44895429908724671</v>
      </c>
    </row>
    <row r="95" spans="1:29" x14ac:dyDescent="0.2">
      <c r="A95" s="1" t="s">
        <v>217</v>
      </c>
      <c r="B95" s="1" t="s">
        <v>217</v>
      </c>
      <c r="C95" s="1" t="s">
        <v>218</v>
      </c>
      <c r="D95" s="36" t="s">
        <v>495</v>
      </c>
      <c r="E95" s="36">
        <v>2134.5376999999999</v>
      </c>
      <c r="F95" s="36">
        <v>2066.1927000000001</v>
      </c>
      <c r="G95" s="36">
        <v>162.09</v>
      </c>
      <c r="H95" s="36">
        <v>225.50900000000001</v>
      </c>
      <c r="I95" s="36">
        <v>266.108</v>
      </c>
      <c r="J95" s="173">
        <v>9.1623513917404615</v>
      </c>
      <c r="K95" s="173">
        <v>7.7644892299367179</v>
      </c>
      <c r="L95" s="171">
        <f t="shared" si="1"/>
        <v>0.39125794311802092</v>
      </c>
      <c r="M95" s="171">
        <v>0.18003272596659103</v>
      </c>
      <c r="N95" s="36">
        <v>133.13299966430662</v>
      </c>
      <c r="O95" s="176">
        <v>0.59036668010725346</v>
      </c>
      <c r="P95" s="36">
        <v>27.119999999999997</v>
      </c>
      <c r="Q95" s="183">
        <v>0.12026127560319098</v>
      </c>
      <c r="R95" s="36">
        <v>66.569999999999993</v>
      </c>
      <c r="S95" s="183">
        <v>0.29519886124278849</v>
      </c>
      <c r="T95" s="36">
        <v>29.151</v>
      </c>
      <c r="U95" s="183">
        <v>0.12926756803497863</v>
      </c>
      <c r="V95" s="36">
        <v>10.643000000000001</v>
      </c>
      <c r="W95" s="36">
        <v>40.977000000000004</v>
      </c>
      <c r="X95" s="183">
        <v>4.7195455613744906E-2</v>
      </c>
      <c r="Y95" s="36">
        <v>20.688000000000002</v>
      </c>
      <c r="Z95" s="36">
        <v>68.947000000000003</v>
      </c>
      <c r="AA95" s="36">
        <v>-2.3560000000000003</v>
      </c>
      <c r="AB95" s="36">
        <v>28.244</v>
      </c>
      <c r="AC95" s="170">
        <v>-1.0447476597386358E-2</v>
      </c>
    </row>
    <row r="96" spans="1:29" x14ac:dyDescent="0.2">
      <c r="A96" s="1" t="s">
        <v>219</v>
      </c>
      <c r="B96" s="1" t="s">
        <v>219</v>
      </c>
      <c r="C96" s="1" t="s">
        <v>220</v>
      </c>
      <c r="D96" s="36" t="s">
        <v>495</v>
      </c>
      <c r="E96" s="36">
        <v>2162.7305999999999</v>
      </c>
      <c r="F96" s="36">
        <v>2059.2656000000002</v>
      </c>
      <c r="G96" s="36">
        <v>150.22399999999999</v>
      </c>
      <c r="H96" s="36">
        <v>215.20100000000002</v>
      </c>
      <c r="I96" s="36">
        <v>265.75200000000001</v>
      </c>
      <c r="J96" s="173">
        <v>9.5690336011449766</v>
      </c>
      <c r="K96" s="173">
        <v>7.7488244679249831</v>
      </c>
      <c r="L96" s="171">
        <f t="shared" si="1"/>
        <v>0.43253408243689451</v>
      </c>
      <c r="M96" s="171">
        <v>0.2349013248079701</v>
      </c>
      <c r="N96" s="36">
        <v>106.53599938964844</v>
      </c>
      <c r="O96" s="176">
        <v>0.49505345881129004</v>
      </c>
      <c r="P96" s="36">
        <v>40.338000000000001</v>
      </c>
      <c r="Q96" s="183">
        <v>0.18744336689885269</v>
      </c>
      <c r="R96" s="36">
        <v>41.17</v>
      </c>
      <c r="S96" s="183">
        <v>0.19130951993717502</v>
      </c>
      <c r="T96" s="36">
        <v>37.179000000000002</v>
      </c>
      <c r="U96" s="183">
        <v>0.17276406708147266</v>
      </c>
      <c r="V96" s="36">
        <v>-7.5960000000000001</v>
      </c>
      <c r="W96" s="36">
        <v>28.12</v>
      </c>
      <c r="X96" s="183">
        <v>-3.5297233748913803E-2</v>
      </c>
      <c r="Y96" s="36">
        <v>-8.8409999999999993</v>
      </c>
      <c r="Z96" s="36">
        <v>57.960999999999999</v>
      </c>
      <c r="AA96" s="36">
        <v>-24.3462</v>
      </c>
      <c r="AB96" s="36">
        <v>2.1080000000000001</v>
      </c>
      <c r="AC96" s="170">
        <v>-0.11313237392019553</v>
      </c>
    </row>
    <row r="97" spans="1:29" x14ac:dyDescent="0.2">
      <c r="A97" s="1" t="s">
        <v>221</v>
      </c>
      <c r="B97" s="1" t="s">
        <v>221</v>
      </c>
      <c r="C97" s="1" t="s">
        <v>222</v>
      </c>
      <c r="D97" s="36" t="s">
        <v>506</v>
      </c>
      <c r="E97" s="36">
        <v>2114.5731999999998</v>
      </c>
      <c r="F97" s="36">
        <v>1943.9061999999999</v>
      </c>
      <c r="G97" s="36">
        <v>685.98800000000006</v>
      </c>
      <c r="H97" s="36">
        <v>807.30500000000006</v>
      </c>
      <c r="I97" s="36">
        <v>961.45699999999999</v>
      </c>
      <c r="J97" s="173">
        <v>2.4078956528201854</v>
      </c>
      <c r="K97" s="173">
        <v>2.0218337377542626</v>
      </c>
      <c r="L97" s="171">
        <f t="shared" si="1"/>
        <v>0.17685003236208213</v>
      </c>
      <c r="M97" s="171">
        <v>0.19094642049782906</v>
      </c>
      <c r="N97" s="36">
        <v>275.29600018310543</v>
      </c>
      <c r="O97" s="176">
        <v>0.34100618747945993</v>
      </c>
      <c r="P97" s="36">
        <v>0</v>
      </c>
      <c r="Q97" s="183">
        <v>0</v>
      </c>
      <c r="R97" s="36">
        <v>53.383000000000003</v>
      </c>
      <c r="S97" s="183">
        <v>6.6124946581527427E-2</v>
      </c>
      <c r="T97" s="36">
        <v>102.56699999999999</v>
      </c>
      <c r="U97" s="183">
        <v>0.1270486371321867</v>
      </c>
      <c r="V97" s="36">
        <v>101.57077215189899</v>
      </c>
      <c r="W97" s="36">
        <v>166.20000000000002</v>
      </c>
      <c r="X97" s="183">
        <v>0.12581462043700831</v>
      </c>
      <c r="Y97" s="36">
        <v>49.341999999999999</v>
      </c>
      <c r="Z97" s="36">
        <v>86.795000000000002</v>
      </c>
      <c r="AA97" s="36">
        <v>66.466239999999999</v>
      </c>
      <c r="AB97" s="36">
        <v>102.023</v>
      </c>
      <c r="AC97" s="170">
        <v>8.233101492001163E-2</v>
      </c>
    </row>
    <row r="98" spans="1:29" x14ac:dyDescent="0.2">
      <c r="A98" s="1" t="s">
        <v>223</v>
      </c>
      <c r="B98" s="1" t="s">
        <v>223</v>
      </c>
      <c r="C98" s="1" t="s">
        <v>224</v>
      </c>
      <c r="D98" s="36" t="s">
        <v>495</v>
      </c>
      <c r="E98" s="36">
        <v>2051.6304</v>
      </c>
      <c r="F98" s="36">
        <v>1905.4384</v>
      </c>
      <c r="G98" s="36">
        <v>141.84100000000001</v>
      </c>
      <c r="H98" s="36">
        <v>282.14300000000003</v>
      </c>
      <c r="I98" s="36">
        <v>349.18299999999999</v>
      </c>
      <c r="J98" s="173">
        <v>6.7534491374941066</v>
      </c>
      <c r="K98" s="173">
        <v>5.4568475555797393</v>
      </c>
      <c r="L98" s="171">
        <f t="shared" si="1"/>
        <v>0.98914982268878537</v>
      </c>
      <c r="M98" s="171">
        <v>0.23761000627341433</v>
      </c>
      <c r="N98" s="36">
        <v>206.71999600219726</v>
      </c>
      <c r="O98" s="176">
        <v>0.73267809586697963</v>
      </c>
      <c r="P98" s="36">
        <v>38.372999999999998</v>
      </c>
      <c r="Q98" s="183">
        <v>0.13600550075670845</v>
      </c>
      <c r="R98" s="36">
        <v>121.246</v>
      </c>
      <c r="S98" s="183">
        <v>0.42973244064180216</v>
      </c>
      <c r="T98" s="36">
        <v>36.988999999999997</v>
      </c>
      <c r="U98" s="183">
        <v>0.13110018678471552</v>
      </c>
      <c r="V98" s="36">
        <v>17.619</v>
      </c>
      <c r="W98" s="36">
        <v>53.279000000000003</v>
      </c>
      <c r="X98" s="183">
        <v>6.2447056988831899E-2</v>
      </c>
      <c r="Y98" s="36">
        <v>19.605</v>
      </c>
      <c r="Z98" s="36">
        <v>78.338999999999999</v>
      </c>
      <c r="AA98" s="36">
        <v>-11.200076829023001</v>
      </c>
      <c r="AB98" s="36">
        <v>15.266999999999999</v>
      </c>
      <c r="AC98" s="170">
        <v>-3.9696454737572787E-2</v>
      </c>
    </row>
    <row r="99" spans="1:29" x14ac:dyDescent="0.2">
      <c r="A99" s="1" t="s">
        <v>225</v>
      </c>
      <c r="B99" s="1" t="s">
        <v>225</v>
      </c>
      <c r="C99" s="1" t="s">
        <v>226</v>
      </c>
      <c r="D99" s="36" t="s">
        <v>495</v>
      </c>
      <c r="E99" s="36">
        <v>2067.0387000000001</v>
      </c>
      <c r="F99" s="36">
        <v>2014.3187</v>
      </c>
      <c r="G99" s="36">
        <v>105.586</v>
      </c>
      <c r="H99" s="36">
        <v>165.38</v>
      </c>
      <c r="I99" s="36">
        <v>205.85</v>
      </c>
      <c r="J99" s="173">
        <v>12.179941347200387</v>
      </c>
      <c r="K99" s="173">
        <v>9.7853713869322334</v>
      </c>
      <c r="L99" s="171">
        <f t="shared" si="1"/>
        <v>0.56630613907146776</v>
      </c>
      <c r="M99" s="171">
        <v>0.24470915467408383</v>
      </c>
      <c r="N99" s="36">
        <v>102.44899972534179</v>
      </c>
      <c r="O99" s="176">
        <v>0.6194763558189732</v>
      </c>
      <c r="P99" s="36">
        <v>16.577999999999999</v>
      </c>
      <c r="Q99" s="183">
        <v>0.10024186721489901</v>
      </c>
      <c r="R99" s="36">
        <v>28.709</v>
      </c>
      <c r="S99" s="183">
        <v>0.17359414681339944</v>
      </c>
      <c r="T99" s="36">
        <v>21.199000000000002</v>
      </c>
      <c r="U99" s="183">
        <v>0.12818357721610837</v>
      </c>
      <c r="V99" s="36">
        <v>31.149000000000001</v>
      </c>
      <c r="W99" s="36">
        <v>44.4</v>
      </c>
      <c r="X99" s="183">
        <v>0.18834804692223969</v>
      </c>
      <c r="Y99" s="36">
        <v>30.143000000000001</v>
      </c>
      <c r="Z99" s="36">
        <v>16.109000000000002</v>
      </c>
      <c r="AA99" s="36">
        <v>18.071339999999999</v>
      </c>
      <c r="AB99" s="36">
        <v>39.49</v>
      </c>
      <c r="AC99" s="170">
        <v>0.1092716168823316</v>
      </c>
    </row>
    <row r="100" spans="1:29" x14ac:dyDescent="0.2">
      <c r="A100" s="1" t="s">
        <v>227</v>
      </c>
      <c r="B100" s="1" t="s">
        <v>227</v>
      </c>
      <c r="C100" s="1" t="s">
        <v>228</v>
      </c>
      <c r="D100" s="36" t="s">
        <v>505</v>
      </c>
      <c r="E100" s="36">
        <v>1987.4133999999999</v>
      </c>
      <c r="F100" s="36">
        <v>2202.7654000000002</v>
      </c>
      <c r="G100" s="36">
        <v>92.183999999999997</v>
      </c>
      <c r="H100" s="36">
        <v>167.92599999999999</v>
      </c>
      <c r="I100" s="36">
        <v>255.9</v>
      </c>
      <c r="J100" s="173">
        <v>13.117476745709421</v>
      </c>
      <c r="K100" s="173">
        <v>8.6079148104728418</v>
      </c>
      <c r="L100" s="171">
        <f t="shared" si="1"/>
        <v>0.82163933003558087</v>
      </c>
      <c r="M100" s="171">
        <v>0.52388552100329933</v>
      </c>
      <c r="N100" s="36">
        <v>88.019999999999982</v>
      </c>
      <c r="O100" s="176">
        <v>0.52415945118683227</v>
      </c>
      <c r="P100" s="36">
        <v>38.638999999999996</v>
      </c>
      <c r="Q100" s="183">
        <v>0.23009539916391744</v>
      </c>
      <c r="R100" s="36">
        <v>73.087000000000003</v>
      </c>
      <c r="S100" s="183">
        <v>0.43523337660636235</v>
      </c>
      <c r="T100" s="36">
        <v>22.571999999999999</v>
      </c>
      <c r="U100" s="183">
        <v>0.13441635005895455</v>
      </c>
      <c r="V100" s="36">
        <v>-39.728000000000002</v>
      </c>
      <c r="W100" s="36">
        <v>-51.800000000000004</v>
      </c>
      <c r="X100" s="183">
        <v>-0.23658039850886703</v>
      </c>
      <c r="Y100" s="36">
        <v>-29.518000000000001</v>
      </c>
      <c r="Z100" s="36">
        <v>48.207999999999998</v>
      </c>
      <c r="AA100" s="36">
        <v>-47.155000000000001</v>
      </c>
      <c r="AB100" s="36">
        <v>-54.15</v>
      </c>
      <c r="AC100" s="170">
        <v>-0.28080821314150284</v>
      </c>
    </row>
    <row r="101" spans="1:29" x14ac:dyDescent="0.2">
      <c r="A101" s="1" t="s">
        <v>229</v>
      </c>
      <c r="B101" s="1" t="s">
        <v>229</v>
      </c>
      <c r="C101" s="1" t="s">
        <v>230</v>
      </c>
      <c r="D101" s="36" t="s">
        <v>505</v>
      </c>
      <c r="E101" s="36">
        <v>1941.7501</v>
      </c>
      <c r="F101" s="36">
        <v>1544.9141</v>
      </c>
      <c r="G101" s="36">
        <v>264.45499999999998</v>
      </c>
      <c r="H101" s="36">
        <v>344.017</v>
      </c>
      <c r="I101" s="36">
        <v>369.76900000000001</v>
      </c>
      <c r="J101" s="173">
        <v>4.4908074310281174</v>
      </c>
      <c r="K101" s="173">
        <v>4.1780519729885413</v>
      </c>
      <c r="L101" s="171">
        <f t="shared" si="1"/>
        <v>0.30085269705620998</v>
      </c>
      <c r="M101" s="171">
        <v>7.4856765799364622E-2</v>
      </c>
      <c r="N101" s="36">
        <v>274.43599694824218</v>
      </c>
      <c r="O101" s="176">
        <v>0.79773963771628198</v>
      </c>
      <c r="P101" s="36">
        <v>63.451999999999998</v>
      </c>
      <c r="Q101" s="183">
        <v>0.1844443733885244</v>
      </c>
      <c r="R101" s="36">
        <v>152.178</v>
      </c>
      <c r="S101" s="183">
        <v>0.44235604635817416</v>
      </c>
      <c r="T101" s="36">
        <v>54.435000000000002</v>
      </c>
      <c r="U101" s="183">
        <v>0.15823345939299513</v>
      </c>
      <c r="V101" s="36">
        <v>7.0558987341769992</v>
      </c>
      <c r="W101" s="36">
        <v>42.024999999999999</v>
      </c>
      <c r="X101" s="183">
        <v>2.0510319938192006E-2</v>
      </c>
      <c r="Y101" s="36">
        <v>76.452000000000012</v>
      </c>
      <c r="Z101" s="36">
        <v>192.53799999999998</v>
      </c>
      <c r="AA101" s="36">
        <v>-22.831899999999997</v>
      </c>
      <c r="AB101" s="36">
        <v>24.121000000000002</v>
      </c>
      <c r="AC101" s="170">
        <v>-6.636852248580738E-2</v>
      </c>
    </row>
    <row r="102" spans="1:29" x14ac:dyDescent="0.2">
      <c r="A102" s="1" t="s">
        <v>237</v>
      </c>
      <c r="B102" s="1" t="s">
        <v>237</v>
      </c>
      <c r="C102" s="1" t="s">
        <v>238</v>
      </c>
      <c r="D102" s="36" t="s">
        <v>506</v>
      </c>
      <c r="E102" s="36">
        <v>1875.4392</v>
      </c>
      <c r="F102" s="36">
        <v>3979.5682000000002</v>
      </c>
      <c r="G102" s="36">
        <v>2351.3560000000002</v>
      </c>
      <c r="H102" s="36">
        <v>2524.2550000000001</v>
      </c>
      <c r="I102" s="36">
        <v>2627.6289999999999</v>
      </c>
      <c r="J102" s="173">
        <v>1.5765317687793032</v>
      </c>
      <c r="K102" s="173">
        <v>1.5145091639649282</v>
      </c>
      <c r="L102" s="171">
        <f t="shared" si="1"/>
        <v>7.3531613247845018E-2</v>
      </c>
      <c r="M102" s="171">
        <v>4.0952280970028676E-2</v>
      </c>
      <c r="N102" s="36">
        <v>920.60099450683606</v>
      </c>
      <c r="O102" s="176">
        <v>0.36470205843182879</v>
      </c>
      <c r="P102" s="36">
        <v>0</v>
      </c>
      <c r="Q102" s="183">
        <v>0</v>
      </c>
      <c r="R102" s="36" t="s">
        <v>480</v>
      </c>
      <c r="S102" s="183" t="e">
        <v>#VALUE!</v>
      </c>
      <c r="T102" s="36" t="s">
        <v>480</v>
      </c>
      <c r="U102" s="183" t="e">
        <v>#VALUE!</v>
      </c>
      <c r="V102" s="36">
        <v>545.98500000000001</v>
      </c>
      <c r="W102" s="36">
        <v>616.20000000000005</v>
      </c>
      <c r="X102" s="183">
        <v>0.21629550104882431</v>
      </c>
      <c r="Y102" s="36">
        <v>181.19699999999997</v>
      </c>
      <c r="Z102" s="36">
        <v>122.039</v>
      </c>
      <c r="AA102" s="36">
        <v>163.409500215957</v>
      </c>
      <c r="AB102" s="36">
        <v>183.667</v>
      </c>
      <c r="AC102" s="170">
        <v>6.4735733995161734E-2</v>
      </c>
    </row>
    <row r="103" spans="1:29" x14ac:dyDescent="0.2">
      <c r="A103" s="1" t="s">
        <v>239</v>
      </c>
      <c r="B103" s="1" t="s">
        <v>239</v>
      </c>
      <c r="C103" s="1" t="s">
        <v>240</v>
      </c>
      <c r="D103" s="36" t="s">
        <v>506</v>
      </c>
      <c r="E103" s="36">
        <v>1831.0175999999999</v>
      </c>
      <c r="F103" s="36">
        <v>2334.0005999999998</v>
      </c>
      <c r="G103" s="36">
        <v>389.50700000000001</v>
      </c>
      <c r="H103" s="36">
        <v>425.97399999999993</v>
      </c>
      <c r="I103" s="36">
        <v>456</v>
      </c>
      <c r="J103" s="173">
        <v>5.4792090597078698</v>
      </c>
      <c r="K103" s="173">
        <v>5.1184223684210526</v>
      </c>
      <c r="L103" s="171">
        <f t="shared" si="1"/>
        <v>9.3623477883580858E-2</v>
      </c>
      <c r="M103" s="171">
        <v>7.048787015169955E-2</v>
      </c>
      <c r="N103" s="36">
        <v>215.97600213623048</v>
      </c>
      <c r="O103" s="176">
        <v>0.50701686519888656</v>
      </c>
      <c r="P103" s="36">
        <v>0</v>
      </c>
      <c r="Q103" s="183">
        <v>0</v>
      </c>
      <c r="R103" s="36" t="s">
        <v>480</v>
      </c>
      <c r="S103" s="183" t="e">
        <v>#VALUE!</v>
      </c>
      <c r="T103" s="36" t="s">
        <v>480</v>
      </c>
      <c r="U103" s="183" t="e">
        <v>#VALUE!</v>
      </c>
      <c r="V103" s="36">
        <v>171.22300000000001</v>
      </c>
      <c r="W103" s="36">
        <v>204.85</v>
      </c>
      <c r="X103" s="183">
        <v>0.40195645743636943</v>
      </c>
      <c r="Y103" s="36">
        <v>153.16899999999998</v>
      </c>
      <c r="Z103" s="36">
        <v>50.422999999999995</v>
      </c>
      <c r="AA103" s="36">
        <v>66.721209999999999</v>
      </c>
      <c r="AB103" s="36">
        <v>119.575</v>
      </c>
      <c r="AC103" s="170">
        <v>0.15663211839220237</v>
      </c>
    </row>
    <row r="104" spans="1:29" x14ac:dyDescent="0.2">
      <c r="A104" s="1" t="s">
        <v>241</v>
      </c>
      <c r="B104" s="1" t="s">
        <v>241</v>
      </c>
      <c r="C104" s="1" t="s">
        <v>242</v>
      </c>
      <c r="D104" s="36" t="s">
        <v>505</v>
      </c>
      <c r="E104" s="36">
        <v>1795.8797999999999</v>
      </c>
      <c r="F104" s="36">
        <v>1637.1987999999999</v>
      </c>
      <c r="G104" s="36">
        <v>164.45599999999999</v>
      </c>
      <c r="H104" s="36">
        <v>242.52799999999999</v>
      </c>
      <c r="I104" s="36">
        <v>285.279</v>
      </c>
      <c r="J104" s="173">
        <v>6.7505558121124158</v>
      </c>
      <c r="K104" s="173">
        <v>5.7389390736787496</v>
      </c>
      <c r="L104" s="171">
        <f t="shared" si="1"/>
        <v>0.47472880284088148</v>
      </c>
      <c r="M104" s="171">
        <v>0.1762724303997889</v>
      </c>
      <c r="N104" s="36">
        <v>218.322998046875</v>
      </c>
      <c r="O104" s="176">
        <v>0.90019708259201003</v>
      </c>
      <c r="P104" s="36">
        <v>47.369</v>
      </c>
      <c r="Q104" s="183">
        <v>0.19531353080881383</v>
      </c>
      <c r="R104" s="36">
        <v>135.89599999999999</v>
      </c>
      <c r="S104" s="183">
        <v>0.56033117825570655</v>
      </c>
      <c r="T104" s="36">
        <v>26.823</v>
      </c>
      <c r="U104" s="183">
        <v>0.11059753925319964</v>
      </c>
      <c r="V104" s="36">
        <v>-20.379999999999995</v>
      </c>
      <c r="W104" s="36">
        <v>11.15</v>
      </c>
      <c r="X104" s="183">
        <v>-8.4031534503232599E-2</v>
      </c>
      <c r="Y104" s="36">
        <v>16.852999999999998</v>
      </c>
      <c r="Z104" s="36">
        <v>56.689</v>
      </c>
      <c r="AA104" s="36">
        <v>-25.522279999999999</v>
      </c>
      <c r="AB104" s="36">
        <v>2.6310000000000002</v>
      </c>
      <c r="AC104" s="170">
        <v>-0.10523436469191186</v>
      </c>
    </row>
    <row r="105" spans="1:29" x14ac:dyDescent="0.2">
      <c r="A105" s="1" t="s">
        <v>243</v>
      </c>
      <c r="B105" s="1" t="s">
        <v>243</v>
      </c>
      <c r="C105" s="1" t="s">
        <v>244</v>
      </c>
      <c r="D105" s="36" t="s">
        <v>495</v>
      </c>
      <c r="E105" s="36">
        <v>1921.4287999999999</v>
      </c>
      <c r="F105" s="36">
        <v>1797.1029000000001</v>
      </c>
      <c r="G105" s="36">
        <v>89.724000000000004</v>
      </c>
      <c r="H105" s="36">
        <v>198.54300000000001</v>
      </c>
      <c r="I105" s="36">
        <v>249.18700000000001</v>
      </c>
      <c r="J105" s="173">
        <v>9.0514543449026164</v>
      </c>
      <c r="K105" s="173">
        <v>7.2118645836259514</v>
      </c>
      <c r="L105" s="171">
        <f t="shared" si="1"/>
        <v>1.2128193125585127</v>
      </c>
      <c r="M105" s="171">
        <v>0.25507824501493381</v>
      </c>
      <c r="N105" s="36">
        <v>147.79099822998046</v>
      </c>
      <c r="O105" s="176">
        <v>0.74437778330125193</v>
      </c>
      <c r="P105" s="36">
        <v>25.686999999999998</v>
      </c>
      <c r="Q105" s="183">
        <v>0.12937751519821902</v>
      </c>
      <c r="R105" s="36">
        <v>126.98</v>
      </c>
      <c r="S105" s="183">
        <v>0.63955918868960371</v>
      </c>
      <c r="T105" s="36">
        <v>40.079000000000001</v>
      </c>
      <c r="U105" s="183">
        <v>0.20186559082919064</v>
      </c>
      <c r="V105" s="36">
        <v>-68.009</v>
      </c>
      <c r="W105" s="36">
        <v>-31.501999999999999</v>
      </c>
      <c r="X105" s="183">
        <v>-0.34254040686400428</v>
      </c>
      <c r="Y105" s="36">
        <v>-32.906999999999996</v>
      </c>
      <c r="Z105" s="36">
        <v>34.366999999999997</v>
      </c>
      <c r="AA105" s="36">
        <v>-73.292000000000002</v>
      </c>
      <c r="AB105" s="36">
        <v>-41.255000000000003</v>
      </c>
      <c r="AC105" s="170">
        <v>-0.36914925230302753</v>
      </c>
    </row>
    <row r="106" spans="1:29" x14ac:dyDescent="0.2">
      <c r="A106" s="1" t="s">
        <v>245</v>
      </c>
      <c r="B106" s="1" t="s">
        <v>245</v>
      </c>
      <c r="C106" s="1" t="s">
        <v>719</v>
      </c>
      <c r="D106" s="36" t="s">
        <v>505</v>
      </c>
      <c r="E106" s="36">
        <v>1800.3489</v>
      </c>
      <c r="F106" s="36">
        <v>1708.3059000000001</v>
      </c>
      <c r="G106" s="36">
        <v>105.98399999999999</v>
      </c>
      <c r="H106" s="36">
        <v>176.48500000000001</v>
      </c>
      <c r="I106" s="36">
        <v>232.17500000000001</v>
      </c>
      <c r="J106" s="173">
        <v>9.679609598549451</v>
      </c>
      <c r="K106" s="173">
        <v>7.357837407128244</v>
      </c>
      <c r="L106" s="171">
        <f t="shared" si="1"/>
        <v>0.66520418176328522</v>
      </c>
      <c r="M106" s="171">
        <v>0.31555089667677128</v>
      </c>
      <c r="N106" s="36">
        <v>135.33699801635743</v>
      </c>
      <c r="O106" s="176">
        <v>0.76684702958527584</v>
      </c>
      <c r="P106" s="36">
        <v>26.834999999999997</v>
      </c>
      <c r="Q106" s="183">
        <v>0.15205258237243957</v>
      </c>
      <c r="R106" s="36">
        <v>86.891999999999996</v>
      </c>
      <c r="S106" s="183">
        <v>0.49234779159701952</v>
      </c>
      <c r="T106" s="36">
        <v>29.446000000000002</v>
      </c>
      <c r="U106" s="183">
        <v>0.16684704082499929</v>
      </c>
      <c r="V106" s="36">
        <v>-30.723999999999997</v>
      </c>
      <c r="W106" s="36">
        <v>-31</v>
      </c>
      <c r="X106" s="183">
        <v>-0.17408844944329543</v>
      </c>
      <c r="Y106" s="36">
        <v>-5.52</v>
      </c>
      <c r="Z106" s="36">
        <v>87.024000000000001</v>
      </c>
      <c r="AA106" s="36">
        <v>-34.695</v>
      </c>
      <c r="AB106" s="36">
        <v>-11.468</v>
      </c>
      <c r="AC106" s="170">
        <v>-0.19658894523613904</v>
      </c>
    </row>
    <row r="107" spans="1:29" x14ac:dyDescent="0.2">
      <c r="A107" s="1" t="s">
        <v>247</v>
      </c>
      <c r="B107" s="1" t="s">
        <v>247</v>
      </c>
      <c r="C107" s="1" t="s">
        <v>248</v>
      </c>
      <c r="D107" s="36" t="s">
        <v>495</v>
      </c>
      <c r="E107" s="36">
        <v>1757.4110000000001</v>
      </c>
      <c r="F107" s="36">
        <v>2277.1129999999998</v>
      </c>
      <c r="G107" s="36">
        <v>298.29399999999998</v>
      </c>
      <c r="H107" s="36">
        <v>430.33699999999999</v>
      </c>
      <c r="I107" s="36">
        <v>547.33299999999997</v>
      </c>
      <c r="J107" s="173">
        <v>5.291464596351231</v>
      </c>
      <c r="K107" s="173">
        <v>4.16037951302041</v>
      </c>
      <c r="L107" s="171">
        <f t="shared" si="1"/>
        <v>0.44266059659262341</v>
      </c>
      <c r="M107" s="171">
        <v>0.27187065021134593</v>
      </c>
      <c r="N107" s="36">
        <v>273.81199511718751</v>
      </c>
      <c r="O107" s="176">
        <v>0.63627342087059102</v>
      </c>
      <c r="P107" s="36">
        <v>33.853999999999999</v>
      </c>
      <c r="Q107" s="183">
        <v>7.8668578346737558E-2</v>
      </c>
      <c r="R107" s="36">
        <v>16.303000000000001</v>
      </c>
      <c r="S107" s="183">
        <v>3.7884262798690331E-2</v>
      </c>
      <c r="T107" s="36">
        <v>59.975999999999999</v>
      </c>
      <c r="U107" s="183">
        <v>0.13936984270467098</v>
      </c>
      <c r="V107" s="36">
        <v>145.13300000000001</v>
      </c>
      <c r="W107" s="36">
        <v>186.70000000000002</v>
      </c>
      <c r="X107" s="183">
        <v>0.33725429140417862</v>
      </c>
      <c r="Y107" s="36">
        <v>94.004999999999995</v>
      </c>
      <c r="Z107" s="36">
        <v>63.894999999999996</v>
      </c>
      <c r="AA107" s="36">
        <v>106.145</v>
      </c>
      <c r="AB107" s="36">
        <v>128.31700000000001</v>
      </c>
      <c r="AC107" s="170">
        <v>0.24665552810936545</v>
      </c>
    </row>
    <row r="108" spans="1:29" x14ac:dyDescent="0.2">
      <c r="A108" s="1" t="s">
        <v>249</v>
      </c>
      <c r="B108" s="1" t="s">
        <v>249</v>
      </c>
      <c r="C108" s="1" t="s">
        <v>250</v>
      </c>
      <c r="D108" s="36" t="s">
        <v>495</v>
      </c>
      <c r="E108" s="36">
        <v>1735.2260000000001</v>
      </c>
      <c r="F108" s="36">
        <v>1683.934</v>
      </c>
      <c r="G108" s="36">
        <v>322.85599999999999</v>
      </c>
      <c r="H108" s="36">
        <v>472.71199999999999</v>
      </c>
      <c r="I108" s="36">
        <v>564.25700000000006</v>
      </c>
      <c r="J108" s="173">
        <v>3.5622831660715191</v>
      </c>
      <c r="K108" s="173">
        <v>2.9843386967286181</v>
      </c>
      <c r="L108" s="171">
        <f t="shared" si="1"/>
        <v>0.46415739524741678</v>
      </c>
      <c r="M108" s="171">
        <v>0.19365914129533435</v>
      </c>
      <c r="N108" s="36">
        <v>176.87399850463868</v>
      </c>
      <c r="O108" s="176">
        <v>0.37416862382304378</v>
      </c>
      <c r="P108" s="36">
        <v>0</v>
      </c>
      <c r="Q108" s="183">
        <v>0</v>
      </c>
      <c r="R108" s="36" t="s">
        <v>480</v>
      </c>
      <c r="S108" s="183" t="e">
        <v>#VALUE!</v>
      </c>
      <c r="T108" s="36" t="s">
        <v>480</v>
      </c>
      <c r="U108" s="183" t="e">
        <v>#VALUE!</v>
      </c>
      <c r="V108" s="36">
        <v>71.519571428570998</v>
      </c>
      <c r="W108" s="36">
        <v>96.55</v>
      </c>
      <c r="X108" s="183">
        <v>0.15129628913285678</v>
      </c>
      <c r="Y108" s="36" t="s">
        <v>480</v>
      </c>
      <c r="Z108" s="36">
        <v>52.524999999999999</v>
      </c>
      <c r="AA108" s="36">
        <v>48.062889999999996</v>
      </c>
      <c r="AB108" s="36">
        <v>69.875</v>
      </c>
      <c r="AC108" s="170">
        <v>0.10167478295452621</v>
      </c>
    </row>
    <row r="109" spans="1:29" x14ac:dyDescent="0.2">
      <c r="A109" s="1" t="s">
        <v>251</v>
      </c>
      <c r="B109" s="1" t="s">
        <v>251</v>
      </c>
      <c r="C109" s="1" t="s">
        <v>252</v>
      </c>
      <c r="D109" s="36" t="s">
        <v>495</v>
      </c>
      <c r="E109" s="36">
        <v>1726.7701999999999</v>
      </c>
      <c r="F109" s="36">
        <v>1563.4879000000001</v>
      </c>
      <c r="G109" s="36">
        <v>115.95099999999999</v>
      </c>
      <c r="H109" s="36">
        <v>143.75199999999998</v>
      </c>
      <c r="I109" s="36">
        <v>169.75800000000001</v>
      </c>
      <c r="J109" s="173">
        <v>10.876286242974013</v>
      </c>
      <c r="K109" s="173">
        <v>9.2100984931490704</v>
      </c>
      <c r="L109" s="171">
        <f t="shared" si="1"/>
        <v>0.23976507317746279</v>
      </c>
      <c r="M109" s="171">
        <v>0.18090878735600224</v>
      </c>
      <c r="N109" s="36">
        <v>101.70600183105469</v>
      </c>
      <c r="O109" s="176">
        <v>0.70751016911802767</v>
      </c>
      <c r="P109" s="36">
        <v>23.690999999999999</v>
      </c>
      <c r="Q109" s="183">
        <v>0.16480466358728924</v>
      </c>
      <c r="R109" s="36">
        <v>29.28</v>
      </c>
      <c r="S109" s="183">
        <v>0.20368412265568483</v>
      </c>
      <c r="T109" s="36">
        <v>13.855</v>
      </c>
      <c r="U109" s="183">
        <v>9.6381267738883655E-2</v>
      </c>
      <c r="V109" s="36">
        <v>35.331999999999994</v>
      </c>
      <c r="W109" s="36">
        <v>46.706000000000003</v>
      </c>
      <c r="X109" s="183">
        <v>0.2457844064778229</v>
      </c>
      <c r="Y109" s="36">
        <v>17.315999999999999</v>
      </c>
      <c r="Z109" s="36">
        <v>158.398</v>
      </c>
      <c r="AA109" s="36">
        <v>20.335000000000001</v>
      </c>
      <c r="AB109" s="36">
        <v>25.542000000000002</v>
      </c>
      <c r="AC109" s="170">
        <v>0.14145890144137127</v>
      </c>
    </row>
    <row r="110" spans="1:29" x14ac:dyDescent="0.2">
      <c r="A110" s="1" t="s">
        <v>253</v>
      </c>
      <c r="B110" s="1" t="s">
        <v>253</v>
      </c>
      <c r="C110" s="1" t="s">
        <v>254</v>
      </c>
      <c r="D110" s="36" t="s">
        <v>495</v>
      </c>
      <c r="E110" s="36">
        <v>1631.2665999999999</v>
      </c>
      <c r="F110" s="36">
        <v>1478.7066</v>
      </c>
      <c r="G110" s="36">
        <v>209.33600000000001</v>
      </c>
      <c r="H110" s="36">
        <v>310.62700000000001</v>
      </c>
      <c r="I110" s="36">
        <v>366.35300000000001</v>
      </c>
      <c r="J110" s="173">
        <v>4.7603930115540498</v>
      </c>
      <c r="K110" s="173">
        <v>4.0362890436273213</v>
      </c>
      <c r="L110" s="171">
        <f t="shared" si="1"/>
        <v>0.48386803989758087</v>
      </c>
      <c r="M110" s="171">
        <v>0.17939844250499792</v>
      </c>
      <c r="N110" s="36">
        <v>234.64100097656251</v>
      </c>
      <c r="O110" s="176">
        <v>0.75537864054497039</v>
      </c>
      <c r="P110" s="36">
        <v>34.796999999999997</v>
      </c>
      <c r="Q110" s="183">
        <v>0.11202181394405508</v>
      </c>
      <c r="R110" s="36">
        <v>184.04400000000001</v>
      </c>
      <c r="S110" s="183">
        <v>0.5924919598103191</v>
      </c>
      <c r="T110" s="36">
        <v>38.914999999999999</v>
      </c>
      <c r="U110" s="183">
        <v>0.12527887144388608</v>
      </c>
      <c r="V110" s="36">
        <v>-13.42</v>
      </c>
      <c r="W110" s="36">
        <v>0.23300000000000001</v>
      </c>
      <c r="X110" s="183">
        <v>-4.3202941148065041E-2</v>
      </c>
      <c r="Y110" s="36">
        <v>-20.387</v>
      </c>
      <c r="Z110" s="36">
        <v>31.702999999999999</v>
      </c>
      <c r="AA110" s="36">
        <v>42.356312490929</v>
      </c>
      <c r="AB110" s="36">
        <v>-14.969000000000001</v>
      </c>
      <c r="AC110" s="170">
        <v>0.13635747211584634</v>
      </c>
    </row>
    <row r="111" spans="1:29" x14ac:dyDescent="0.2">
      <c r="A111" s="1" t="s">
        <v>257</v>
      </c>
      <c r="B111" s="1" t="s">
        <v>257</v>
      </c>
      <c r="C111" s="1" t="s">
        <v>258</v>
      </c>
      <c r="D111" s="36" t="s">
        <v>495</v>
      </c>
      <c r="E111" s="36">
        <v>1534.6110000000001</v>
      </c>
      <c r="F111" s="36">
        <v>1454.999</v>
      </c>
      <c r="G111" s="36">
        <v>139.02099999999999</v>
      </c>
      <c r="H111" s="36">
        <v>211.739</v>
      </c>
      <c r="I111" s="36">
        <v>279.25700000000001</v>
      </c>
      <c r="J111" s="173">
        <v>6.8716627546177129</v>
      </c>
      <c r="K111" s="173">
        <v>5.2102507725858258</v>
      </c>
      <c r="L111" s="171">
        <f t="shared" si="1"/>
        <v>0.52307205386236633</v>
      </c>
      <c r="M111" s="171">
        <v>0.31887370772507673</v>
      </c>
      <c r="N111" s="36">
        <v>149.78799795532225</v>
      </c>
      <c r="O111" s="176">
        <v>0.70741808526214944</v>
      </c>
      <c r="P111" s="36">
        <v>35.809999999999995</v>
      </c>
      <c r="Q111" s="183">
        <v>0.16912330746815651</v>
      </c>
      <c r="R111" s="36">
        <v>71.825000000000003</v>
      </c>
      <c r="S111" s="183">
        <v>0.33921478801732324</v>
      </c>
      <c r="T111" s="36">
        <v>37.470999999999997</v>
      </c>
      <c r="U111" s="183">
        <v>0.176967870822097</v>
      </c>
      <c r="V111" s="36">
        <v>-11.435911392404998</v>
      </c>
      <c r="W111" s="36">
        <v>2.3530000000000002</v>
      </c>
      <c r="X111" s="183">
        <v>-5.4009471058260393E-2</v>
      </c>
      <c r="Y111" s="36">
        <v>-8.91</v>
      </c>
      <c r="Z111" s="36">
        <v>232.01899999999998</v>
      </c>
      <c r="AA111" s="36">
        <v>-22.763379999999998</v>
      </c>
      <c r="AB111" s="36">
        <v>-7.5310000000000006</v>
      </c>
      <c r="AC111" s="170">
        <v>-0.10750678901855586</v>
      </c>
    </row>
    <row r="112" spans="1:29" x14ac:dyDescent="0.2">
      <c r="A112" s="1" t="s">
        <v>259</v>
      </c>
      <c r="B112" s="1" t="s">
        <v>259</v>
      </c>
      <c r="C112" s="1" t="s">
        <v>260</v>
      </c>
      <c r="D112" s="36" t="s">
        <v>495</v>
      </c>
      <c r="E112" s="36">
        <v>1513.4337</v>
      </c>
      <c r="F112" s="36">
        <v>1346.6967</v>
      </c>
      <c r="G112" s="36">
        <v>79.929000000000002</v>
      </c>
      <c r="H112" s="36">
        <v>128.28899999999999</v>
      </c>
      <c r="I112" s="36">
        <v>156.166</v>
      </c>
      <c r="J112" s="173">
        <v>10.497366882585414</v>
      </c>
      <c r="K112" s="173">
        <v>8.6234948708425652</v>
      </c>
      <c r="L112" s="171">
        <f t="shared" si="1"/>
        <v>0.605036970311151</v>
      </c>
      <c r="M112" s="171">
        <v>0.21729844335835513</v>
      </c>
      <c r="N112" s="36">
        <v>95.234000320434575</v>
      </c>
      <c r="O112" s="176">
        <v>0.74233956395664935</v>
      </c>
      <c r="P112" s="36">
        <v>29.642999999999997</v>
      </c>
      <c r="Q112" s="183">
        <v>0.23106423777564716</v>
      </c>
      <c r="R112" s="36">
        <v>28.184999999999999</v>
      </c>
      <c r="S112" s="183">
        <v>0.21969927273577627</v>
      </c>
      <c r="T112" s="36">
        <v>30.100999999999999</v>
      </c>
      <c r="U112" s="183">
        <v>0.23463430223947496</v>
      </c>
      <c r="V112" s="36">
        <v>4.5019999999999998</v>
      </c>
      <c r="W112" s="36">
        <v>18.233000000000001</v>
      </c>
      <c r="X112" s="183">
        <v>3.5092642393346273E-2</v>
      </c>
      <c r="Y112" s="36">
        <v>6.2230000000000008</v>
      </c>
      <c r="Z112" s="36">
        <v>175.49599999999998</v>
      </c>
      <c r="AA112" s="36">
        <v>-4.702</v>
      </c>
      <c r="AB112" s="36">
        <v>8.918000000000001</v>
      </c>
      <c r="AC112" s="170">
        <v>-3.6651622508554908E-2</v>
      </c>
    </row>
    <row r="113" spans="1:29" x14ac:dyDescent="0.2">
      <c r="A113" s="1" t="s">
        <v>261</v>
      </c>
      <c r="B113" s="1" t="s">
        <v>261</v>
      </c>
      <c r="C113" s="1" t="s">
        <v>262</v>
      </c>
      <c r="D113" s="36" t="s">
        <v>495</v>
      </c>
      <c r="E113" s="36">
        <v>1542.9568999999999</v>
      </c>
      <c r="F113" s="36">
        <v>1407.1201000000001</v>
      </c>
      <c r="G113" s="36">
        <v>307.983</v>
      </c>
      <c r="H113" s="36">
        <v>268.00934779214469</v>
      </c>
      <c r="I113" s="36">
        <v>275.88499999999999</v>
      </c>
      <c r="J113" s="173">
        <v>5.2502650060224596</v>
      </c>
      <c r="K113" s="173">
        <v>5.1003863928810924</v>
      </c>
      <c r="L113" s="171">
        <f t="shared" si="1"/>
        <v>-0.12979174892073689</v>
      </c>
      <c r="M113" s="171">
        <v>2.9385737000350076E-2</v>
      </c>
      <c r="N113" s="36">
        <v>186.44702180226108</v>
      </c>
      <c r="O113" s="176">
        <v>0.69567357757558712</v>
      </c>
      <c r="P113" s="36">
        <v>34.081785163002429</v>
      </c>
      <c r="Q113" s="183">
        <v>0.12716640461897114</v>
      </c>
      <c r="R113" s="36" t="s">
        <v>480</v>
      </c>
      <c r="S113" s="183" t="e">
        <v>#VALUE!</v>
      </c>
      <c r="T113" s="36" t="s">
        <v>480</v>
      </c>
      <c r="U113" s="183" t="e">
        <v>#VALUE!</v>
      </c>
      <c r="V113" s="36">
        <v>92.270070899827459</v>
      </c>
      <c r="W113" s="36">
        <v>82.138000000000005</v>
      </c>
      <c r="X113" s="183">
        <v>0.34427930092717413</v>
      </c>
      <c r="Y113" s="36">
        <v>101.11699999999999</v>
      </c>
      <c r="Z113" s="36">
        <v>120.60799999999999</v>
      </c>
      <c r="AA113" s="36">
        <v>45.2449786771883</v>
      </c>
      <c r="AB113" s="36">
        <v>49.151000000000003</v>
      </c>
      <c r="AC113" s="170">
        <v>0.16881865893826267</v>
      </c>
    </row>
    <row r="114" spans="1:29" x14ac:dyDescent="0.2">
      <c r="A114" s="1" t="s">
        <v>263</v>
      </c>
      <c r="B114" s="1" t="s">
        <v>263</v>
      </c>
      <c r="C114" s="1" t="s">
        <v>264</v>
      </c>
      <c r="D114" s="36" t="s">
        <v>505</v>
      </c>
      <c r="E114" s="36">
        <v>1556.6736000000001</v>
      </c>
      <c r="F114" s="36">
        <v>1443.3649</v>
      </c>
      <c r="G114" s="36">
        <v>157.43700000000001</v>
      </c>
      <c r="H114" s="36">
        <v>221.20800000000003</v>
      </c>
      <c r="I114" s="36">
        <v>260.59699999999998</v>
      </c>
      <c r="J114" s="173">
        <v>6.524921793063541</v>
      </c>
      <c r="K114" s="173">
        <v>5.5386857868663117</v>
      </c>
      <c r="L114" s="171">
        <f t="shared" si="1"/>
        <v>0.40505726099963801</v>
      </c>
      <c r="M114" s="171">
        <v>0.17806318035514068</v>
      </c>
      <c r="N114" s="36">
        <v>155.65399899291992</v>
      </c>
      <c r="O114" s="176">
        <v>0.70365447448971064</v>
      </c>
      <c r="P114" s="36">
        <v>50.937999999999995</v>
      </c>
      <c r="Q114" s="183">
        <v>0.2302719612310585</v>
      </c>
      <c r="R114" s="36">
        <v>111.593</v>
      </c>
      <c r="S114" s="183">
        <v>0.50447090521138471</v>
      </c>
      <c r="T114" s="36">
        <v>30.292999999999999</v>
      </c>
      <c r="U114" s="183">
        <v>0.13694351018046361</v>
      </c>
      <c r="V114" s="36">
        <v>-47.295392405064</v>
      </c>
      <c r="W114" s="36">
        <v>-2.335</v>
      </c>
      <c r="X114" s="183">
        <v>-0.21380507217218181</v>
      </c>
      <c r="Y114" s="36">
        <v>-7.3879999999999981</v>
      </c>
      <c r="Z114" s="36">
        <v>51.561999999999998</v>
      </c>
      <c r="AA114" s="36">
        <v>-53.869</v>
      </c>
      <c r="AB114" s="36">
        <v>-11.454000000000001</v>
      </c>
      <c r="AC114" s="170">
        <v>-0.24352193410726553</v>
      </c>
    </row>
    <row r="115" spans="1:29" x14ac:dyDescent="0.2">
      <c r="A115" s="1" t="s">
        <v>265</v>
      </c>
      <c r="B115" s="1" t="s">
        <v>265</v>
      </c>
      <c r="C115" s="1" t="s">
        <v>266</v>
      </c>
      <c r="D115" s="36" t="s">
        <v>505</v>
      </c>
      <c r="E115" s="36">
        <v>1459.6728000000001</v>
      </c>
      <c r="F115" s="36">
        <v>1409.3098</v>
      </c>
      <c r="G115" s="36">
        <v>132.923</v>
      </c>
      <c r="H115" s="36">
        <v>206.78900000000002</v>
      </c>
      <c r="I115" s="36">
        <v>220.108</v>
      </c>
      <c r="J115" s="173">
        <v>6.8152068050041343</v>
      </c>
      <c r="K115" s="173">
        <v>6.4028104385120033</v>
      </c>
      <c r="L115" s="171">
        <f t="shared" si="1"/>
        <v>0.55570518269975855</v>
      </c>
      <c r="M115" s="171">
        <v>6.44086484290749E-2</v>
      </c>
      <c r="N115" s="36">
        <v>128.89599989318847</v>
      </c>
      <c r="O115" s="176">
        <v>0.62332135603532324</v>
      </c>
      <c r="P115" s="36">
        <v>34.835000000000001</v>
      </c>
      <c r="Q115" s="183">
        <v>0.16845673609331249</v>
      </c>
      <c r="R115" s="36">
        <v>81.965999999999994</v>
      </c>
      <c r="S115" s="183">
        <v>0.3963750489629525</v>
      </c>
      <c r="T115" s="36">
        <v>27.15</v>
      </c>
      <c r="U115" s="183">
        <v>0.13129325060810776</v>
      </c>
      <c r="V115" s="36">
        <v>-30.616</v>
      </c>
      <c r="W115" s="36">
        <v>-42.71</v>
      </c>
      <c r="X115" s="183">
        <v>-0.148054296892001</v>
      </c>
      <c r="Y115" s="36">
        <v>-25.271000000000001</v>
      </c>
      <c r="Z115" s="36">
        <v>73.757999999999996</v>
      </c>
      <c r="AA115" s="36">
        <v>-33.673000000000002</v>
      </c>
      <c r="AB115" s="36">
        <v>-37.93</v>
      </c>
      <c r="AC115" s="170">
        <v>-0.16283748168422885</v>
      </c>
    </row>
    <row r="116" spans="1:29" x14ac:dyDescent="0.2">
      <c r="A116" s="1" t="s">
        <v>267</v>
      </c>
      <c r="B116" s="1" t="s">
        <v>267</v>
      </c>
      <c r="C116" s="1" t="s">
        <v>268</v>
      </c>
      <c r="D116" s="36" t="s">
        <v>495</v>
      </c>
      <c r="E116" s="36">
        <v>1457.1904999999999</v>
      </c>
      <c r="F116" s="36">
        <v>1375.7365</v>
      </c>
      <c r="G116" s="36">
        <v>184.46100000000001</v>
      </c>
      <c r="H116" s="36">
        <v>309.411</v>
      </c>
      <c r="I116" s="36">
        <v>376.04599999999999</v>
      </c>
      <c r="J116" s="173">
        <v>4.4463076619771114</v>
      </c>
      <c r="K116" s="173">
        <v>3.6584260968073057</v>
      </c>
      <c r="L116" s="171">
        <f t="shared" si="1"/>
        <v>0.67737895815375593</v>
      </c>
      <c r="M116" s="171">
        <v>0.21536079842022415</v>
      </c>
      <c r="N116" s="36">
        <v>220.4609998474121</v>
      </c>
      <c r="O116" s="176">
        <v>0.71251830040758768</v>
      </c>
      <c r="P116" s="36">
        <v>101.09399999999999</v>
      </c>
      <c r="Q116" s="183">
        <v>0.32673046530343136</v>
      </c>
      <c r="R116" s="36">
        <v>200.18799999999999</v>
      </c>
      <c r="S116" s="183">
        <v>0.64699703630446226</v>
      </c>
      <c r="T116" s="36">
        <v>78.281999999999996</v>
      </c>
      <c r="U116" s="183">
        <v>0.25300328689025275</v>
      </c>
      <c r="V116" s="36">
        <v>-163.124</v>
      </c>
      <c r="W116" s="36">
        <v>-38.413000000000004</v>
      </c>
      <c r="X116" s="183">
        <v>-0.52720814709237873</v>
      </c>
      <c r="Y116" s="36">
        <v>19.364999999999998</v>
      </c>
      <c r="Z116" s="36">
        <v>62.738999999999997</v>
      </c>
      <c r="AA116" s="36">
        <v>-176.84800000000001</v>
      </c>
      <c r="AB116" s="36">
        <v>-41.511000000000003</v>
      </c>
      <c r="AC116" s="170">
        <v>-0.57156338979545007</v>
      </c>
    </row>
    <row r="117" spans="1:29" x14ac:dyDescent="0.2">
      <c r="A117" s="1" t="s">
        <v>269</v>
      </c>
      <c r="B117" s="1" t="s">
        <v>269</v>
      </c>
      <c r="C117" s="1" t="s">
        <v>270</v>
      </c>
      <c r="D117" s="36" t="s">
        <v>495</v>
      </c>
      <c r="E117" s="36">
        <v>1469.1429000000001</v>
      </c>
      <c r="F117" s="36">
        <v>1455.3159000000001</v>
      </c>
      <c r="G117" s="36">
        <v>76.846000000000004</v>
      </c>
      <c r="H117" s="36">
        <v>122.828</v>
      </c>
      <c r="I117" s="36">
        <v>163.084</v>
      </c>
      <c r="J117" s="173">
        <v>11.848405086788029</v>
      </c>
      <c r="K117" s="173">
        <v>8.9237196782026444</v>
      </c>
      <c r="L117" s="171">
        <f t="shared" si="1"/>
        <v>0.59836556229341797</v>
      </c>
      <c r="M117" s="171">
        <v>0.32774285993421692</v>
      </c>
      <c r="N117" s="36">
        <v>85.026000061035163</v>
      </c>
      <c r="O117" s="176">
        <v>0.69223629840944378</v>
      </c>
      <c r="P117" s="36">
        <v>22.241</v>
      </c>
      <c r="Q117" s="183">
        <v>0.18107434786856416</v>
      </c>
      <c r="R117" s="36">
        <v>46.997999999999998</v>
      </c>
      <c r="S117" s="183">
        <v>0.38263262448301688</v>
      </c>
      <c r="T117" s="36">
        <v>22.895</v>
      </c>
      <c r="U117" s="183">
        <v>0.18639886670791675</v>
      </c>
      <c r="V117" s="36">
        <v>-24.664999999999999</v>
      </c>
      <c r="W117" s="36">
        <v>-0.70599999999999996</v>
      </c>
      <c r="X117" s="183">
        <v>-0.20080926173185265</v>
      </c>
      <c r="Y117" s="36">
        <v>-5.0739999999999998</v>
      </c>
      <c r="Z117" s="36">
        <v>102.75399999999999</v>
      </c>
      <c r="AA117" s="36">
        <v>-39.188639999999999</v>
      </c>
      <c r="AB117" s="36">
        <v>-13.982000000000001</v>
      </c>
      <c r="AC117" s="170">
        <v>-0.3190529846614778</v>
      </c>
    </row>
    <row r="118" spans="1:29" x14ac:dyDescent="0.2">
      <c r="A118" s="1" t="s">
        <v>271</v>
      </c>
      <c r="B118" s="1" t="s">
        <v>271</v>
      </c>
      <c r="C118" s="1" t="s">
        <v>272</v>
      </c>
      <c r="D118" s="36" t="s">
        <v>495</v>
      </c>
      <c r="E118" s="36">
        <v>1512.7247</v>
      </c>
      <c r="F118" s="36">
        <v>1335.0657000000001</v>
      </c>
      <c r="G118" s="36">
        <v>193.29499999999999</v>
      </c>
      <c r="H118" s="36">
        <v>234.53299999999999</v>
      </c>
      <c r="I118" s="36">
        <v>255.227</v>
      </c>
      <c r="J118" s="173">
        <v>5.6924428545236712</v>
      </c>
      <c r="K118" s="173">
        <v>5.2308952422745243</v>
      </c>
      <c r="L118" s="171">
        <f t="shared" si="1"/>
        <v>0.21334230062857293</v>
      </c>
      <c r="M118" s="171">
        <v>8.8234917900679388E-2</v>
      </c>
      <c r="N118" s="36">
        <v>156.26900183105468</v>
      </c>
      <c r="O118" s="176">
        <v>0.666298567071818</v>
      </c>
      <c r="P118" s="36">
        <v>23.183</v>
      </c>
      <c r="Q118" s="183">
        <v>9.8847496940729029E-2</v>
      </c>
      <c r="R118" s="36">
        <v>73.295000000000002</v>
      </c>
      <c r="S118" s="183">
        <v>0.31251465678603868</v>
      </c>
      <c r="T118" s="36">
        <v>37.460999999999999</v>
      </c>
      <c r="U118" s="183">
        <v>0.15972592343081785</v>
      </c>
      <c r="V118" s="36">
        <v>24.942</v>
      </c>
      <c r="W118" s="36">
        <v>52.480000000000004</v>
      </c>
      <c r="X118" s="183">
        <v>0.10634750760020978</v>
      </c>
      <c r="Y118" s="36">
        <v>34.721000000000004</v>
      </c>
      <c r="Z118" s="36">
        <v>123.127</v>
      </c>
      <c r="AA118" s="36">
        <v>10.046000000000001</v>
      </c>
      <c r="AB118" s="36">
        <v>29.999000000000002</v>
      </c>
      <c r="AC118" s="170">
        <v>4.2834057467392654E-2</v>
      </c>
    </row>
    <row r="119" spans="1:29" x14ac:dyDescent="0.2">
      <c r="A119" s="1" t="s">
        <v>273</v>
      </c>
      <c r="B119" s="1" t="s">
        <v>273</v>
      </c>
      <c r="C119" s="1" t="s">
        <v>274</v>
      </c>
      <c r="D119" s="36" t="s">
        <v>505</v>
      </c>
      <c r="E119" s="36">
        <v>1399.9066</v>
      </c>
      <c r="F119" s="36">
        <v>2032.1335999999999</v>
      </c>
      <c r="G119" s="36">
        <v>649.09299999999996</v>
      </c>
      <c r="H119" s="36">
        <v>774.83100000000002</v>
      </c>
      <c r="I119" s="36">
        <v>685.5</v>
      </c>
      <c r="J119" s="173">
        <v>2.6226797843658809</v>
      </c>
      <c r="K119" s="173">
        <v>2.9644545587162652</v>
      </c>
      <c r="L119" s="171">
        <f t="shared" si="1"/>
        <v>0.19371338159554957</v>
      </c>
      <c r="M119" s="171">
        <v>-0.11529094731625344</v>
      </c>
      <c r="N119" s="36">
        <v>572.46900695800787</v>
      </c>
      <c r="O119" s="176">
        <v>0.73883079917815353</v>
      </c>
      <c r="P119" s="36">
        <v>194.38200000000001</v>
      </c>
      <c r="Q119" s="183">
        <v>0.25087018975750841</v>
      </c>
      <c r="R119" s="36" t="s">
        <v>480</v>
      </c>
      <c r="S119" s="183" t="e">
        <v>#VALUE!</v>
      </c>
      <c r="T119" s="36" t="s">
        <v>480</v>
      </c>
      <c r="U119" s="183" t="e">
        <v>#VALUE!</v>
      </c>
      <c r="V119" s="36">
        <v>202.02800000000002</v>
      </c>
      <c r="W119" s="36">
        <v>206.42500000000001</v>
      </c>
      <c r="X119" s="183">
        <v>0.26073814806067391</v>
      </c>
      <c r="Y119" s="36">
        <v>162.07900000000001</v>
      </c>
      <c r="Z119" s="36">
        <v>128.965</v>
      </c>
      <c r="AA119" s="36">
        <v>-55.119129999999998</v>
      </c>
      <c r="AB119" s="36">
        <v>129.5</v>
      </c>
      <c r="AC119" s="170">
        <v>-7.1136970513570055E-2</v>
      </c>
    </row>
    <row r="120" spans="1:29" x14ac:dyDescent="0.2">
      <c r="A120" s="1" t="s">
        <v>275</v>
      </c>
      <c r="B120" s="1" t="s">
        <v>275</v>
      </c>
      <c r="C120" s="1" t="s">
        <v>276</v>
      </c>
      <c r="D120" s="36" t="s">
        <v>495</v>
      </c>
      <c r="E120" s="36">
        <v>1420.0074</v>
      </c>
      <c r="F120" s="36">
        <v>719.44939999999997</v>
      </c>
      <c r="G120" s="36">
        <v>512.16099999999994</v>
      </c>
      <c r="H120" s="36">
        <v>506.92600000000004</v>
      </c>
      <c r="I120" s="36">
        <v>514</v>
      </c>
      <c r="J120" s="173">
        <v>1.4192394945218827</v>
      </c>
      <c r="K120" s="173">
        <v>1.3997070038910506</v>
      </c>
      <c r="L120" s="171">
        <f t="shared" si="1"/>
        <v>-1.0221395225329341E-2</v>
      </c>
      <c r="M120" s="171">
        <v>1.3954699502491508E-2</v>
      </c>
      <c r="N120" s="36">
        <v>407.5589940185547</v>
      </c>
      <c r="O120" s="176">
        <v>0.803981239901987</v>
      </c>
      <c r="P120" s="36">
        <v>78.765999999999991</v>
      </c>
      <c r="Q120" s="183">
        <v>0.15537968066344987</v>
      </c>
      <c r="R120" s="36">
        <v>174.61199999999999</v>
      </c>
      <c r="S120" s="183">
        <v>0.34445264200297476</v>
      </c>
      <c r="T120" s="36">
        <v>80.161000000000001</v>
      </c>
      <c r="U120" s="183">
        <v>0.1581315616085977</v>
      </c>
      <c r="V120" s="36">
        <v>47.558000000000007</v>
      </c>
      <c r="W120" s="36" t="s">
        <v>480</v>
      </c>
      <c r="X120" s="183">
        <v>9.3816454472644931E-2</v>
      </c>
      <c r="Y120" s="36">
        <v>46.129999999999995</v>
      </c>
      <c r="Z120" s="36">
        <v>420.24399999999997</v>
      </c>
      <c r="AA120" s="36">
        <v>42.201000000000001</v>
      </c>
      <c r="AB120" s="36" t="s">
        <v>480</v>
      </c>
      <c r="AC120" s="170">
        <v>8.3248837108374787E-2</v>
      </c>
    </row>
    <row r="121" spans="1:29" x14ac:dyDescent="0.2">
      <c r="A121" s="1" t="s">
        <v>277</v>
      </c>
      <c r="B121" s="1" t="s">
        <v>277</v>
      </c>
      <c r="C121" s="1" t="s">
        <v>278</v>
      </c>
      <c r="D121" s="36" t="s">
        <v>505</v>
      </c>
      <c r="E121" s="36">
        <v>1423.8616</v>
      </c>
      <c r="F121" s="36">
        <v>1403.5246</v>
      </c>
      <c r="G121" s="36">
        <v>405.34100000000001</v>
      </c>
      <c r="H121" s="36">
        <v>401.911</v>
      </c>
      <c r="I121" s="36">
        <v>396.25</v>
      </c>
      <c r="J121" s="173">
        <v>3.4921278591528968</v>
      </c>
      <c r="K121" s="173">
        <v>3.5420179179810725</v>
      </c>
      <c r="L121" s="171">
        <f t="shared" si="1"/>
        <v>-8.4620109981472548E-3</v>
      </c>
      <c r="M121" s="171">
        <v>-1.4085207919166232E-2</v>
      </c>
      <c r="N121" s="36">
        <v>333.70999957275393</v>
      </c>
      <c r="O121" s="176">
        <v>0.83030820149922224</v>
      </c>
      <c r="P121" s="36">
        <v>76.988</v>
      </c>
      <c r="Q121" s="183">
        <v>0.19155484671979617</v>
      </c>
      <c r="R121" s="36">
        <v>96.344999999999999</v>
      </c>
      <c r="S121" s="183">
        <v>0.23971725083413989</v>
      </c>
      <c r="T121" s="36">
        <v>45.738999999999997</v>
      </c>
      <c r="U121" s="183">
        <v>0.11380380233434764</v>
      </c>
      <c r="V121" s="36">
        <v>142.37699999999998</v>
      </c>
      <c r="W121" s="36">
        <v>184</v>
      </c>
      <c r="X121" s="183">
        <v>0.35425007028919331</v>
      </c>
      <c r="Y121" s="36">
        <v>121.06</v>
      </c>
      <c r="Z121" s="36">
        <v>133.464</v>
      </c>
      <c r="AA121" s="36">
        <v>65.876939999999991</v>
      </c>
      <c r="AB121" s="36">
        <v>108.733</v>
      </c>
      <c r="AC121" s="170">
        <v>0.16390927344611117</v>
      </c>
    </row>
    <row r="122" spans="1:29" x14ac:dyDescent="0.2">
      <c r="A122" s="1" t="s">
        <v>279</v>
      </c>
      <c r="B122" s="1" t="s">
        <v>279</v>
      </c>
      <c r="C122" s="1" t="s">
        <v>280</v>
      </c>
      <c r="D122" s="36" t="s">
        <v>495</v>
      </c>
      <c r="E122" s="36">
        <v>1422.0752</v>
      </c>
      <c r="F122" s="36">
        <v>1360.3652</v>
      </c>
      <c r="G122" s="36">
        <v>178.64599999999999</v>
      </c>
      <c r="H122" s="36">
        <v>225.61</v>
      </c>
      <c r="I122" s="36">
        <v>255.92000000000002</v>
      </c>
      <c r="J122" s="173">
        <v>6.0297203138158766</v>
      </c>
      <c r="K122" s="173">
        <v>5.3155876836511409</v>
      </c>
      <c r="L122" s="171">
        <f t="shared" si="1"/>
        <v>0.26288861771324312</v>
      </c>
      <c r="M122" s="171">
        <v>0.13434688178715493</v>
      </c>
      <c r="N122" s="36">
        <v>161.06200064086914</v>
      </c>
      <c r="O122" s="176">
        <v>0.71389566349394595</v>
      </c>
      <c r="P122" s="36">
        <v>68.171999999999997</v>
      </c>
      <c r="Q122" s="183">
        <v>0.30216745711626253</v>
      </c>
      <c r="R122" s="36">
        <v>84.161000000000001</v>
      </c>
      <c r="S122" s="183">
        <v>0.37303754266211603</v>
      </c>
      <c r="T122" s="36">
        <v>39.594000000000001</v>
      </c>
      <c r="U122" s="183">
        <v>0.17549754000265946</v>
      </c>
      <c r="V122" s="36">
        <v>-48.74664556962</v>
      </c>
      <c r="W122" s="36">
        <v>-16.401</v>
      </c>
      <c r="X122" s="183">
        <v>-0.21606597921023002</v>
      </c>
      <c r="Y122" s="36">
        <v>-0.20499999999999918</v>
      </c>
      <c r="Z122" s="36">
        <v>60.332999999999998</v>
      </c>
      <c r="AA122" s="36">
        <v>-53.88</v>
      </c>
      <c r="AB122" s="36">
        <v>-22.204000000000001</v>
      </c>
      <c r="AC122" s="170">
        <v>-0.23881920127653916</v>
      </c>
    </row>
    <row r="123" spans="1:29" x14ac:dyDescent="0.2">
      <c r="A123" s="1" t="s">
        <v>283</v>
      </c>
      <c r="B123" s="1" t="s">
        <v>283</v>
      </c>
      <c r="C123" s="1" t="s">
        <v>284</v>
      </c>
      <c r="D123" s="36" t="s">
        <v>506</v>
      </c>
      <c r="E123" s="36">
        <v>1272.5319</v>
      </c>
      <c r="F123" s="36">
        <v>2037.6169</v>
      </c>
      <c r="G123" s="36">
        <v>1265.364</v>
      </c>
      <c r="H123" s="36">
        <v>1442.086</v>
      </c>
      <c r="I123" s="36">
        <v>1299.5</v>
      </c>
      <c r="J123" s="173">
        <v>1.4129648994581461</v>
      </c>
      <c r="K123" s="173">
        <v>1.568000692574067</v>
      </c>
      <c r="L123" s="171">
        <f t="shared" si="1"/>
        <v>0.13966099873238055</v>
      </c>
      <c r="M123" s="171">
        <v>-9.8874824386340321E-2</v>
      </c>
      <c r="N123" s="36">
        <v>493.43699993896485</v>
      </c>
      <c r="O123" s="176">
        <v>0.34216891360082885</v>
      </c>
      <c r="P123" s="36">
        <v>0</v>
      </c>
      <c r="Q123" s="183">
        <v>0</v>
      </c>
      <c r="R123" s="36" t="s">
        <v>480</v>
      </c>
      <c r="S123" s="183" t="e">
        <v>#VALUE!</v>
      </c>
      <c r="T123" s="36" t="s">
        <v>480</v>
      </c>
      <c r="U123" s="183" t="e">
        <v>#VALUE!</v>
      </c>
      <c r="V123" s="36">
        <v>321.95100000000002</v>
      </c>
      <c r="W123" s="36">
        <v>274.86700000000002</v>
      </c>
      <c r="X123" s="183">
        <v>0.22325367557829423</v>
      </c>
      <c r="Y123" s="36">
        <v>132.11700000000002</v>
      </c>
      <c r="Z123" s="36">
        <v>51.37</v>
      </c>
      <c r="AA123" s="36">
        <v>65.558989999999994</v>
      </c>
      <c r="AB123" s="36">
        <v>81.405000000000001</v>
      </c>
      <c r="AC123" s="170">
        <v>4.546122075937218E-2</v>
      </c>
    </row>
    <row r="124" spans="1:29" x14ac:dyDescent="0.2">
      <c r="A124" s="1" t="s">
        <v>285</v>
      </c>
      <c r="B124" s="1" t="s">
        <v>285</v>
      </c>
      <c r="C124" s="1" t="s">
        <v>286</v>
      </c>
      <c r="D124" s="36" t="s">
        <v>506</v>
      </c>
      <c r="E124" s="36">
        <v>1308.6161999999999</v>
      </c>
      <c r="F124" s="36">
        <v>1236.1941999999999</v>
      </c>
      <c r="G124" s="36">
        <v>1460.037</v>
      </c>
      <c r="H124" s="36">
        <v>1637.712</v>
      </c>
      <c r="I124" s="36">
        <v>1656.5</v>
      </c>
      <c r="J124" s="173">
        <v>0.75483003116543079</v>
      </c>
      <c r="K124" s="173">
        <v>0.74626875943253845</v>
      </c>
      <c r="L124" s="171">
        <f t="shared" si="1"/>
        <v>0.12169212150103043</v>
      </c>
      <c r="M124" s="171">
        <v>1.147210254305997E-2</v>
      </c>
      <c r="N124" s="36">
        <v>553.73400109863292</v>
      </c>
      <c r="O124" s="176">
        <v>0.33811439441039259</v>
      </c>
      <c r="P124" s="36">
        <v>0</v>
      </c>
      <c r="Q124" s="183">
        <v>0</v>
      </c>
      <c r="R124" s="36" t="s">
        <v>480</v>
      </c>
      <c r="S124" s="183" t="e">
        <v>#VALUE!</v>
      </c>
      <c r="T124" s="36">
        <v>376.863</v>
      </c>
      <c r="U124" s="183">
        <v>0.23011555145227</v>
      </c>
      <c r="V124" s="36">
        <v>168.06400000000002</v>
      </c>
      <c r="W124" s="36">
        <v>180.32500000000002</v>
      </c>
      <c r="X124" s="183">
        <v>0.10262121789423294</v>
      </c>
      <c r="Y124" s="36">
        <v>53.613999999999997</v>
      </c>
      <c r="Z124" s="36">
        <v>343.73399999999998</v>
      </c>
      <c r="AA124" s="36">
        <v>71.187725335842003</v>
      </c>
      <c r="AB124" s="36">
        <v>91.15</v>
      </c>
      <c r="AC124" s="170">
        <v>4.3467792466466634E-2</v>
      </c>
    </row>
    <row r="125" spans="1:29" x14ac:dyDescent="0.2">
      <c r="A125" s="1" t="s">
        <v>287</v>
      </c>
      <c r="B125" s="1" t="s">
        <v>287</v>
      </c>
      <c r="C125" s="1" t="s">
        <v>288</v>
      </c>
      <c r="D125" s="36" t="s">
        <v>495</v>
      </c>
      <c r="E125" s="36">
        <v>1284.3643999999999</v>
      </c>
      <c r="F125" s="36">
        <v>1214.4014</v>
      </c>
      <c r="G125" s="36">
        <v>222.779</v>
      </c>
      <c r="H125" s="36">
        <v>233.78399999999999</v>
      </c>
      <c r="I125" s="36">
        <v>258.85399999999998</v>
      </c>
      <c r="J125" s="173">
        <v>5.194544536837423</v>
      </c>
      <c r="K125" s="173">
        <v>4.6914530971126585</v>
      </c>
      <c r="L125" s="171">
        <f t="shared" si="1"/>
        <v>4.9398731478281145E-2</v>
      </c>
      <c r="M125" s="171">
        <v>0.10723573897272698</v>
      </c>
      <c r="N125" s="36">
        <v>174.50399725341796</v>
      </c>
      <c r="O125" s="176">
        <v>0.74643259270702</v>
      </c>
      <c r="P125" s="36">
        <v>40.033999999999999</v>
      </c>
      <c r="Q125" s="183">
        <v>0.17124354104643602</v>
      </c>
      <c r="R125" s="36">
        <v>90.905000000000001</v>
      </c>
      <c r="S125" s="183">
        <v>0.38884183690928381</v>
      </c>
      <c r="T125" s="36">
        <v>43.124000000000002</v>
      </c>
      <c r="U125" s="183">
        <v>0.18446086986277935</v>
      </c>
      <c r="V125" s="36">
        <v>9.7840000000000007</v>
      </c>
      <c r="W125" s="36">
        <v>26.565000000000001</v>
      </c>
      <c r="X125" s="183">
        <v>4.1850597132395723E-2</v>
      </c>
      <c r="Y125" s="36">
        <v>-19.381999999999998</v>
      </c>
      <c r="Z125" s="36">
        <v>56.114999999999995</v>
      </c>
      <c r="AA125" s="36">
        <v>-8.9980586626340013</v>
      </c>
      <c r="AB125" s="36">
        <v>9.8350000000000009</v>
      </c>
      <c r="AC125" s="170">
        <v>-3.8488770243618048E-2</v>
      </c>
    </row>
    <row r="126" spans="1:29" x14ac:dyDescent="0.2">
      <c r="A126" s="1" t="s">
        <v>289</v>
      </c>
      <c r="B126" s="1" t="s">
        <v>289</v>
      </c>
      <c r="C126" s="1" t="s">
        <v>290</v>
      </c>
      <c r="D126" s="36" t="s">
        <v>505</v>
      </c>
      <c r="E126" s="36">
        <v>1208.1090999999999</v>
      </c>
      <c r="F126" s="36">
        <v>1444.5420999999999</v>
      </c>
      <c r="G126" s="36">
        <v>116.239</v>
      </c>
      <c r="H126" s="36">
        <v>162.01400000000001</v>
      </c>
      <c r="I126" s="36">
        <v>226.63</v>
      </c>
      <c r="J126" s="173">
        <v>8.9161560112089067</v>
      </c>
      <c r="K126" s="173">
        <v>6.3740109429466525</v>
      </c>
      <c r="L126" s="171">
        <f t="shared" si="1"/>
        <v>0.39380070372250281</v>
      </c>
      <c r="M126" s="171">
        <v>0.39882973076400785</v>
      </c>
      <c r="N126" s="36">
        <v>126.376</v>
      </c>
      <c r="O126" s="176">
        <v>0.78003135531497281</v>
      </c>
      <c r="P126" s="36">
        <v>52.046999999999997</v>
      </c>
      <c r="Q126" s="183">
        <v>0.3212500154307652</v>
      </c>
      <c r="R126" s="36">
        <v>107.19</v>
      </c>
      <c r="S126" s="183">
        <v>0.66160949053785467</v>
      </c>
      <c r="T126" s="36">
        <v>22.337</v>
      </c>
      <c r="U126" s="183">
        <v>0.13787080128877749</v>
      </c>
      <c r="V126" s="36">
        <v>-48.109000000000002</v>
      </c>
      <c r="W126" s="36">
        <v>-55.024999999999999</v>
      </c>
      <c r="X126" s="183">
        <v>-0.29694347402076365</v>
      </c>
      <c r="Y126" s="36">
        <v>-12.823</v>
      </c>
      <c r="Z126" s="36">
        <v>36.073</v>
      </c>
      <c r="AA126" s="36">
        <v>-55.826999999999998</v>
      </c>
      <c r="AB126" s="36">
        <v>-63.1</v>
      </c>
      <c r="AC126" s="170">
        <v>-0.34458133247744022</v>
      </c>
    </row>
    <row r="127" spans="1:29" x14ac:dyDescent="0.2">
      <c r="A127" s="1" t="s">
        <v>291</v>
      </c>
      <c r="B127" s="1" t="s">
        <v>291</v>
      </c>
      <c r="C127" s="1" t="s">
        <v>292</v>
      </c>
      <c r="D127" s="36" t="s">
        <v>495</v>
      </c>
      <c r="E127" s="36">
        <v>1266.3698999999999</v>
      </c>
      <c r="F127" s="36">
        <v>1016.1319</v>
      </c>
      <c r="G127" s="36">
        <v>160.56899999999999</v>
      </c>
      <c r="H127" s="36">
        <v>212.47800000000001</v>
      </c>
      <c r="I127" s="36">
        <v>249.06300000000002</v>
      </c>
      <c r="J127" s="173">
        <v>4.7822922843776761</v>
      </c>
      <c r="K127" s="173">
        <v>4.0798187607151597</v>
      </c>
      <c r="L127" s="171">
        <f t="shared" si="1"/>
        <v>0.32328157988154638</v>
      </c>
      <c r="M127" s="171">
        <v>0.17218253183859034</v>
      </c>
      <c r="N127" s="36">
        <v>147.23399932861327</v>
      </c>
      <c r="O127" s="176">
        <v>0.69293761861751924</v>
      </c>
      <c r="P127" s="36">
        <v>40.549999999999997</v>
      </c>
      <c r="Q127" s="183">
        <v>0.19084328730503861</v>
      </c>
      <c r="R127" s="36">
        <v>87.948999999999998</v>
      </c>
      <c r="S127" s="183">
        <v>0.41392050000470637</v>
      </c>
      <c r="T127" s="36">
        <v>27.706</v>
      </c>
      <c r="U127" s="183">
        <v>0.13039467615470776</v>
      </c>
      <c r="V127" s="36">
        <v>-14.339075949367</v>
      </c>
      <c r="W127" s="36">
        <v>11.973000000000001</v>
      </c>
      <c r="X127" s="183">
        <v>-6.748499114904602E-2</v>
      </c>
      <c r="Y127" s="36">
        <v>3.3149999999999999</v>
      </c>
      <c r="Z127" s="36">
        <v>55.068999999999996</v>
      </c>
      <c r="AA127" s="36">
        <v>-23.346969999999999</v>
      </c>
      <c r="AB127" s="36">
        <v>5.1749999999999998</v>
      </c>
      <c r="AC127" s="170">
        <v>-0.10987946987452818</v>
      </c>
    </row>
    <row r="128" spans="1:29" x14ac:dyDescent="0.2">
      <c r="A128" s="1" t="s">
        <v>293</v>
      </c>
      <c r="B128" s="1" t="s">
        <v>293</v>
      </c>
      <c r="C128" s="1" t="s">
        <v>294</v>
      </c>
      <c r="D128" s="36" t="s">
        <v>505</v>
      </c>
      <c r="E128" s="36">
        <v>1222.0399</v>
      </c>
      <c r="F128" s="36">
        <v>1118.7239</v>
      </c>
      <c r="G128" s="36">
        <v>339.52199999999999</v>
      </c>
      <c r="H128" s="36">
        <v>493.41899999999998</v>
      </c>
      <c r="I128" s="36">
        <v>540.76700000000005</v>
      </c>
      <c r="J128" s="173">
        <v>2.2672898692591894</v>
      </c>
      <c r="K128" s="173">
        <v>2.0687725027599684</v>
      </c>
      <c r="L128" s="171">
        <f t="shared" si="1"/>
        <v>0.45327548730273737</v>
      </c>
      <c r="M128" s="171">
        <v>9.5959012522825571E-2</v>
      </c>
      <c r="N128" s="36">
        <v>254.20199630737304</v>
      </c>
      <c r="O128" s="176">
        <v>0.51518485568527572</v>
      </c>
      <c r="P128" s="36">
        <v>80.164000000000001</v>
      </c>
      <c r="Q128" s="183">
        <v>0.162466382526818</v>
      </c>
      <c r="R128" s="36">
        <v>151.34100000000001</v>
      </c>
      <c r="S128" s="183">
        <v>0.3067190359511896</v>
      </c>
      <c r="T128" s="36">
        <v>92.725999999999999</v>
      </c>
      <c r="U128" s="183">
        <v>0.18792547510330976</v>
      </c>
      <c r="V128" s="36">
        <v>-32.902000000000001</v>
      </c>
      <c r="W128" s="36">
        <v>-0.65700000000000003</v>
      </c>
      <c r="X128" s="183">
        <v>-6.6681664062389165E-2</v>
      </c>
      <c r="Y128" s="36">
        <v>9.2789999999999999</v>
      </c>
      <c r="Z128" s="36">
        <v>101.539</v>
      </c>
      <c r="AA128" s="36">
        <v>-51.781127336844001</v>
      </c>
      <c r="AB128" s="36">
        <v>-11.215</v>
      </c>
      <c r="AC128" s="170">
        <v>-0.10494352130105246</v>
      </c>
    </row>
    <row r="129" spans="1:29" x14ac:dyDescent="0.2">
      <c r="A129" s="1" t="s">
        <v>295</v>
      </c>
      <c r="B129" s="1" t="s">
        <v>295</v>
      </c>
      <c r="C129" s="1" t="s">
        <v>296</v>
      </c>
      <c r="D129" s="36" t="s">
        <v>506</v>
      </c>
      <c r="E129" s="36">
        <v>1182.72</v>
      </c>
      <c r="F129" s="36">
        <v>1357.76</v>
      </c>
      <c r="G129" s="36">
        <v>760.95799999999997</v>
      </c>
      <c r="H129" s="36">
        <v>819.13599999999997</v>
      </c>
      <c r="I129" s="36">
        <v>876.5</v>
      </c>
      <c r="J129" s="173">
        <v>1.6575513712008751</v>
      </c>
      <c r="K129" s="173">
        <v>1.5490701654306902</v>
      </c>
      <c r="L129" s="171">
        <f t="shared" si="1"/>
        <v>7.6453628189729256E-2</v>
      </c>
      <c r="M129" s="171">
        <v>7.0029885147277149E-2</v>
      </c>
      <c r="N129" s="36">
        <v>409.10499536132812</v>
      </c>
      <c r="O129" s="176">
        <v>0.49943476463167064</v>
      </c>
      <c r="P129" s="36">
        <v>113.19999999999999</v>
      </c>
      <c r="Q129" s="183">
        <v>0.13819439018673332</v>
      </c>
      <c r="R129" s="36" t="s">
        <v>480</v>
      </c>
      <c r="S129" s="183" t="e">
        <v>#VALUE!</v>
      </c>
      <c r="T129" s="36" t="s">
        <v>480</v>
      </c>
      <c r="U129" s="183" t="e">
        <v>#VALUE!</v>
      </c>
      <c r="V129" s="36">
        <v>168.92100000000002</v>
      </c>
      <c r="W129" s="36">
        <v>182.75</v>
      </c>
      <c r="X129" s="183">
        <v>0.20621850339870307</v>
      </c>
      <c r="Y129" s="36">
        <v>48.022999999999996</v>
      </c>
      <c r="Z129" s="36">
        <v>122.24299999999999</v>
      </c>
      <c r="AA129" s="36">
        <v>64.680810627462009</v>
      </c>
      <c r="AB129" s="36">
        <v>97.2</v>
      </c>
      <c r="AC129" s="170">
        <v>7.8962236585209303E-2</v>
      </c>
    </row>
    <row r="130" spans="1:29" x14ac:dyDescent="0.2">
      <c r="A130" s="1" t="s">
        <v>297</v>
      </c>
      <c r="B130" s="1" t="s">
        <v>297</v>
      </c>
      <c r="C130" s="1" t="s">
        <v>298</v>
      </c>
      <c r="D130" s="36" t="s">
        <v>506</v>
      </c>
      <c r="E130" s="36">
        <v>1161.232</v>
      </c>
      <c r="F130" s="36">
        <v>1386.7829999999999</v>
      </c>
      <c r="G130" s="36">
        <v>1275.258</v>
      </c>
      <c r="H130" s="36">
        <v>1510.7610000000002</v>
      </c>
      <c r="I130" s="36">
        <v>1523.8330000000001</v>
      </c>
      <c r="J130" s="173">
        <v>0.91793672195668252</v>
      </c>
      <c r="K130" s="173">
        <v>0.91006232310233459</v>
      </c>
      <c r="L130" s="171">
        <f t="shared" si="1"/>
        <v>0.18467086660111143</v>
      </c>
      <c r="M130" s="171">
        <v>8.6525929647376376E-3</v>
      </c>
      <c r="N130" s="36">
        <v>364.96499401855471</v>
      </c>
      <c r="O130" s="176">
        <v>0.24157692316557991</v>
      </c>
      <c r="P130" s="36">
        <v>0</v>
      </c>
      <c r="Q130" s="183">
        <v>0</v>
      </c>
      <c r="R130" s="36" t="s">
        <v>480</v>
      </c>
      <c r="S130" s="183" t="e">
        <v>#VALUE!</v>
      </c>
      <c r="T130" s="36" t="s">
        <v>480</v>
      </c>
      <c r="U130" s="183" t="e">
        <v>#VALUE!</v>
      </c>
      <c r="V130" s="36">
        <v>185.99944985394302</v>
      </c>
      <c r="W130" s="36">
        <v>199.28300000000002</v>
      </c>
      <c r="X130" s="183">
        <v>0.12311639620955465</v>
      </c>
      <c r="Y130" s="36">
        <v>89.751000000000005</v>
      </c>
      <c r="Z130" s="36">
        <v>74.436999999999998</v>
      </c>
      <c r="AA130" s="36">
        <v>69.219760000000008</v>
      </c>
      <c r="AB130" s="36">
        <v>81.94</v>
      </c>
      <c r="AC130" s="170">
        <v>4.5817809699879732E-2</v>
      </c>
    </row>
    <row r="131" spans="1:29" x14ac:dyDescent="0.2">
      <c r="A131" s="1" t="s">
        <v>299</v>
      </c>
      <c r="B131" s="1" t="s">
        <v>299</v>
      </c>
      <c r="C131" s="1" t="s">
        <v>300</v>
      </c>
      <c r="D131" s="36" t="s">
        <v>505</v>
      </c>
      <c r="E131" s="36">
        <v>1151.3871999999999</v>
      </c>
      <c r="F131" s="36">
        <v>949.03020000000004</v>
      </c>
      <c r="G131" s="36">
        <v>166.84100000000001</v>
      </c>
      <c r="H131" s="36">
        <v>257.60300000000001</v>
      </c>
      <c r="I131" s="36">
        <v>302.613</v>
      </c>
      <c r="J131" s="173">
        <v>3.6840805425402654</v>
      </c>
      <c r="K131" s="173">
        <v>3.1361184086605665</v>
      </c>
      <c r="L131" s="171">
        <f t="shared" ref="L131:L193" si="2">(H131-G131)/G131</f>
        <v>0.54400297289035671</v>
      </c>
      <c r="M131" s="171">
        <v>0.17472622601444865</v>
      </c>
      <c r="N131" s="36">
        <v>194.42499871826172</v>
      </c>
      <c r="O131" s="176">
        <v>0.75474664005567371</v>
      </c>
      <c r="P131" s="36">
        <v>47.434999999999995</v>
      </c>
      <c r="Q131" s="183">
        <v>0.18413993625850628</v>
      </c>
      <c r="R131" s="36">
        <v>151.09299999999999</v>
      </c>
      <c r="S131" s="183">
        <v>0.58653431831151026</v>
      </c>
      <c r="T131" s="36">
        <v>51.206000000000003</v>
      </c>
      <c r="U131" s="183">
        <v>0.19877874093081216</v>
      </c>
      <c r="V131" s="36">
        <v>-82.965000000000003</v>
      </c>
      <c r="W131" s="36">
        <v>-29.065999999999999</v>
      </c>
      <c r="X131" s="183">
        <v>-0.32206534861783442</v>
      </c>
      <c r="Y131" s="36">
        <v>-6.802999999999999</v>
      </c>
      <c r="Z131" s="36">
        <v>63.009</v>
      </c>
      <c r="AA131" s="36">
        <v>-92.112000000000009</v>
      </c>
      <c r="AB131" s="36">
        <v>-39.933</v>
      </c>
      <c r="AC131" s="170">
        <v>-0.35757347546418328</v>
      </c>
    </row>
    <row r="132" spans="1:29" x14ac:dyDescent="0.2">
      <c r="A132" s="1" t="s">
        <v>303</v>
      </c>
      <c r="B132" s="1" t="s">
        <v>303</v>
      </c>
      <c r="C132" s="1" t="s">
        <v>304</v>
      </c>
      <c r="D132" s="36" t="s">
        <v>495</v>
      </c>
      <c r="E132" s="36">
        <v>1131.8515</v>
      </c>
      <c r="F132" s="36">
        <v>1209.0925</v>
      </c>
      <c r="G132" s="36">
        <v>153.27600000000001</v>
      </c>
      <c r="H132" s="36">
        <v>183.61700000000002</v>
      </c>
      <c r="I132" s="36">
        <v>205.86799999999999</v>
      </c>
      <c r="J132" s="173">
        <v>6.5848614235065375</v>
      </c>
      <c r="K132" s="173">
        <v>5.8731444420696759</v>
      </c>
      <c r="L132" s="171">
        <f t="shared" si="2"/>
        <v>0.19795010308202202</v>
      </c>
      <c r="M132" s="171">
        <v>0.12118158993992911</v>
      </c>
      <c r="N132" s="36">
        <v>109.50099978637695</v>
      </c>
      <c r="O132" s="176">
        <v>0.59635545611995044</v>
      </c>
      <c r="P132" s="36">
        <v>56.021000000000001</v>
      </c>
      <c r="Q132" s="183">
        <v>0.30509702260683919</v>
      </c>
      <c r="R132" s="36">
        <v>68.116</v>
      </c>
      <c r="S132" s="183">
        <v>0.37096782977611004</v>
      </c>
      <c r="T132" s="36">
        <v>40.335999999999999</v>
      </c>
      <c r="U132" s="183">
        <v>0.21967464886148882</v>
      </c>
      <c r="V132" s="36">
        <v>-44.247999999999998</v>
      </c>
      <c r="W132" s="36">
        <v>-21.440999999999999</v>
      </c>
      <c r="X132" s="183">
        <v>-0.24097986569870977</v>
      </c>
      <c r="Y132" s="36">
        <v>-6.407</v>
      </c>
      <c r="Z132" s="36">
        <v>160.505</v>
      </c>
      <c r="AA132" s="36">
        <v>-63.304550127549</v>
      </c>
      <c r="AB132" s="36">
        <v>-22.835000000000001</v>
      </c>
      <c r="AC132" s="170">
        <v>-0.3447641020578105</v>
      </c>
    </row>
    <row r="133" spans="1:29" x14ac:dyDescent="0.2">
      <c r="A133" s="1" t="s">
        <v>305</v>
      </c>
      <c r="B133" s="1" t="s">
        <v>305</v>
      </c>
      <c r="C133" s="1" t="s">
        <v>306</v>
      </c>
      <c r="D133" s="36" t="s">
        <v>495</v>
      </c>
      <c r="E133" s="36">
        <v>1127.7728999999999</v>
      </c>
      <c r="F133" s="36">
        <v>1011.2338999999999</v>
      </c>
      <c r="G133" s="36">
        <v>110.88</v>
      </c>
      <c r="H133" s="36">
        <v>184.83700000000002</v>
      </c>
      <c r="I133" s="36">
        <v>231.28900000000002</v>
      </c>
      <c r="J133" s="173">
        <v>5.4709495393238363</v>
      </c>
      <c r="K133" s="173">
        <v>4.3721659914652227</v>
      </c>
      <c r="L133" s="171">
        <f t="shared" si="2"/>
        <v>0.66700036075036095</v>
      </c>
      <c r="M133" s="171">
        <v>0.25131331930295331</v>
      </c>
      <c r="N133" s="36">
        <v>130.4860018157959</v>
      </c>
      <c r="O133" s="176">
        <v>0.70595174026734853</v>
      </c>
      <c r="P133" s="36">
        <v>48.292999999999999</v>
      </c>
      <c r="Q133" s="183">
        <v>0.26127344633379679</v>
      </c>
      <c r="R133" s="36">
        <v>83.715999999999994</v>
      </c>
      <c r="S133" s="183">
        <v>0.45291797637918807</v>
      </c>
      <c r="T133" s="36">
        <v>31.196000000000002</v>
      </c>
      <c r="U133" s="183">
        <v>0.16877573213155375</v>
      </c>
      <c r="V133" s="36">
        <v>-40.238</v>
      </c>
      <c r="W133" s="36">
        <v>-17.818999999999999</v>
      </c>
      <c r="X133" s="183">
        <v>-0.21769450921622832</v>
      </c>
      <c r="Y133" s="36">
        <v>-18.588999999999992</v>
      </c>
      <c r="Z133" s="36">
        <v>35.692999999999998</v>
      </c>
      <c r="AA133" s="36">
        <v>-49.079000000000001</v>
      </c>
      <c r="AB133" s="36">
        <v>-28.419</v>
      </c>
      <c r="AC133" s="170">
        <v>-0.2655258416875409</v>
      </c>
    </row>
    <row r="134" spans="1:29" x14ac:dyDescent="0.2">
      <c r="A134" s="1" t="s">
        <v>307</v>
      </c>
      <c r="B134" s="1" t="s">
        <v>307</v>
      </c>
      <c r="C134" s="1" t="s">
        <v>308</v>
      </c>
      <c r="D134" s="36" t="s">
        <v>495</v>
      </c>
      <c r="E134" s="36">
        <v>1030.893</v>
      </c>
      <c r="F134" s="36">
        <v>1106.0070000000001</v>
      </c>
      <c r="G134" s="36">
        <v>233.33500000000001</v>
      </c>
      <c r="H134" s="36">
        <v>252.16</v>
      </c>
      <c r="I134" s="36">
        <v>269.78399999999999</v>
      </c>
      <c r="J134" s="173">
        <v>4.3861318210659901</v>
      </c>
      <c r="K134" s="173">
        <v>4.0996019037452189</v>
      </c>
      <c r="L134" s="171">
        <f t="shared" si="2"/>
        <v>8.0677995157177398E-2</v>
      </c>
      <c r="M134" s="171">
        <v>6.989213197969546E-2</v>
      </c>
      <c r="N134" s="36">
        <v>126.30899749755859</v>
      </c>
      <c r="O134" s="176">
        <v>0.50090814362927738</v>
      </c>
      <c r="P134" s="36">
        <v>49.548999999999999</v>
      </c>
      <c r="Q134" s="183">
        <v>0.19649825507614213</v>
      </c>
      <c r="R134" s="36">
        <v>69.28</v>
      </c>
      <c r="S134" s="183">
        <v>0.27474619289340102</v>
      </c>
      <c r="T134" s="36">
        <v>27.268000000000001</v>
      </c>
      <c r="U134" s="183">
        <v>0.10813769035532995</v>
      </c>
      <c r="V134" s="36">
        <v>-11.269886075949</v>
      </c>
      <c r="W134" s="36">
        <v>17.629000000000001</v>
      </c>
      <c r="X134" s="183">
        <v>-4.4693393384950028E-2</v>
      </c>
      <c r="Y134" s="36">
        <v>-2.8339999999999996</v>
      </c>
      <c r="Z134" s="36">
        <v>55.335000000000001</v>
      </c>
      <c r="AA134" s="36">
        <v>-40.211799999999997</v>
      </c>
      <c r="AB134" s="36">
        <v>-13.441000000000001</v>
      </c>
      <c r="AC134" s="170">
        <v>-0.15946938451776649</v>
      </c>
    </row>
    <row r="135" spans="1:29" x14ac:dyDescent="0.2">
      <c r="A135" s="1" t="s">
        <v>309</v>
      </c>
      <c r="B135" s="1" t="s">
        <v>309</v>
      </c>
      <c r="C135" s="1" t="s">
        <v>310</v>
      </c>
      <c r="D135" s="36" t="s">
        <v>506</v>
      </c>
      <c r="E135" s="36">
        <v>941.15639999999996</v>
      </c>
      <c r="F135" s="36">
        <v>768.43140000000005</v>
      </c>
      <c r="G135" s="36">
        <v>317.91467</v>
      </c>
      <c r="H135" s="36">
        <v>347.22800000000001</v>
      </c>
      <c r="I135" s="36">
        <v>324.12</v>
      </c>
      <c r="J135" s="173">
        <v>2.2130456069211011</v>
      </c>
      <c r="K135" s="173">
        <v>2.370823768974454</v>
      </c>
      <c r="L135" s="171">
        <f t="shared" si="2"/>
        <v>9.2205024700495908E-2</v>
      </c>
      <c r="M135" s="171">
        <v>-6.6549932609121343E-2</v>
      </c>
      <c r="N135" s="36">
        <v>141.53299899291994</v>
      </c>
      <c r="O135" s="176">
        <v>0.40760825449825455</v>
      </c>
      <c r="P135" s="36">
        <v>0</v>
      </c>
      <c r="Q135" s="183">
        <v>0</v>
      </c>
      <c r="R135" s="36" t="s">
        <v>480</v>
      </c>
      <c r="S135" s="183" t="e">
        <v>#VALUE!</v>
      </c>
      <c r="T135" s="36" t="s">
        <v>480</v>
      </c>
      <c r="U135" s="183" t="e">
        <v>#VALUE!</v>
      </c>
      <c r="V135" s="36">
        <v>88.400999999999996</v>
      </c>
      <c r="W135" s="36">
        <v>68.400000000000006</v>
      </c>
      <c r="X135" s="183">
        <v>0.25459064361169026</v>
      </c>
      <c r="Y135" s="36">
        <v>53.626999999999995</v>
      </c>
      <c r="Z135" s="36">
        <v>160.77699999999999</v>
      </c>
      <c r="AA135" s="36">
        <v>57.685500000000005</v>
      </c>
      <c r="AB135" s="36">
        <v>45.496000000000002</v>
      </c>
      <c r="AC135" s="170">
        <v>0.1661314755722465</v>
      </c>
    </row>
    <row r="136" spans="1:29" x14ac:dyDescent="0.2">
      <c r="A136" s="2" t="s">
        <v>313</v>
      </c>
      <c r="B136" s="2" t="s">
        <v>313</v>
      </c>
      <c r="C136" s="1" t="s">
        <v>314</v>
      </c>
      <c r="D136" s="87" t="s">
        <v>495</v>
      </c>
      <c r="E136" s="87">
        <v>810.56510000000003</v>
      </c>
      <c r="F136" s="87">
        <v>684.58810000000005</v>
      </c>
      <c r="G136" s="36">
        <v>277.85199999999998</v>
      </c>
      <c r="H136" s="87">
        <v>328.411</v>
      </c>
      <c r="I136" s="87">
        <v>339.733</v>
      </c>
      <c r="J136" s="173">
        <v>2.0845468026345038</v>
      </c>
      <c r="K136" s="173">
        <v>2.0150768397535712</v>
      </c>
      <c r="L136" s="171">
        <f t="shared" si="2"/>
        <v>0.18196377927817697</v>
      </c>
      <c r="M136" s="179">
        <v>3.4475093708797866E-2</v>
      </c>
      <c r="N136" s="87">
        <v>169.04300082397461</v>
      </c>
      <c r="O136" s="176">
        <v>0.51473002068741491</v>
      </c>
      <c r="P136" s="87">
        <v>47.661000000000001</v>
      </c>
      <c r="Q136" s="183">
        <v>0.14512607677574746</v>
      </c>
      <c r="R136" s="87">
        <v>75.367999999999995</v>
      </c>
      <c r="S136" s="183">
        <v>0.22949292197886184</v>
      </c>
      <c r="T136" s="87">
        <v>35.222000000000001</v>
      </c>
      <c r="U136" s="183">
        <v>0.10724975716404141</v>
      </c>
      <c r="V136" s="87">
        <v>6.7769999999999992</v>
      </c>
      <c r="W136" s="87">
        <v>18.382999999999999</v>
      </c>
      <c r="X136" s="183">
        <v>2.0635727792309023E-2</v>
      </c>
      <c r="Y136" s="36">
        <v>18.332999999999998</v>
      </c>
      <c r="Z136" s="36">
        <v>147.023</v>
      </c>
      <c r="AA136" s="87">
        <v>-1.2028757999999999</v>
      </c>
      <c r="AB136" s="87">
        <v>10.827</v>
      </c>
      <c r="AC136" s="170">
        <v>-3.6627147080944304E-3</v>
      </c>
    </row>
    <row r="137" spans="1:29" x14ac:dyDescent="0.2">
      <c r="A137" s="2" t="s">
        <v>315</v>
      </c>
      <c r="B137" s="2" t="s">
        <v>315</v>
      </c>
      <c r="C137" s="1" t="s">
        <v>316</v>
      </c>
      <c r="D137" s="87" t="s">
        <v>506</v>
      </c>
      <c r="E137" s="87">
        <v>783.20150000000001</v>
      </c>
      <c r="F137" s="87">
        <v>386.01310000000001</v>
      </c>
      <c r="G137" s="36">
        <v>17880</v>
      </c>
      <c r="H137" s="87">
        <v>421.69007902324608</v>
      </c>
      <c r="I137" s="87">
        <v>255.601</v>
      </c>
      <c r="J137" s="173">
        <v>0.91539526112190239</v>
      </c>
      <c r="K137" s="173">
        <v>1.5102174874120211</v>
      </c>
      <c r="L137" s="171">
        <f t="shared" si="2"/>
        <v>-0.97641554367878935</v>
      </c>
      <c r="M137" s="179">
        <v>-0.39386527519915937</v>
      </c>
      <c r="N137" s="87">
        <v>218.75141071311592</v>
      </c>
      <c r="O137" s="176">
        <v>0.51874924641292552</v>
      </c>
      <c r="P137" s="87">
        <v>0</v>
      </c>
      <c r="Q137" s="183">
        <v>0</v>
      </c>
      <c r="R137" s="87" t="s">
        <v>480</v>
      </c>
      <c r="S137" s="183" t="e">
        <v>#VALUE!</v>
      </c>
      <c r="T137" s="87" t="s">
        <v>480</v>
      </c>
      <c r="U137" s="183" t="e">
        <v>#VALUE!</v>
      </c>
      <c r="V137" s="87">
        <v>81.622901835776418</v>
      </c>
      <c r="W137" s="87">
        <v>78.579000000000008</v>
      </c>
      <c r="X137" s="183">
        <v>0.19356135203568989</v>
      </c>
      <c r="Y137" s="36">
        <v>12107</v>
      </c>
      <c r="Z137" s="36">
        <v>18406</v>
      </c>
      <c r="AA137" s="87">
        <v>54.138304797875108</v>
      </c>
      <c r="AB137" s="87">
        <v>50.417999999999999</v>
      </c>
      <c r="AC137" s="170">
        <v>0.12838410835577349</v>
      </c>
    </row>
    <row r="138" spans="1:29" x14ac:dyDescent="0.2">
      <c r="A138" s="2" t="s">
        <v>317</v>
      </c>
      <c r="B138" s="2" t="s">
        <v>317</v>
      </c>
      <c r="C138" s="1" t="s">
        <v>318</v>
      </c>
      <c r="D138" s="87" t="s">
        <v>495</v>
      </c>
      <c r="E138" s="87">
        <v>759.13250000000005</v>
      </c>
      <c r="F138" s="87">
        <v>759.31349999999998</v>
      </c>
      <c r="G138" s="36">
        <v>203.441</v>
      </c>
      <c r="H138" s="87">
        <v>242.89300000000003</v>
      </c>
      <c r="I138" s="87">
        <v>247.21700000000001</v>
      </c>
      <c r="J138" s="173">
        <v>3.1261234370689972</v>
      </c>
      <c r="K138" s="173">
        <v>3.0714453294069579</v>
      </c>
      <c r="L138" s="171">
        <f t="shared" si="2"/>
        <v>0.19392354540136958</v>
      </c>
      <c r="M138" s="179">
        <v>1.7802077457975241E-2</v>
      </c>
      <c r="N138" s="87">
        <v>197.1649987182617</v>
      </c>
      <c r="O138" s="176">
        <v>0.8117360266383209</v>
      </c>
      <c r="P138" s="87">
        <v>37.662999999999997</v>
      </c>
      <c r="Q138" s="183">
        <v>0.15506004701658752</v>
      </c>
      <c r="R138" s="87">
        <v>91.507999999999996</v>
      </c>
      <c r="S138" s="183">
        <v>0.37674202220730935</v>
      </c>
      <c r="T138" s="87">
        <v>46.557000000000002</v>
      </c>
      <c r="U138" s="183">
        <v>0.19167699357330181</v>
      </c>
      <c r="V138" s="87">
        <v>40.060203810127</v>
      </c>
      <c r="W138" s="87">
        <v>71.650000000000006</v>
      </c>
      <c r="X138" s="183">
        <v>0.16492942904952795</v>
      </c>
      <c r="Y138" s="36" t="s">
        <v>480</v>
      </c>
      <c r="Z138" s="36">
        <v>82.822000000000003</v>
      </c>
      <c r="AA138" s="87">
        <v>15.346821010000001</v>
      </c>
      <c r="AB138" s="87">
        <v>29.908000000000001</v>
      </c>
      <c r="AC138" s="170">
        <v>6.3183463541559445E-2</v>
      </c>
    </row>
    <row r="139" spans="1:29" x14ac:dyDescent="0.2">
      <c r="A139" s="2" t="s">
        <v>325</v>
      </c>
      <c r="B139" s="2" t="s">
        <v>325</v>
      </c>
      <c r="C139" s="1" t="s">
        <v>326</v>
      </c>
      <c r="D139" s="2" t="s">
        <v>505</v>
      </c>
      <c r="E139" s="2">
        <v>700.73019999999997</v>
      </c>
      <c r="F139" s="2">
        <v>599.29819999999995</v>
      </c>
      <c r="G139" s="36">
        <v>192.304</v>
      </c>
      <c r="H139" s="2">
        <v>200.61800000000002</v>
      </c>
      <c r="I139" s="2">
        <v>222.86700000000002</v>
      </c>
      <c r="J139" s="173">
        <v>2.9872603654706951</v>
      </c>
      <c r="K139" s="173">
        <v>2.6890396514513135</v>
      </c>
      <c r="L139" s="171">
        <f t="shared" si="2"/>
        <v>4.3233630085697757E-2</v>
      </c>
      <c r="M139" s="180">
        <v>0.1109023118563639</v>
      </c>
      <c r="N139" s="2">
        <v>143.23199945068359</v>
      </c>
      <c r="O139" s="176">
        <v>0.71395387976494418</v>
      </c>
      <c r="P139" s="2">
        <v>23.119</v>
      </c>
      <c r="Q139" s="183">
        <v>0.11523891176265338</v>
      </c>
      <c r="R139" s="2">
        <v>58.994</v>
      </c>
      <c r="S139" s="183">
        <v>0.29406135042717996</v>
      </c>
      <c r="T139" s="2">
        <v>37.4</v>
      </c>
      <c r="U139" s="183">
        <v>0.18642394999451692</v>
      </c>
      <c r="V139" s="2">
        <v>18.504999999999999</v>
      </c>
      <c r="W139" s="2">
        <v>16.056999999999999</v>
      </c>
      <c r="X139" s="183">
        <v>9.2239978466538378E-2</v>
      </c>
      <c r="Y139" s="36">
        <v>-11.802</v>
      </c>
      <c r="Z139" s="36">
        <v>78.661000000000001</v>
      </c>
      <c r="AA139" s="2">
        <v>7.2605520712620004</v>
      </c>
      <c r="AB139" s="2">
        <v>12.183</v>
      </c>
      <c r="AC139" s="170">
        <v>3.6190930381431376E-2</v>
      </c>
    </row>
    <row r="140" spans="1:29" x14ac:dyDescent="0.2">
      <c r="A140" s="2" t="s">
        <v>327</v>
      </c>
      <c r="B140" s="2" t="s">
        <v>327</v>
      </c>
      <c r="C140" s="1" t="s">
        <v>328</v>
      </c>
      <c r="D140" s="2" t="s">
        <v>506</v>
      </c>
      <c r="E140" s="2">
        <v>717.82820000000004</v>
      </c>
      <c r="F140" s="2">
        <v>2001.8032000000001</v>
      </c>
      <c r="G140" s="36">
        <v>789.92600000000004</v>
      </c>
      <c r="H140" s="2">
        <v>1528.231</v>
      </c>
      <c r="I140" s="2">
        <v>1645</v>
      </c>
      <c r="J140" s="173">
        <v>1.3098826028264052</v>
      </c>
      <c r="K140" s="173">
        <v>1.2169016413373861</v>
      </c>
      <c r="L140" s="171">
        <f t="shared" si="2"/>
        <v>0.93465084071166149</v>
      </c>
      <c r="M140" s="180">
        <v>7.6407951415721875E-2</v>
      </c>
      <c r="N140" s="2">
        <v>375.46800091552734</v>
      </c>
      <c r="O140" s="176">
        <v>0.24568798886786575</v>
      </c>
      <c r="P140" s="2">
        <v>0</v>
      </c>
      <c r="Q140" s="183">
        <v>0</v>
      </c>
      <c r="R140" s="2" t="s">
        <v>480</v>
      </c>
      <c r="S140" s="183" t="e">
        <v>#VALUE!</v>
      </c>
      <c r="T140" s="2">
        <v>220.95500000000001</v>
      </c>
      <c r="U140" s="183">
        <v>0.14458219994228622</v>
      </c>
      <c r="V140" s="2">
        <v>275.851</v>
      </c>
      <c r="W140" s="2">
        <v>329.3</v>
      </c>
      <c r="X140" s="183">
        <v>0.18050347100667372</v>
      </c>
      <c r="Y140" s="36">
        <v>6.2910000000000075</v>
      </c>
      <c r="Z140" s="36">
        <v>39</v>
      </c>
      <c r="AA140" s="2">
        <v>-52.607639999999996</v>
      </c>
      <c r="AB140" s="2">
        <v>31.400000000000002</v>
      </c>
      <c r="AC140" s="170">
        <v>-3.4423879635997433E-2</v>
      </c>
    </row>
    <row r="141" spans="1:29" x14ac:dyDescent="0.2">
      <c r="A141" s="2" t="s">
        <v>329</v>
      </c>
      <c r="B141" s="2" t="s">
        <v>329</v>
      </c>
      <c r="C141" s="1" t="s">
        <v>330</v>
      </c>
      <c r="D141" s="87" t="s">
        <v>495</v>
      </c>
      <c r="E141" s="87">
        <v>716.1395</v>
      </c>
      <c r="F141" s="87">
        <v>748.60599999999999</v>
      </c>
      <c r="G141" s="36">
        <v>70.322000000000003</v>
      </c>
      <c r="H141" s="87">
        <v>42.178586942867071</v>
      </c>
      <c r="I141" s="87">
        <v>103.099</v>
      </c>
      <c r="J141" s="173">
        <v>17.748484580908862</v>
      </c>
      <c r="K141" s="173">
        <v>7.2610403592663362</v>
      </c>
      <c r="L141" s="171">
        <f t="shared" si="2"/>
        <v>-0.40020780206952206</v>
      </c>
      <c r="M141" s="179">
        <v>1.4443445708518534</v>
      </c>
      <c r="N141" s="87">
        <v>10.568609400887199</v>
      </c>
      <c r="O141" s="176">
        <v>0.25056812394409728</v>
      </c>
      <c r="P141" s="87">
        <v>10.614831048696628</v>
      </c>
      <c r="Q141" s="183">
        <v>0.25166397971261883</v>
      </c>
      <c r="R141" s="87">
        <v>8.8403345824744104</v>
      </c>
      <c r="S141" s="183">
        <v>0.20959295280444246</v>
      </c>
      <c r="T141" s="87">
        <v>4.8045328849601585</v>
      </c>
      <c r="U141" s="183">
        <v>0.11390928983628897</v>
      </c>
      <c r="V141" s="87">
        <v>-12.381475760643527</v>
      </c>
      <c r="W141" s="87">
        <v>-7.5019999999999998</v>
      </c>
      <c r="X141" s="183">
        <v>-0.29354885163447586</v>
      </c>
      <c r="Y141" s="36" t="s">
        <v>480</v>
      </c>
      <c r="Z141" s="36">
        <v>208.161</v>
      </c>
      <c r="AA141" s="87">
        <v>-13.376278212695807</v>
      </c>
      <c r="AB141" s="87">
        <v>-8.7740000000000009</v>
      </c>
      <c r="AC141" s="170">
        <v>-0.31713433716531614</v>
      </c>
    </row>
    <row r="142" spans="1:29" x14ac:dyDescent="0.2">
      <c r="A142" s="2" t="s">
        <v>331</v>
      </c>
      <c r="B142" s="2" t="s">
        <v>331</v>
      </c>
      <c r="C142" s="1" t="s">
        <v>332</v>
      </c>
      <c r="D142" s="87" t="s">
        <v>495</v>
      </c>
      <c r="E142" s="87">
        <v>649.96939999999995</v>
      </c>
      <c r="F142" s="87">
        <v>789.97940000000006</v>
      </c>
      <c r="G142" s="36">
        <v>74.766999999999996</v>
      </c>
      <c r="H142" s="87">
        <v>121.47999999999999</v>
      </c>
      <c r="I142" s="87">
        <v>163.429</v>
      </c>
      <c r="J142" s="173">
        <v>6.5029585116891679</v>
      </c>
      <c r="K142" s="173">
        <v>4.8337773589754578</v>
      </c>
      <c r="L142" s="171">
        <f t="shared" si="2"/>
        <v>0.62478098626399348</v>
      </c>
      <c r="M142" s="179">
        <v>0.34531610141587099</v>
      </c>
      <c r="N142" s="87">
        <v>81.369998809814447</v>
      </c>
      <c r="O142" s="176">
        <v>0.66982218315619402</v>
      </c>
      <c r="P142" s="87">
        <v>15.253</v>
      </c>
      <c r="Q142" s="183">
        <v>0.12555976292393811</v>
      </c>
      <c r="R142" s="87">
        <v>15.307</v>
      </c>
      <c r="S142" s="183">
        <v>0.12600428054000659</v>
      </c>
      <c r="T142" s="87">
        <v>23.291</v>
      </c>
      <c r="U142" s="183">
        <v>0.19172703325650314</v>
      </c>
      <c r="V142" s="87">
        <v>25.582999999999998</v>
      </c>
      <c r="W142" s="87">
        <v>59.148000000000003</v>
      </c>
      <c r="X142" s="183">
        <v>0.210594336516299</v>
      </c>
      <c r="Y142" s="36">
        <v>5.1309999999999993</v>
      </c>
      <c r="Z142" s="36">
        <v>22.326000000000001</v>
      </c>
      <c r="AA142" s="87">
        <v>-2.0403708767979998</v>
      </c>
      <c r="AB142" s="87">
        <v>33.28</v>
      </c>
      <c r="AC142" s="170">
        <v>-1.6795940704626276E-2</v>
      </c>
    </row>
    <row r="143" spans="1:29" x14ac:dyDescent="0.2">
      <c r="A143" s="2" t="s">
        <v>339</v>
      </c>
      <c r="B143" s="2" t="s">
        <v>339</v>
      </c>
      <c r="C143" s="1" t="s">
        <v>340</v>
      </c>
      <c r="D143" s="87" t="s">
        <v>495</v>
      </c>
      <c r="E143" s="87">
        <v>470.3193</v>
      </c>
      <c r="F143" s="87">
        <v>471.51530000000002</v>
      </c>
      <c r="G143" s="36">
        <v>106.971</v>
      </c>
      <c r="H143" s="87">
        <v>155.49099999999999</v>
      </c>
      <c r="I143" s="87">
        <v>150.45000000000002</v>
      </c>
      <c r="J143" s="173">
        <v>3.0324282434353118</v>
      </c>
      <c r="K143" s="173">
        <v>3.1340332336324357</v>
      </c>
      <c r="L143" s="171">
        <f t="shared" si="2"/>
        <v>0.45358087706013761</v>
      </c>
      <c r="M143" s="179">
        <v>-3.2419882822799839E-2</v>
      </c>
      <c r="N143" s="87">
        <v>91.647999832153317</v>
      </c>
      <c r="O143" s="176">
        <v>0.58941031848887282</v>
      </c>
      <c r="P143" s="87">
        <v>31.064</v>
      </c>
      <c r="Q143" s="183">
        <v>0.19978005157854797</v>
      </c>
      <c r="R143" s="87">
        <v>41.338999999999999</v>
      </c>
      <c r="S143" s="183">
        <v>0.2658610466200616</v>
      </c>
      <c r="T143" s="87">
        <v>36.280999999999999</v>
      </c>
      <c r="U143" s="183">
        <v>0.23333183271057489</v>
      </c>
      <c r="V143" s="87">
        <v>-12.936999999999999</v>
      </c>
      <c r="W143" s="87">
        <v>11.333</v>
      </c>
      <c r="X143" s="183">
        <v>-8.3200956968570536E-2</v>
      </c>
      <c r="Y143" s="36">
        <v>2.270999999999999</v>
      </c>
      <c r="Z143" s="36">
        <v>56.704000000000001</v>
      </c>
      <c r="AA143" s="87">
        <v>-30.891449999999999</v>
      </c>
      <c r="AB143" s="87">
        <v>3.8380000000000001</v>
      </c>
      <c r="AC143" s="170">
        <v>-0.19867034104867806</v>
      </c>
    </row>
    <row r="144" spans="1:29" x14ac:dyDescent="0.2">
      <c r="A144" s="2" t="s">
        <v>343</v>
      </c>
      <c r="B144" s="2" t="s">
        <v>343</v>
      </c>
      <c r="C144" s="1" t="s">
        <v>344</v>
      </c>
      <c r="D144" s="87" t="s">
        <v>495</v>
      </c>
      <c r="E144" s="87">
        <v>441.25279999999998</v>
      </c>
      <c r="F144" s="87">
        <v>343.18979999999999</v>
      </c>
      <c r="G144" s="36">
        <v>163.92599999999999</v>
      </c>
      <c r="H144" s="87">
        <v>181.369</v>
      </c>
      <c r="I144" s="87">
        <v>204.3</v>
      </c>
      <c r="J144" s="173">
        <v>1.8922186261158191</v>
      </c>
      <c r="K144" s="173">
        <v>1.6798325991189427</v>
      </c>
      <c r="L144" s="171">
        <f t="shared" si="2"/>
        <v>0.10640776935934515</v>
      </c>
      <c r="M144" s="179">
        <v>0.12643285236175972</v>
      </c>
      <c r="N144" s="87">
        <v>150.5580012512207</v>
      </c>
      <c r="O144" s="176">
        <v>0.83011981789181555</v>
      </c>
      <c r="P144" s="87">
        <v>75.349999999999994</v>
      </c>
      <c r="Q144" s="183">
        <v>0.41545137261604792</v>
      </c>
      <c r="R144" s="87">
        <v>96.477000000000004</v>
      </c>
      <c r="S144" s="183">
        <v>0.53193765196918985</v>
      </c>
      <c r="T144" s="87">
        <v>28.091000000000001</v>
      </c>
      <c r="U144" s="183">
        <v>0.15488313879439156</v>
      </c>
      <c r="V144" s="87">
        <v>-47.040999999999997</v>
      </c>
      <c r="W144" s="87">
        <v>-1.17</v>
      </c>
      <c r="X144" s="183">
        <v>-0.25936626435609172</v>
      </c>
      <c r="Y144" s="36">
        <v>14.708</v>
      </c>
      <c r="Z144" s="36">
        <v>85.832999999999998</v>
      </c>
      <c r="AA144" s="87">
        <v>-51.76737</v>
      </c>
      <c r="AB144" s="87">
        <v>-1.5449999999999999</v>
      </c>
      <c r="AC144" s="170">
        <v>-0.28542567914031614</v>
      </c>
    </row>
    <row r="145" spans="1:29" x14ac:dyDescent="0.2">
      <c r="A145" s="2" t="s">
        <v>345</v>
      </c>
      <c r="B145" s="2" t="s">
        <v>345</v>
      </c>
      <c r="C145" s="1" t="s">
        <v>346</v>
      </c>
      <c r="D145" s="87" t="s">
        <v>495</v>
      </c>
      <c r="E145" s="87">
        <v>457.74169999999998</v>
      </c>
      <c r="F145" s="87">
        <v>1157.5277000000001</v>
      </c>
      <c r="G145" s="36" t="s">
        <v>480</v>
      </c>
      <c r="H145" s="87">
        <v>108.524</v>
      </c>
      <c r="I145" s="87">
        <v>148.155</v>
      </c>
      <c r="J145" s="173">
        <v>10.66609874313516</v>
      </c>
      <c r="K145" s="173">
        <v>7.8129506260335466</v>
      </c>
      <c r="L145" s="171" t="e">
        <f t="shared" si="2"/>
        <v>#VALUE!</v>
      </c>
      <c r="M145" s="179">
        <v>0.36518189524897715</v>
      </c>
      <c r="N145" s="87">
        <v>63.605000000000004</v>
      </c>
      <c r="O145" s="176">
        <v>0.58609155578489558</v>
      </c>
      <c r="P145" s="87">
        <v>78.260999999999996</v>
      </c>
      <c r="Q145" s="183">
        <v>0.72114002432641622</v>
      </c>
      <c r="R145" s="87">
        <v>131.80199999999999</v>
      </c>
      <c r="S145" s="183">
        <v>1.2144963326084552</v>
      </c>
      <c r="T145" s="87">
        <v>29.323</v>
      </c>
      <c r="U145" s="183">
        <v>0.27019829715086063</v>
      </c>
      <c r="V145" s="87">
        <v>-158.636</v>
      </c>
      <c r="W145" s="87">
        <v>-121.8</v>
      </c>
      <c r="X145" s="183">
        <v>-1.4617596107773396</v>
      </c>
      <c r="Y145" s="36" t="s">
        <v>480</v>
      </c>
      <c r="Z145" s="36">
        <v>61.971999999999994</v>
      </c>
      <c r="AA145" s="87">
        <v>-176.56200000000001</v>
      </c>
      <c r="AB145" s="87">
        <v>-144.13300000000001</v>
      </c>
      <c r="AC145" s="170">
        <v>-1.6269396631159929</v>
      </c>
    </row>
    <row r="146" spans="1:29" x14ac:dyDescent="0.2">
      <c r="A146" s="2" t="s">
        <v>351</v>
      </c>
      <c r="B146" s="2" t="s">
        <v>351</v>
      </c>
      <c r="C146" s="1" t="s">
        <v>352</v>
      </c>
      <c r="D146" s="2" t="s">
        <v>505</v>
      </c>
      <c r="E146" s="2">
        <v>418.06700000000001</v>
      </c>
      <c r="F146" s="2">
        <v>290.68</v>
      </c>
      <c r="G146" s="36">
        <v>227.297</v>
      </c>
      <c r="H146" s="2">
        <v>231.34999999999997</v>
      </c>
      <c r="I146" s="2">
        <v>233.3</v>
      </c>
      <c r="J146" s="173">
        <v>1.2564512643181329</v>
      </c>
      <c r="K146" s="173">
        <v>1.2459494213459066</v>
      </c>
      <c r="L146" s="171">
        <f t="shared" si="2"/>
        <v>1.7831295617627901E-2</v>
      </c>
      <c r="M146" s="180">
        <v>8.4287875513293642E-3</v>
      </c>
      <c r="N146" s="2">
        <v>179.79799935913087</v>
      </c>
      <c r="O146" s="176">
        <v>0.77716878910365639</v>
      </c>
      <c r="P146" s="2">
        <v>62.991</v>
      </c>
      <c r="Q146" s="183">
        <v>0.27227577263885894</v>
      </c>
      <c r="R146" s="2">
        <v>101.36</v>
      </c>
      <c r="S146" s="183">
        <v>0.43812405446293501</v>
      </c>
      <c r="T146" s="2">
        <v>28.132000000000001</v>
      </c>
      <c r="U146" s="183">
        <v>0.1215993084071753</v>
      </c>
      <c r="V146" s="2">
        <v>-9.2555696202529987</v>
      </c>
      <c r="W146" s="2">
        <v>8.7000000000000011</v>
      </c>
      <c r="X146" s="183">
        <v>-4.0006784613153233E-2</v>
      </c>
      <c r="Y146" s="36" t="s">
        <v>480</v>
      </c>
      <c r="Z146" s="36">
        <v>46.567</v>
      </c>
      <c r="AA146" s="2">
        <v>-19.502000000000002</v>
      </c>
      <c r="AB146" s="2">
        <v>-0.72199999999999998</v>
      </c>
      <c r="AC146" s="170">
        <v>-8.4296520423600627E-2</v>
      </c>
    </row>
    <row r="147" spans="1:29" x14ac:dyDescent="0.2">
      <c r="A147" s="2" t="s">
        <v>353</v>
      </c>
      <c r="B147" s="2" t="s">
        <v>353</v>
      </c>
      <c r="C147" s="1" t="s">
        <v>354</v>
      </c>
      <c r="D147" s="87" t="s">
        <v>495</v>
      </c>
      <c r="E147" s="87">
        <v>403.09989999999999</v>
      </c>
      <c r="F147" s="87">
        <v>388.22890000000001</v>
      </c>
      <c r="G147" s="36">
        <v>15.507</v>
      </c>
      <c r="H147" s="87">
        <v>29.199000000000002</v>
      </c>
      <c r="I147" s="87">
        <v>39.658999999999999</v>
      </c>
      <c r="J147" s="173">
        <v>13.295965615260796</v>
      </c>
      <c r="K147" s="173">
        <v>9.7891752187397572</v>
      </c>
      <c r="L147" s="171">
        <f t="shared" si="2"/>
        <v>0.88295608434900386</v>
      </c>
      <c r="M147" s="179">
        <v>0.35823144628240677</v>
      </c>
      <c r="N147" s="87">
        <v>15.933999778747559</v>
      </c>
      <c r="O147" s="176">
        <v>0.54570361240958798</v>
      </c>
      <c r="P147" s="87">
        <v>4.1589999999999998</v>
      </c>
      <c r="Q147" s="183">
        <v>0.14243638480769888</v>
      </c>
      <c r="R147" s="87">
        <v>6.1790000000000003</v>
      </c>
      <c r="S147" s="183">
        <v>0.2116168361930203</v>
      </c>
      <c r="T147" s="87">
        <v>5.5949999999999998</v>
      </c>
      <c r="U147" s="183">
        <v>0.19161615123805609</v>
      </c>
      <c r="V147" s="87">
        <v>0.91400000000000003</v>
      </c>
      <c r="W147" s="87">
        <v>6.827</v>
      </c>
      <c r="X147" s="183">
        <v>3.130244186444741E-2</v>
      </c>
      <c r="Y147" s="36">
        <v>-10.175999999999998</v>
      </c>
      <c r="Z147" s="36">
        <v>19.567</v>
      </c>
      <c r="AA147" s="87">
        <v>-4.5880099999999997</v>
      </c>
      <c r="AB147" s="87">
        <v>0.89500000000000002</v>
      </c>
      <c r="AC147" s="170">
        <v>-0.15712901126750914</v>
      </c>
    </row>
    <row r="148" spans="1:29" x14ac:dyDescent="0.2">
      <c r="A148" s="2" t="s">
        <v>355</v>
      </c>
      <c r="B148" s="2" t="s">
        <v>355</v>
      </c>
      <c r="C148" s="1" t="s">
        <v>356</v>
      </c>
      <c r="D148" s="87" t="s">
        <v>495</v>
      </c>
      <c r="E148" s="87">
        <v>401.76179999999999</v>
      </c>
      <c r="F148" s="87">
        <v>374.9058</v>
      </c>
      <c r="G148" s="36">
        <v>201.64599999999999</v>
      </c>
      <c r="H148" s="87">
        <v>271.697</v>
      </c>
      <c r="I148" s="87">
        <v>301</v>
      </c>
      <c r="J148" s="173">
        <v>1.3798672786228776</v>
      </c>
      <c r="K148" s="173">
        <v>1.245534219269103</v>
      </c>
      <c r="L148" s="171">
        <f t="shared" si="2"/>
        <v>0.3473959314838877</v>
      </c>
      <c r="M148" s="179">
        <v>0.10785176133707775</v>
      </c>
      <c r="N148" s="87">
        <v>87.58700073242187</v>
      </c>
      <c r="O148" s="176">
        <v>0.32237014296227734</v>
      </c>
      <c r="P148" s="87">
        <v>6.9419999999999993</v>
      </c>
      <c r="Q148" s="183">
        <v>2.5550521352830539E-2</v>
      </c>
      <c r="R148" s="87">
        <v>27.244</v>
      </c>
      <c r="S148" s="183">
        <v>0.10027346639823038</v>
      </c>
      <c r="T148" s="87">
        <v>22.837</v>
      </c>
      <c r="U148" s="183">
        <v>8.4053191606826727E-2</v>
      </c>
      <c r="V148" s="87">
        <v>41.933999999999997</v>
      </c>
      <c r="W148" s="87" t="s">
        <v>480</v>
      </c>
      <c r="X148" s="183">
        <v>0.15434104903624257</v>
      </c>
      <c r="Y148" s="36">
        <v>23.638000000000002</v>
      </c>
      <c r="Z148" s="36">
        <v>76.075999999999993</v>
      </c>
      <c r="AA148" s="87">
        <v>18.194142797403998</v>
      </c>
      <c r="AB148" s="87">
        <v>29.25</v>
      </c>
      <c r="AC148" s="170">
        <v>6.6964827721336634E-2</v>
      </c>
    </row>
    <row r="149" spans="1:29" x14ac:dyDescent="0.2">
      <c r="A149" s="2" t="s">
        <v>361</v>
      </c>
      <c r="B149" s="2" t="s">
        <v>361</v>
      </c>
      <c r="C149" s="1" t="s">
        <v>362</v>
      </c>
      <c r="D149" s="87" t="s">
        <v>495</v>
      </c>
      <c r="E149" s="87">
        <v>362.9982</v>
      </c>
      <c r="F149" s="87">
        <v>328.06920000000002</v>
      </c>
      <c r="G149" s="36">
        <v>120.366</v>
      </c>
      <c r="H149" s="87">
        <v>127.502</v>
      </c>
      <c r="I149" s="87">
        <v>144.80000000000001</v>
      </c>
      <c r="J149" s="173">
        <v>2.5730514031152456</v>
      </c>
      <c r="K149" s="173">
        <v>2.265671270718232</v>
      </c>
      <c r="L149" s="171">
        <f t="shared" si="2"/>
        <v>5.9285844839904921E-2</v>
      </c>
      <c r="M149" s="179">
        <v>0.13566846010258682</v>
      </c>
      <c r="N149" s="87">
        <v>65.636000694274898</v>
      </c>
      <c r="O149" s="176">
        <v>0.51478408726353231</v>
      </c>
      <c r="P149" s="87">
        <v>27.936</v>
      </c>
      <c r="Q149" s="183">
        <v>0.21910244545183605</v>
      </c>
      <c r="R149" s="87">
        <v>18.074999999999999</v>
      </c>
      <c r="S149" s="183">
        <v>0.14176248215714263</v>
      </c>
      <c r="T149" s="87">
        <v>24.027999999999999</v>
      </c>
      <c r="U149" s="183">
        <v>0.18845194585182978</v>
      </c>
      <c r="V149" s="87">
        <v>6.6750000000000007</v>
      </c>
      <c r="W149" s="87">
        <v>4.774</v>
      </c>
      <c r="X149" s="183">
        <v>5.2352119966745631E-2</v>
      </c>
      <c r="Y149" s="36">
        <v>-4.2229999999999999</v>
      </c>
      <c r="Z149" s="36">
        <v>39.942999999999998</v>
      </c>
      <c r="AA149" s="87">
        <v>-5.3883799999999997</v>
      </c>
      <c r="AB149" s="87">
        <v>-19.580000000000002</v>
      </c>
      <c r="AC149" s="170">
        <v>-4.2261141001709773E-2</v>
      </c>
    </row>
    <row r="150" spans="1:29" x14ac:dyDescent="0.2">
      <c r="A150" s="2" t="s">
        <v>363</v>
      </c>
      <c r="B150" s="2" t="s">
        <v>363</v>
      </c>
      <c r="C150" s="1" t="s">
        <v>364</v>
      </c>
      <c r="D150" s="87" t="s">
        <v>495</v>
      </c>
      <c r="E150" s="87">
        <v>349.85969999999998</v>
      </c>
      <c r="F150" s="87">
        <v>265.0127</v>
      </c>
      <c r="G150" s="36">
        <v>113.889</v>
      </c>
      <c r="H150" s="87">
        <v>113.21600000000001</v>
      </c>
      <c r="I150" s="87">
        <v>120.10000000000001</v>
      </c>
      <c r="J150" s="173">
        <v>2.3407707391181458</v>
      </c>
      <c r="K150" s="173">
        <v>2.2066003330557868</v>
      </c>
      <c r="L150" s="171">
        <f t="shared" si="2"/>
        <v>-5.9092625275486447E-3</v>
      </c>
      <c r="M150" s="179">
        <v>6.0804126625211952E-2</v>
      </c>
      <c r="N150" s="87">
        <v>61.229999687194827</v>
      </c>
      <c r="O150" s="176">
        <v>0.5408246156655846</v>
      </c>
      <c r="P150" s="87">
        <v>11.876999999999999</v>
      </c>
      <c r="Q150" s="183">
        <v>0.1049056670435274</v>
      </c>
      <c r="R150" s="87">
        <v>20.658000000000001</v>
      </c>
      <c r="S150" s="183">
        <v>0.18246537591859807</v>
      </c>
      <c r="T150" s="87">
        <v>16.056999999999999</v>
      </c>
      <c r="U150" s="183">
        <v>0.14182624364047483</v>
      </c>
      <c r="V150" s="87">
        <v>16.959000000000003</v>
      </c>
      <c r="W150" s="87">
        <v>17.72</v>
      </c>
      <c r="X150" s="183">
        <v>0.14979331543244773</v>
      </c>
      <c r="Y150" s="36">
        <v>8.9260000000000019</v>
      </c>
      <c r="Z150" s="36">
        <v>52.793999999999997</v>
      </c>
      <c r="AA150" s="87">
        <v>9.6010000000000009</v>
      </c>
      <c r="AB150" s="87">
        <v>9.89</v>
      </c>
      <c r="AC150" s="170">
        <v>8.4802501413227815E-2</v>
      </c>
    </row>
    <row r="151" spans="1:29" x14ac:dyDescent="0.2">
      <c r="A151" s="2" t="s">
        <v>365</v>
      </c>
      <c r="B151" s="2" t="s">
        <v>365</v>
      </c>
      <c r="C151" s="1" t="s">
        <v>366</v>
      </c>
      <c r="D151" s="2" t="s">
        <v>505</v>
      </c>
      <c r="E151" s="2">
        <v>319.524</v>
      </c>
      <c r="F151" s="2">
        <v>304.52499999999998</v>
      </c>
      <c r="G151" s="36">
        <v>54.494</v>
      </c>
      <c r="H151" s="2">
        <v>72.800999999999988</v>
      </c>
      <c r="I151" s="2">
        <v>86.84</v>
      </c>
      <c r="J151" s="173">
        <v>4.1829782557931896</v>
      </c>
      <c r="K151" s="173">
        <v>3.5067365269461073</v>
      </c>
      <c r="L151" s="171">
        <f t="shared" si="2"/>
        <v>0.33594524167798268</v>
      </c>
      <c r="M151" s="180">
        <v>0.19284075768190023</v>
      </c>
      <c r="N151" s="2">
        <v>62.064999832153319</v>
      </c>
      <c r="O151" s="176">
        <v>0.85252949591562377</v>
      </c>
      <c r="P151" s="2">
        <v>14.01</v>
      </c>
      <c r="Q151" s="183">
        <v>0.1924424115053365</v>
      </c>
      <c r="R151" s="2">
        <v>35.893000000000001</v>
      </c>
      <c r="S151" s="183">
        <v>0.49302894191013868</v>
      </c>
      <c r="T151" s="2">
        <v>5.1959999999999997</v>
      </c>
      <c r="U151" s="183">
        <v>7.137264598013765E-2</v>
      </c>
      <c r="V151" s="2">
        <v>3.6139999999999999</v>
      </c>
      <c r="W151" s="2">
        <v>7.8500000000000005</v>
      </c>
      <c r="X151" s="183">
        <v>4.9642175244845543E-2</v>
      </c>
      <c r="Y151" s="36">
        <v>6.4489999999999998</v>
      </c>
      <c r="Z151" s="36">
        <v>29.087</v>
      </c>
      <c r="AA151" s="2">
        <v>-1.5870000000000002</v>
      </c>
      <c r="AB151" s="2">
        <v>5.758</v>
      </c>
      <c r="AC151" s="170">
        <v>-2.1799151110561674E-2</v>
      </c>
    </row>
    <row r="152" spans="1:29" x14ac:dyDescent="0.2">
      <c r="A152" s="2" t="s">
        <v>367</v>
      </c>
      <c r="B152" s="2" t="s">
        <v>367</v>
      </c>
      <c r="C152" s="1" t="s">
        <v>368</v>
      </c>
      <c r="D152" s="87" t="s">
        <v>495</v>
      </c>
      <c r="E152" s="87">
        <v>318.11509999999998</v>
      </c>
      <c r="F152" s="87">
        <v>268.75810000000001</v>
      </c>
      <c r="G152" s="36">
        <v>113.2</v>
      </c>
      <c r="H152" s="87">
        <v>128.30699999999999</v>
      </c>
      <c r="I152" s="87">
        <v>134.50399999999999</v>
      </c>
      <c r="J152" s="173">
        <v>2.094648772085701</v>
      </c>
      <c r="K152" s="173">
        <v>1.9981420626895856</v>
      </c>
      <c r="L152" s="171">
        <f t="shared" si="2"/>
        <v>0.13345406360424014</v>
      </c>
      <c r="M152" s="179">
        <v>4.8298222232614041E-2</v>
      </c>
      <c r="N152" s="87">
        <v>101.39099937438965</v>
      </c>
      <c r="O152" s="176">
        <v>0.79022188481056888</v>
      </c>
      <c r="P152" s="87">
        <v>21.867999999999999</v>
      </c>
      <c r="Q152" s="183">
        <v>0.17043497237095404</v>
      </c>
      <c r="R152" s="87">
        <v>63.494999999999997</v>
      </c>
      <c r="S152" s="183">
        <v>0.49486777806355076</v>
      </c>
      <c r="T152" s="87">
        <v>27.8</v>
      </c>
      <c r="U152" s="183">
        <v>0.21666783573772283</v>
      </c>
      <c r="V152" s="87">
        <v>-4.3410000000000002</v>
      </c>
      <c r="W152" s="87">
        <v>8.4990000000000006</v>
      </c>
      <c r="X152" s="183">
        <v>-3.383291636465665E-2</v>
      </c>
      <c r="Y152" s="36">
        <v>-1.6390000000000005</v>
      </c>
      <c r="Z152" s="36">
        <v>53.421999999999997</v>
      </c>
      <c r="AA152" s="87">
        <v>-10.436999999999999</v>
      </c>
      <c r="AB152" s="87">
        <v>1.6480000000000001</v>
      </c>
      <c r="AC152" s="170">
        <v>-8.1343964086137158E-2</v>
      </c>
    </row>
    <row r="153" spans="1:29" x14ac:dyDescent="0.2">
      <c r="A153" s="2" t="s">
        <v>369</v>
      </c>
      <c r="B153" s="2" t="s">
        <v>369</v>
      </c>
      <c r="C153" s="1" t="s">
        <v>370</v>
      </c>
      <c r="D153" s="87" t="s">
        <v>495</v>
      </c>
      <c r="E153" s="87">
        <v>323.1626</v>
      </c>
      <c r="F153" s="87">
        <v>305.15159999999997</v>
      </c>
      <c r="G153" s="36">
        <v>34.701000000000001</v>
      </c>
      <c r="H153" s="87">
        <v>55.426000000000002</v>
      </c>
      <c r="I153" s="87">
        <v>77.417000000000002</v>
      </c>
      <c r="J153" s="173">
        <v>5.505567784072456</v>
      </c>
      <c r="K153" s="173">
        <v>3.9416613922006789</v>
      </c>
      <c r="L153" s="171">
        <f t="shared" si="2"/>
        <v>0.5972450361661048</v>
      </c>
      <c r="M153" s="179">
        <v>0.39676325190343875</v>
      </c>
      <c r="N153" s="87">
        <v>48.276000267028806</v>
      </c>
      <c r="O153" s="176">
        <v>0.87099917488234413</v>
      </c>
      <c r="P153" s="87">
        <v>10.43</v>
      </c>
      <c r="Q153" s="183">
        <v>0.1881788330386461</v>
      </c>
      <c r="R153" s="87">
        <v>14.484</v>
      </c>
      <c r="S153" s="183">
        <v>0.2613214015083174</v>
      </c>
      <c r="T153" s="87">
        <v>11.31</v>
      </c>
      <c r="U153" s="183">
        <v>0.20405585826146574</v>
      </c>
      <c r="V153" s="87">
        <v>6.4513846153849999</v>
      </c>
      <c r="W153" s="87">
        <v>11.295</v>
      </c>
      <c r="X153" s="183">
        <v>0.11639635938702053</v>
      </c>
      <c r="Y153" s="36">
        <v>4.0730000000000004</v>
      </c>
      <c r="Z153" s="36">
        <v>9.0860000000000003</v>
      </c>
      <c r="AA153" s="87">
        <v>2.9750000000000001</v>
      </c>
      <c r="AB153" s="87">
        <v>12.266</v>
      </c>
      <c r="AC153" s="170">
        <v>5.3675170497600407E-2</v>
      </c>
    </row>
    <row r="154" spans="1:29" x14ac:dyDescent="0.2">
      <c r="A154" s="2" t="s">
        <v>371</v>
      </c>
      <c r="B154" s="2" t="s">
        <v>371</v>
      </c>
      <c r="C154" s="1" t="s">
        <v>372</v>
      </c>
      <c r="D154" s="87" t="s">
        <v>495</v>
      </c>
      <c r="E154" s="87">
        <v>311.74180000000001</v>
      </c>
      <c r="F154" s="87">
        <v>255.0078</v>
      </c>
      <c r="G154" s="36">
        <v>21.792999999999999</v>
      </c>
      <c r="H154" s="87">
        <v>24.585999999999999</v>
      </c>
      <c r="I154" s="87">
        <v>25.216999999999999</v>
      </c>
      <c r="J154" s="173">
        <v>10.372073537785733</v>
      </c>
      <c r="K154" s="173">
        <v>10.11253519451164</v>
      </c>
      <c r="L154" s="171">
        <f t="shared" si="2"/>
        <v>0.12816041848299911</v>
      </c>
      <c r="M154" s="179">
        <v>2.5665012608801829E-2</v>
      </c>
      <c r="N154" s="87">
        <v>16.067000110626221</v>
      </c>
      <c r="O154" s="176">
        <v>0.6535019975037103</v>
      </c>
      <c r="P154" s="87">
        <v>15.434999999999999</v>
      </c>
      <c r="Q154" s="183">
        <v>0.62779630684129173</v>
      </c>
      <c r="R154" s="87">
        <v>16.635999999999999</v>
      </c>
      <c r="S154" s="183">
        <v>0.67664524526153091</v>
      </c>
      <c r="T154" s="87">
        <v>9.68</v>
      </c>
      <c r="U154" s="183">
        <v>0.39372000325388434</v>
      </c>
      <c r="V154" s="87">
        <v>-27.398</v>
      </c>
      <c r="W154" s="87">
        <v>-25.55</v>
      </c>
      <c r="X154" s="183">
        <v>-1.1143740340030912</v>
      </c>
      <c r="Y154" s="36">
        <v>-21.484000000000002</v>
      </c>
      <c r="Z154" s="36">
        <v>40.823</v>
      </c>
      <c r="AA154" s="87">
        <v>-28.759999999999998</v>
      </c>
      <c r="AB154" s="87">
        <v>-32.21</v>
      </c>
      <c r="AC154" s="170">
        <v>-1.1697714146262099</v>
      </c>
    </row>
    <row r="155" spans="1:29" x14ac:dyDescent="0.2">
      <c r="A155" s="2" t="s">
        <v>383</v>
      </c>
      <c r="B155" s="2" t="s">
        <v>383</v>
      </c>
      <c r="C155" s="1" t="s">
        <v>384</v>
      </c>
      <c r="D155" s="87" t="s">
        <v>495</v>
      </c>
      <c r="E155" s="87">
        <v>245.4846</v>
      </c>
      <c r="F155" s="87">
        <v>259.96980000000002</v>
      </c>
      <c r="G155" s="36">
        <v>73.161190000000005</v>
      </c>
      <c r="H155" s="87">
        <v>81.967006999999995</v>
      </c>
      <c r="I155" s="87">
        <v>89.275000000000006</v>
      </c>
      <c r="J155" s="173">
        <v>3.1716395354047759</v>
      </c>
      <c r="K155" s="173">
        <v>2.9120112013441615</v>
      </c>
      <c r="L155" s="171">
        <f t="shared" si="2"/>
        <v>0.12036186125458033</v>
      </c>
      <c r="M155" s="179">
        <v>8.9157738796050046E-2</v>
      </c>
      <c r="N155" s="87">
        <v>44.329346749023436</v>
      </c>
      <c r="O155" s="176">
        <v>0.54081939028252479</v>
      </c>
      <c r="P155" s="87">
        <v>14.941393999999999</v>
      </c>
      <c r="Q155" s="183">
        <v>0.18228546517503072</v>
      </c>
      <c r="R155" s="87">
        <v>22.526534999999999</v>
      </c>
      <c r="S155" s="183">
        <v>0.27482441807348168</v>
      </c>
      <c r="T155" s="87">
        <v>15.263297</v>
      </c>
      <c r="U155" s="183">
        <v>0.18621269165043444</v>
      </c>
      <c r="V155" s="87">
        <v>-4.3256870000000003</v>
      </c>
      <c r="W155" s="87">
        <v>3.93</v>
      </c>
      <c r="X155" s="183">
        <v>-5.2773514104278572E-2</v>
      </c>
      <c r="Y155" s="36">
        <v>3.9441799999999998</v>
      </c>
      <c r="Z155" s="36">
        <v>9.3606009999999991</v>
      </c>
      <c r="AA155" s="87">
        <v>-10.418129</v>
      </c>
      <c r="AB155" s="87">
        <v>-3.863</v>
      </c>
      <c r="AC155" s="170">
        <v>-0.12710149340941534</v>
      </c>
    </row>
    <row r="156" spans="1:29" x14ac:dyDescent="0.2">
      <c r="A156" s="2" t="s">
        <v>385</v>
      </c>
      <c r="B156" s="2" t="s">
        <v>385</v>
      </c>
      <c r="C156" s="1" t="s">
        <v>386</v>
      </c>
      <c r="D156" s="2" t="s">
        <v>505</v>
      </c>
      <c r="E156" s="2">
        <v>240.55779999999999</v>
      </c>
      <c r="F156" s="2">
        <v>205.81890000000001</v>
      </c>
      <c r="G156" s="36">
        <v>88.798507999999998</v>
      </c>
      <c r="H156" s="2">
        <v>93.621832000000012</v>
      </c>
      <c r="I156" s="2">
        <v>97.92</v>
      </c>
      <c r="J156" s="173">
        <v>2.1984070980367059</v>
      </c>
      <c r="K156" s="173">
        <v>2.1019087009803923</v>
      </c>
      <c r="L156" s="171">
        <f t="shared" si="2"/>
        <v>5.4317624345670466E-2</v>
      </c>
      <c r="M156" s="180">
        <v>4.5909889906875501E-2</v>
      </c>
      <c r="N156" s="2">
        <v>79.795185569702141</v>
      </c>
      <c r="O156" s="176">
        <v>0.85231386595492098</v>
      </c>
      <c r="P156" s="2">
        <v>20.054991999999999</v>
      </c>
      <c r="Q156" s="183">
        <v>0.21421277037176539</v>
      </c>
      <c r="R156" s="2">
        <v>40.912472999999999</v>
      </c>
      <c r="S156" s="183">
        <v>0.43699714186323541</v>
      </c>
      <c r="T156" s="2">
        <v>12.358472000000001</v>
      </c>
      <c r="U156" s="183">
        <v>0.13200416757493058</v>
      </c>
      <c r="V156" s="2">
        <v>18.034611999999999</v>
      </c>
      <c r="W156" s="2">
        <v>13.647</v>
      </c>
      <c r="X156" s="183">
        <v>0.19263254750238168</v>
      </c>
      <c r="Y156" s="36">
        <v>11.063756</v>
      </c>
      <c r="Z156" s="36">
        <v>33.956987999999996</v>
      </c>
      <c r="AA156" s="2">
        <v>5.1388267800000005</v>
      </c>
      <c r="AB156" s="2">
        <v>4.2549999999999999</v>
      </c>
      <c r="AC156" s="170">
        <v>5.4889192725901793E-2</v>
      </c>
    </row>
    <row r="157" spans="1:29" x14ac:dyDescent="0.2">
      <c r="A157" s="2" t="s">
        <v>391</v>
      </c>
      <c r="B157" s="2" t="s">
        <v>391</v>
      </c>
      <c r="C157" s="1" t="s">
        <v>392</v>
      </c>
      <c r="D157" s="2" t="s">
        <v>505</v>
      </c>
      <c r="E157" s="2">
        <v>223.01750000000001</v>
      </c>
      <c r="F157" s="2">
        <v>117.0865</v>
      </c>
      <c r="G157" s="36">
        <v>90.369</v>
      </c>
      <c r="H157" s="2">
        <v>88.789999999999992</v>
      </c>
      <c r="I157" s="2">
        <v>99.167000000000002</v>
      </c>
      <c r="J157" s="173">
        <v>1.3186901678116907</v>
      </c>
      <c r="K157" s="173">
        <v>1.1807002329403935</v>
      </c>
      <c r="L157" s="171">
        <f t="shared" si="2"/>
        <v>-1.7472805940090159E-2</v>
      </c>
      <c r="M157" s="180">
        <v>0.11687126928708191</v>
      </c>
      <c r="N157" s="2">
        <v>60.490999809265134</v>
      </c>
      <c r="O157" s="176">
        <v>0.68128167371624215</v>
      </c>
      <c r="P157" s="2">
        <v>21.852</v>
      </c>
      <c r="Q157" s="183">
        <v>0.24610879603558961</v>
      </c>
      <c r="R157" s="2">
        <v>38.316000000000003</v>
      </c>
      <c r="S157" s="183">
        <v>0.43153508277959235</v>
      </c>
      <c r="T157" s="2">
        <v>10.696</v>
      </c>
      <c r="U157" s="183">
        <v>0.12046401621804258</v>
      </c>
      <c r="V157" s="2">
        <v>-8.6230000000000011</v>
      </c>
      <c r="W157" s="2">
        <v>-3.14</v>
      </c>
      <c r="X157" s="183">
        <v>-9.7116792431580154E-2</v>
      </c>
      <c r="Y157" s="36">
        <v>-1.4709999999999999</v>
      </c>
      <c r="Z157" s="36">
        <v>15.341999999999999</v>
      </c>
      <c r="AA157" s="2">
        <v>-12.355</v>
      </c>
      <c r="AB157" s="2">
        <v>-4.6749999999999998</v>
      </c>
      <c r="AC157" s="170">
        <v>-0.13914855276495103</v>
      </c>
    </row>
    <row r="158" spans="1:29" x14ac:dyDescent="0.2">
      <c r="A158" s="2" t="s">
        <v>393</v>
      </c>
      <c r="B158" s="2" t="s">
        <v>393</v>
      </c>
      <c r="C158" s="1" t="s">
        <v>394</v>
      </c>
      <c r="D158" s="2" t="s">
        <v>506</v>
      </c>
      <c r="E158" s="2">
        <v>210.8604</v>
      </c>
      <c r="F158" s="2">
        <v>241.44040000000001</v>
      </c>
      <c r="G158" s="36">
        <v>307.2</v>
      </c>
      <c r="H158" s="2">
        <v>267.303</v>
      </c>
      <c r="I158" s="2">
        <v>263</v>
      </c>
      <c r="J158" s="173">
        <v>0.90324612892485312</v>
      </c>
      <c r="K158" s="173">
        <v>0.91802433460076049</v>
      </c>
      <c r="L158" s="171">
        <f t="shared" si="2"/>
        <v>-0.12987304687499998</v>
      </c>
      <c r="M158" s="180">
        <v>-1.6097836537562249E-2</v>
      </c>
      <c r="N158" s="2">
        <v>24.043999839782714</v>
      </c>
      <c r="O158" s="176">
        <v>8.9950355363698553E-2</v>
      </c>
      <c r="P158" s="2">
        <v>0</v>
      </c>
      <c r="Q158" s="183">
        <v>0</v>
      </c>
      <c r="R158" s="2" t="s">
        <v>480</v>
      </c>
      <c r="S158" s="183" t="e">
        <v>#VALUE!</v>
      </c>
      <c r="T158" s="2" t="s">
        <v>480</v>
      </c>
      <c r="U158" s="183" t="e">
        <v>#VALUE!</v>
      </c>
      <c r="V158" s="2">
        <v>2.218</v>
      </c>
      <c r="W158" s="2">
        <v>2.5300000000000002</v>
      </c>
      <c r="X158" s="183">
        <v>8.2976996142953875E-3</v>
      </c>
      <c r="Y158" s="36">
        <v>-8.641</v>
      </c>
      <c r="Z158" s="36">
        <v>1.456</v>
      </c>
      <c r="AA158" s="2">
        <v>-11.090780000000002</v>
      </c>
      <c r="AB158" s="2">
        <v>-16</v>
      </c>
      <c r="AC158" s="170">
        <v>-4.149141610831155E-2</v>
      </c>
    </row>
    <row r="159" spans="1:29" x14ac:dyDescent="0.2">
      <c r="A159" s="2" t="s">
        <v>395</v>
      </c>
      <c r="B159" s="2" t="s">
        <v>395</v>
      </c>
      <c r="C159" s="1" t="s">
        <v>396</v>
      </c>
      <c r="D159" s="87" t="s">
        <v>495</v>
      </c>
      <c r="E159" s="87">
        <v>200.37180000000001</v>
      </c>
      <c r="F159" s="87">
        <v>198.11580000000001</v>
      </c>
      <c r="G159" s="36">
        <v>69.375</v>
      </c>
      <c r="H159" s="87">
        <v>61.307000000000002</v>
      </c>
      <c r="I159" s="87">
        <v>66.075000000000003</v>
      </c>
      <c r="J159" s="173">
        <v>3.2315363661572087</v>
      </c>
      <c r="K159" s="173">
        <v>2.9983473325766177</v>
      </c>
      <c r="L159" s="171">
        <f t="shared" si="2"/>
        <v>-0.11629549549549546</v>
      </c>
      <c r="M159" s="179">
        <v>7.7772521897988778E-2</v>
      </c>
      <c r="N159" s="87">
        <v>38.971000602722171</v>
      </c>
      <c r="O159" s="176">
        <v>0.63566967234935934</v>
      </c>
      <c r="P159" s="87">
        <v>14.710999999999999</v>
      </c>
      <c r="Q159" s="183">
        <v>0.23995628557913448</v>
      </c>
      <c r="R159" s="87">
        <v>17.681000000000001</v>
      </c>
      <c r="S159" s="183">
        <v>0.28840099825468546</v>
      </c>
      <c r="T159" s="87">
        <v>7.5670000000000002</v>
      </c>
      <c r="U159" s="183">
        <v>0.12342799354070498</v>
      </c>
      <c r="V159" s="87">
        <v>1.6520000000000001</v>
      </c>
      <c r="W159" s="87">
        <v>3.4729999999999999</v>
      </c>
      <c r="X159" s="183">
        <v>2.6946351966333371E-2</v>
      </c>
      <c r="Y159" s="36">
        <v>3.7540000000000004</v>
      </c>
      <c r="Z159" s="36">
        <v>11.497999999999999</v>
      </c>
      <c r="AA159" s="87">
        <v>-1.9897</v>
      </c>
      <c r="AB159" s="87">
        <v>8.7000000000000008E-2</v>
      </c>
      <c r="AC159" s="170">
        <v>-3.2454695222405273E-2</v>
      </c>
    </row>
    <row r="160" spans="1:29" x14ac:dyDescent="0.2">
      <c r="A160" s="2" t="s">
        <v>397</v>
      </c>
      <c r="B160" s="2" t="s">
        <v>397</v>
      </c>
      <c r="C160" s="1" t="s">
        <v>398</v>
      </c>
      <c r="D160" s="87" t="s">
        <v>495</v>
      </c>
      <c r="E160" s="87">
        <v>213.11680000000001</v>
      </c>
      <c r="F160" s="87">
        <v>128.17080000000001</v>
      </c>
      <c r="G160" s="36">
        <v>183.346</v>
      </c>
      <c r="H160" s="87">
        <v>106.17999999999999</v>
      </c>
      <c r="I160" s="87">
        <v>222.333</v>
      </c>
      <c r="J160" s="173">
        <v>1.2071086833678661</v>
      </c>
      <c r="K160" s="173">
        <v>0.57648122410978131</v>
      </c>
      <c r="L160" s="171">
        <f t="shared" si="2"/>
        <v>-0.4208763758140347</v>
      </c>
      <c r="M160" s="179">
        <v>1.0939254096816726</v>
      </c>
      <c r="N160" s="87">
        <v>43.949999134063717</v>
      </c>
      <c r="O160" s="176">
        <v>0.41391975074461967</v>
      </c>
      <c r="P160" s="87">
        <v>87.488</v>
      </c>
      <c r="Q160" s="183">
        <v>0.82395931437182146</v>
      </c>
      <c r="R160" s="87">
        <v>20.748000000000001</v>
      </c>
      <c r="S160" s="183">
        <v>0.19540403089093994</v>
      </c>
      <c r="T160" s="87">
        <v>21.562000000000001</v>
      </c>
      <c r="U160" s="183">
        <v>0.20307025805236392</v>
      </c>
      <c r="V160" s="87">
        <v>-82.265000000000001</v>
      </c>
      <c r="W160" s="87">
        <v>-24.923000000000002</v>
      </c>
      <c r="X160" s="183">
        <v>-0.77476925974759847</v>
      </c>
      <c r="Y160" s="36">
        <v>-7.963000000000001</v>
      </c>
      <c r="Z160" s="36">
        <v>17.117000000000001</v>
      </c>
      <c r="AA160" s="87">
        <v>-86.175290000000004</v>
      </c>
      <c r="AB160" s="87">
        <v>-33.910000000000004</v>
      </c>
      <c r="AC160" s="170">
        <v>-0.81159625164814475</v>
      </c>
    </row>
    <row r="161" spans="1:29" x14ac:dyDescent="0.2">
      <c r="A161" s="2" t="s">
        <v>399</v>
      </c>
      <c r="B161" s="2" t="s">
        <v>399</v>
      </c>
      <c r="C161" s="1" t="s">
        <v>400</v>
      </c>
      <c r="D161" s="87" t="s">
        <v>495</v>
      </c>
      <c r="E161" s="87">
        <v>193.33240000000001</v>
      </c>
      <c r="F161" s="87">
        <v>194.5496</v>
      </c>
      <c r="G161" s="36">
        <v>400.25900000000001</v>
      </c>
      <c r="H161" s="87">
        <v>77.324254925706967</v>
      </c>
      <c r="I161" s="87">
        <v>93.373000000000005</v>
      </c>
      <c r="J161" s="173">
        <v>2.5160229501974896</v>
      </c>
      <c r="K161" s="173">
        <v>2.0835744808456407</v>
      </c>
      <c r="L161" s="171">
        <f t="shared" si="2"/>
        <v>-0.80681445032914445</v>
      </c>
      <c r="M161" s="179">
        <v>0.20755124106546718</v>
      </c>
      <c r="N161" s="87">
        <v>65.752319670119391</v>
      </c>
      <c r="O161" s="176">
        <v>0.8503453377377399</v>
      </c>
      <c r="P161" s="87">
        <v>23.226824863907463</v>
      </c>
      <c r="Q161" s="183">
        <v>0.30038213606097808</v>
      </c>
      <c r="R161" s="87">
        <v>21.908126817776814</v>
      </c>
      <c r="S161" s="183">
        <v>0.28332800411495862</v>
      </c>
      <c r="T161" s="87">
        <v>12.618812398265399</v>
      </c>
      <c r="U161" s="183">
        <v>0.16319345605579436</v>
      </c>
      <c r="V161" s="87">
        <v>-10.102160110826825</v>
      </c>
      <c r="W161" s="87">
        <v>-7.149</v>
      </c>
      <c r="X161" s="183">
        <v>-0.13064671777998982</v>
      </c>
      <c r="Y161" s="36" t="s">
        <v>480</v>
      </c>
      <c r="Z161" s="36">
        <v>524.45399999999995</v>
      </c>
      <c r="AA161" s="87">
        <v>-21.599914824453627</v>
      </c>
      <c r="AB161" s="87">
        <v>-13.758000000000001</v>
      </c>
      <c r="AC161" s="170">
        <v>-0.27934203627576876</v>
      </c>
    </row>
    <row r="162" spans="1:29" x14ac:dyDescent="0.2">
      <c r="A162" s="2" t="s">
        <v>401</v>
      </c>
      <c r="B162" s="2" t="s">
        <v>401</v>
      </c>
      <c r="C162" s="1" t="s">
        <v>402</v>
      </c>
      <c r="D162" s="87" t="s">
        <v>495</v>
      </c>
      <c r="E162" s="87">
        <v>193.80619999999999</v>
      </c>
      <c r="F162" s="87">
        <v>796.41120000000001</v>
      </c>
      <c r="G162" s="36">
        <v>124.65427</v>
      </c>
      <c r="H162" s="87">
        <v>226.47071799999998</v>
      </c>
      <c r="I162" s="87">
        <v>566</v>
      </c>
      <c r="J162" s="173">
        <v>3.5166188681399424</v>
      </c>
      <c r="K162" s="173">
        <v>1.4070869257950531</v>
      </c>
      <c r="L162" s="171">
        <f t="shared" si="2"/>
        <v>0.81679069637967461</v>
      </c>
      <c r="M162" s="179">
        <v>1.4992193472005511</v>
      </c>
      <c r="N162" s="87">
        <v>104.50188414001465</v>
      </c>
      <c r="O162" s="176">
        <v>0.46143662661066259</v>
      </c>
      <c r="P162" s="87">
        <v>0</v>
      </c>
      <c r="Q162" s="183">
        <v>0</v>
      </c>
      <c r="R162" s="87" t="s">
        <v>480</v>
      </c>
      <c r="S162" s="183" t="e">
        <v>#VALUE!</v>
      </c>
      <c r="T162" s="87" t="s">
        <v>480</v>
      </c>
      <c r="U162" s="183" t="e">
        <v>#VALUE!</v>
      </c>
      <c r="V162" s="87">
        <v>45.785221999999997</v>
      </c>
      <c r="W162" s="87">
        <v>127.017</v>
      </c>
      <c r="X162" s="183">
        <v>0.20216839688740687</v>
      </c>
      <c r="Y162" s="36" t="s">
        <v>480</v>
      </c>
      <c r="Z162" s="36">
        <v>2.5303879999999999</v>
      </c>
      <c r="AA162" s="87">
        <v>-20.271996980000001</v>
      </c>
      <c r="AB162" s="87">
        <v>-34.597999999999999</v>
      </c>
      <c r="AC162" s="170">
        <v>-8.9512662648069161E-2</v>
      </c>
    </row>
    <row r="163" spans="1:29" x14ac:dyDescent="0.2">
      <c r="A163" s="2" t="s">
        <v>403</v>
      </c>
      <c r="B163" s="2" t="s">
        <v>403</v>
      </c>
      <c r="C163" s="1" t="s">
        <v>404</v>
      </c>
      <c r="D163" s="2" t="s">
        <v>506</v>
      </c>
      <c r="E163" s="2">
        <v>192.5958</v>
      </c>
      <c r="F163" s="2">
        <v>200.29679999999999</v>
      </c>
      <c r="G163" s="36">
        <v>140.84399999999999</v>
      </c>
      <c r="H163" s="2">
        <v>168.36399999999998</v>
      </c>
      <c r="I163" s="2">
        <v>181.1</v>
      </c>
      <c r="J163" s="173">
        <v>1.1896652491031339</v>
      </c>
      <c r="K163" s="173">
        <v>1.1060011043622309</v>
      </c>
      <c r="L163" s="171">
        <f t="shared" si="2"/>
        <v>0.19539348499048581</v>
      </c>
      <c r="M163" s="180">
        <v>7.5645624955453794E-2</v>
      </c>
      <c r="N163" s="2">
        <v>62.756998718261713</v>
      </c>
      <c r="O163" s="176">
        <v>0.37274594757942148</v>
      </c>
      <c r="P163" s="2">
        <v>0</v>
      </c>
      <c r="Q163" s="183">
        <v>0</v>
      </c>
      <c r="R163" s="2" t="s">
        <v>480</v>
      </c>
      <c r="S163" s="183" t="e">
        <v>#VALUE!</v>
      </c>
      <c r="T163" s="2" t="s">
        <v>480</v>
      </c>
      <c r="U163" s="183" t="e">
        <v>#VALUE!</v>
      </c>
      <c r="V163" s="2">
        <v>16.504999999999999</v>
      </c>
      <c r="W163" s="2">
        <v>24.42</v>
      </c>
      <c r="X163" s="183">
        <v>9.8031645719987653E-2</v>
      </c>
      <c r="Y163" s="36">
        <v>-5.2089999999999996</v>
      </c>
      <c r="Z163" s="36">
        <v>18.823</v>
      </c>
      <c r="AA163" s="2">
        <v>2.1417899999999994</v>
      </c>
      <c r="AB163" s="2">
        <v>2.5569999999999999</v>
      </c>
      <c r="AC163" s="170">
        <v>1.2721187427240977E-2</v>
      </c>
    </row>
    <row r="164" spans="1:29" x14ac:dyDescent="0.2">
      <c r="A164" s="2" t="s">
        <v>405</v>
      </c>
      <c r="B164" s="2" t="s">
        <v>405</v>
      </c>
      <c r="C164" s="1" t="s">
        <v>406</v>
      </c>
      <c r="D164" s="2" t="s">
        <v>506</v>
      </c>
      <c r="E164" s="2">
        <v>181.02850000000001</v>
      </c>
      <c r="F164" s="2">
        <v>162.81110000000001</v>
      </c>
      <c r="G164" s="36">
        <v>0</v>
      </c>
      <c r="H164" s="2">
        <v>8.5688190662573405</v>
      </c>
      <c r="I164" s="2">
        <v>67.894999999999996</v>
      </c>
      <c r="J164" s="173">
        <v>19.000412862155589</v>
      </c>
      <c r="K164" s="173">
        <v>2.3979836512261583</v>
      </c>
      <c r="L164" s="171" t="e">
        <f t="shared" si="2"/>
        <v>#DIV/0!</v>
      </c>
      <c r="M164" s="180">
        <v>6.923495580313956</v>
      </c>
      <c r="N164" s="2">
        <v>2.4821392877652002</v>
      </c>
      <c r="O164" s="176">
        <v>0.2896711050347035</v>
      </c>
      <c r="P164" s="2">
        <v>0</v>
      </c>
      <c r="Q164" s="183">
        <v>0</v>
      </c>
      <c r="R164" s="2" t="s">
        <v>480</v>
      </c>
      <c r="S164" s="183" t="e">
        <v>#VALUE!</v>
      </c>
      <c r="T164" s="2">
        <v>1.0619080464735536E-2</v>
      </c>
      <c r="U164" s="183">
        <v>1.2392700070598761E-3</v>
      </c>
      <c r="V164" s="2">
        <v>4.4655614782134192</v>
      </c>
      <c r="W164" s="2">
        <v>51.715000000000003</v>
      </c>
      <c r="X164" s="183">
        <v>0.52114082975542064</v>
      </c>
      <c r="Y164" s="36" t="s">
        <v>480</v>
      </c>
      <c r="Z164" s="36">
        <v>0.28625200000000001</v>
      </c>
      <c r="AA164" s="2">
        <v>-3.0786477360037656</v>
      </c>
      <c r="AB164" s="2" t="s">
        <v>480</v>
      </c>
      <c r="AC164" s="170">
        <v>-0.35928495072640704</v>
      </c>
    </row>
    <row r="165" spans="1:29" x14ac:dyDescent="0.2">
      <c r="A165" s="2" t="s">
        <v>407</v>
      </c>
      <c r="B165" s="2" t="s">
        <v>407</v>
      </c>
      <c r="C165" s="1" t="s">
        <v>408</v>
      </c>
      <c r="D165" s="2" t="s">
        <v>506</v>
      </c>
      <c r="E165" s="2">
        <v>186.72329999999999</v>
      </c>
      <c r="F165" s="2">
        <v>275.41230000000002</v>
      </c>
      <c r="G165" s="36">
        <v>216.499</v>
      </c>
      <c r="H165" s="2">
        <v>274.86399999999998</v>
      </c>
      <c r="I165" s="2">
        <v>293.875</v>
      </c>
      <c r="J165" s="173">
        <v>1.0019948047034171</v>
      </c>
      <c r="K165" s="173">
        <v>0.93717498936622723</v>
      </c>
      <c r="L165" s="171">
        <f t="shared" si="2"/>
        <v>0.26958554081081199</v>
      </c>
      <c r="M165" s="180">
        <v>6.9165114383840764E-2</v>
      </c>
      <c r="N165" s="2">
        <v>116.03600010681151</v>
      </c>
      <c r="O165" s="176">
        <v>0.42215786755199491</v>
      </c>
      <c r="P165" s="2">
        <v>0</v>
      </c>
      <c r="Q165" s="183">
        <v>0</v>
      </c>
      <c r="R165" s="2" t="s">
        <v>480</v>
      </c>
      <c r="S165" s="183" t="e">
        <v>#VALUE!</v>
      </c>
      <c r="T165" s="2" t="s">
        <v>480</v>
      </c>
      <c r="U165" s="183" t="e">
        <v>#VALUE!</v>
      </c>
      <c r="V165" s="2">
        <v>25.126000000000001</v>
      </c>
      <c r="W165" s="2">
        <v>36.853000000000002</v>
      </c>
      <c r="X165" s="183">
        <v>9.1412480353920494E-2</v>
      </c>
      <c r="Y165" s="36">
        <v>14.823</v>
      </c>
      <c r="Z165" s="36">
        <v>28.419999999999998</v>
      </c>
      <c r="AA165" s="2">
        <v>2.5753330869909998</v>
      </c>
      <c r="AB165" s="2">
        <v>17.645</v>
      </c>
      <c r="AC165" s="170">
        <v>9.3694812234086673E-3</v>
      </c>
    </row>
    <row r="166" spans="1:29" x14ac:dyDescent="0.2">
      <c r="A166" s="2" t="s">
        <v>409</v>
      </c>
      <c r="B166" s="2" t="s">
        <v>409</v>
      </c>
      <c r="C166" s="1" t="s">
        <v>410</v>
      </c>
      <c r="D166" s="87" t="s">
        <v>495</v>
      </c>
      <c r="E166" s="87">
        <v>183.29759999999999</v>
      </c>
      <c r="F166" s="87">
        <v>124.41030000000001</v>
      </c>
      <c r="G166" s="36">
        <v>171.0899</v>
      </c>
      <c r="H166" s="87">
        <v>128.101112</v>
      </c>
      <c r="I166" s="87">
        <v>123</v>
      </c>
      <c r="J166" s="173">
        <v>0.97118829069961554</v>
      </c>
      <c r="K166" s="173">
        <v>1.0114658536585366</v>
      </c>
      <c r="L166" s="171">
        <f t="shared" si="2"/>
        <v>-0.25126432360998513</v>
      </c>
      <c r="M166" s="179">
        <v>-3.982098141349466E-2</v>
      </c>
      <c r="N166" s="87">
        <v>72.534188598388667</v>
      </c>
      <c r="O166" s="176">
        <v>0.56622606522251473</v>
      </c>
      <c r="P166" s="87">
        <v>41.944024999999996</v>
      </c>
      <c r="Q166" s="183">
        <v>0.32742904682981983</v>
      </c>
      <c r="R166" s="87">
        <v>19.221935999999999</v>
      </c>
      <c r="S166" s="183">
        <v>0.15005284263262289</v>
      </c>
      <c r="T166" s="87">
        <v>36.027413000000003</v>
      </c>
      <c r="U166" s="183">
        <v>0.28124200045976183</v>
      </c>
      <c r="V166" s="87">
        <v>-23.433501</v>
      </c>
      <c r="W166" s="87">
        <v>-20.85</v>
      </c>
      <c r="X166" s="183">
        <v>-0.18292972351403164</v>
      </c>
      <c r="Y166" s="36">
        <v>-57.896322999999995</v>
      </c>
      <c r="Z166" s="36">
        <v>110.89174399999999</v>
      </c>
      <c r="AA166" s="87">
        <v>-50.694046620000002</v>
      </c>
      <c r="AB166" s="87">
        <v>-87.600000000000009</v>
      </c>
      <c r="AC166" s="170">
        <v>-0.39573463359162725</v>
      </c>
    </row>
    <row r="167" spans="1:29" x14ac:dyDescent="0.2">
      <c r="A167" s="2" t="s">
        <v>411</v>
      </c>
      <c r="B167" s="2" t="s">
        <v>411</v>
      </c>
      <c r="C167" s="1" t="s">
        <v>412</v>
      </c>
      <c r="D167" s="2" t="s">
        <v>505</v>
      </c>
      <c r="E167" s="2">
        <v>174.07480000000001</v>
      </c>
      <c r="F167" s="2">
        <v>69.755799999999994</v>
      </c>
      <c r="G167" s="36">
        <v>278.221</v>
      </c>
      <c r="H167" s="2">
        <v>120.13199999999999</v>
      </c>
      <c r="I167" s="2">
        <v>124.5</v>
      </c>
      <c r="J167" s="173">
        <v>0.58065960776479209</v>
      </c>
      <c r="K167" s="173">
        <v>0.56028755020080312</v>
      </c>
      <c r="L167" s="171">
        <f t="shared" si="2"/>
        <v>-0.56821375812753172</v>
      </c>
      <c r="M167" s="180">
        <v>3.6360003995604906E-2</v>
      </c>
      <c r="N167" s="2">
        <v>61.855000404357909</v>
      </c>
      <c r="O167" s="176">
        <v>0.5148919555518755</v>
      </c>
      <c r="P167" s="2">
        <v>47.5</v>
      </c>
      <c r="Q167" s="183">
        <v>0.39539839509872476</v>
      </c>
      <c r="R167" s="2">
        <v>51.793999999999997</v>
      </c>
      <c r="S167" s="183">
        <v>0.43114241001564946</v>
      </c>
      <c r="T167" s="2">
        <v>55.595999999999997</v>
      </c>
      <c r="U167" s="183">
        <v>0.46279092997702526</v>
      </c>
      <c r="V167" s="2">
        <v>-43.578000000000003</v>
      </c>
      <c r="W167" s="2">
        <v>-6.375</v>
      </c>
      <c r="X167" s="183">
        <v>-0.3627509739286785</v>
      </c>
      <c r="Y167" s="36">
        <v>-42.018000000000001</v>
      </c>
      <c r="Z167" s="36">
        <v>76.641999999999996</v>
      </c>
      <c r="AA167" s="2">
        <v>-75.318597068339997</v>
      </c>
      <c r="AB167" s="2">
        <v>-51.5</v>
      </c>
      <c r="AC167" s="170">
        <v>-0.62696531372440323</v>
      </c>
    </row>
    <row r="168" spans="1:29" x14ac:dyDescent="0.2">
      <c r="A168" s="2" t="s">
        <v>413</v>
      </c>
      <c r="B168" s="2" t="s">
        <v>413</v>
      </c>
      <c r="C168" s="1" t="s">
        <v>414</v>
      </c>
      <c r="D168" s="2" t="s">
        <v>505</v>
      </c>
      <c r="E168" s="2">
        <v>168.06610000000001</v>
      </c>
      <c r="F168" s="2">
        <v>151.4391</v>
      </c>
      <c r="G168" s="36">
        <v>30.983000000000001</v>
      </c>
      <c r="H168" s="2">
        <v>31.908999999999999</v>
      </c>
      <c r="I168" s="2">
        <v>38.61</v>
      </c>
      <c r="J168" s="173">
        <v>4.7459682221316868</v>
      </c>
      <c r="K168" s="173">
        <v>3.9222766122766122</v>
      </c>
      <c r="L168" s="171">
        <f t="shared" si="2"/>
        <v>2.9887357583190728E-2</v>
      </c>
      <c r="M168" s="180">
        <v>0.21000344730326859</v>
      </c>
      <c r="N168" s="2">
        <v>19.025000007629394</v>
      </c>
      <c r="O168" s="176">
        <v>0.59622677011593583</v>
      </c>
      <c r="P168" s="2">
        <v>9.8249999999999993</v>
      </c>
      <c r="Q168" s="183">
        <v>0.30790686013350466</v>
      </c>
      <c r="R168" s="2">
        <v>15.551</v>
      </c>
      <c r="S168" s="183">
        <v>0.48735466482810497</v>
      </c>
      <c r="T168" s="2">
        <v>7.2859999999999996</v>
      </c>
      <c r="U168" s="183">
        <v>0.2283368328684697</v>
      </c>
      <c r="V168" s="2">
        <v>-12.440999999999999</v>
      </c>
      <c r="W168" s="2" t="s">
        <v>480</v>
      </c>
      <c r="X168" s="183">
        <v>-0.38988999968660876</v>
      </c>
      <c r="Y168" s="36">
        <v>-13.39</v>
      </c>
      <c r="Z168" s="36">
        <v>23.980999999999998</v>
      </c>
      <c r="AA168" s="2">
        <v>-20.875574530000002</v>
      </c>
      <c r="AB168" s="2">
        <v>-16.77</v>
      </c>
      <c r="AC168" s="170">
        <v>-0.65422214829671888</v>
      </c>
    </row>
    <row r="169" spans="1:29" x14ac:dyDescent="0.2">
      <c r="B169" s="1" t="s">
        <v>557</v>
      </c>
      <c r="C169" s="1" t="s">
        <v>720</v>
      </c>
      <c r="D169" s="1" t="s">
        <v>614</v>
      </c>
      <c r="E169" s="36">
        <v>13337.6859</v>
      </c>
      <c r="F169" s="36">
        <v>11763.517900000001</v>
      </c>
      <c r="G169" s="36">
        <v>389.33</v>
      </c>
      <c r="H169" s="36">
        <v>853.57299999999998</v>
      </c>
      <c r="I169" s="36">
        <v>1210.8910000000001</v>
      </c>
      <c r="J169" s="173">
        <v>13.781501875059311</v>
      </c>
      <c r="K169" s="173">
        <v>9.7147620223455284</v>
      </c>
      <c r="L169" s="171">
        <f t="shared" si="2"/>
        <v>1.1924151747874554</v>
      </c>
      <c r="M169" s="171">
        <v>0.41861445945455178</v>
      </c>
      <c r="N169" s="114">
        <v>481.96899993896483</v>
      </c>
      <c r="O169" s="176">
        <v>0.56464883488461426</v>
      </c>
      <c r="P169" s="36">
        <v>135.99699999999999</v>
      </c>
      <c r="Q169" s="183">
        <v>0.15932673596751537</v>
      </c>
      <c r="R169" s="36">
        <v>225.69399999999999</v>
      </c>
      <c r="S169" s="183">
        <v>0.26441089397157597</v>
      </c>
      <c r="T169" s="36">
        <v>67.718999999999994</v>
      </c>
      <c r="U169" s="183">
        <v>7.9335920887844386E-2</v>
      </c>
      <c r="V169" s="36">
        <v>-41.38</v>
      </c>
      <c r="W169" s="36">
        <v>53.762999999999998</v>
      </c>
      <c r="X169" s="183">
        <v>-4.8478571838612518E-2</v>
      </c>
      <c r="Y169" s="36">
        <v>-12.155000000000001</v>
      </c>
      <c r="Z169" s="36">
        <v>141.67699999999999</v>
      </c>
      <c r="AA169" s="36">
        <v>-52.222000000000001</v>
      </c>
      <c r="AB169" s="36">
        <v>37.39</v>
      </c>
      <c r="AC169" s="92">
        <v>-6.1180473140551542E-2</v>
      </c>
    </row>
    <row r="170" spans="1:29" x14ac:dyDescent="0.2">
      <c r="B170" s="1" t="s">
        <v>558</v>
      </c>
      <c r="C170" s="1" t="s">
        <v>721</v>
      </c>
      <c r="D170" s="1" t="s">
        <v>614</v>
      </c>
      <c r="E170" s="36">
        <v>3532.4050000000002</v>
      </c>
      <c r="F170" s="36">
        <v>3220.2809999999999</v>
      </c>
      <c r="G170" s="36">
        <v>65.271000000000001</v>
      </c>
      <c r="H170" s="36">
        <v>192.24099999999999</v>
      </c>
      <c r="I170" s="36">
        <v>271.53800000000001</v>
      </c>
      <c r="J170" s="173">
        <v>16.751270540623491</v>
      </c>
      <c r="K170" s="173">
        <v>11.859411942343245</v>
      </c>
      <c r="L170" s="171">
        <f t="shared" si="2"/>
        <v>1.9452743178440652</v>
      </c>
      <c r="M170" s="171">
        <v>0.41248745064788483</v>
      </c>
      <c r="N170" s="114">
        <v>138.52599877929688</v>
      </c>
      <c r="O170" s="176">
        <v>0.72058509256244452</v>
      </c>
      <c r="P170" s="36">
        <v>62.201999999999998</v>
      </c>
      <c r="Q170" s="183">
        <v>0.32356261151367294</v>
      </c>
      <c r="R170" s="36">
        <v>109.95</v>
      </c>
      <c r="S170" s="183">
        <v>0.57193834821916245</v>
      </c>
      <c r="T170" s="36">
        <v>36.774999999999999</v>
      </c>
      <c r="U170" s="183">
        <v>0.19129634157125691</v>
      </c>
      <c r="V170" s="36">
        <v>-107.69300000000001</v>
      </c>
      <c r="W170" s="36">
        <v>-56.895000000000003</v>
      </c>
      <c r="X170" s="183">
        <v>-0.5601978766236132</v>
      </c>
      <c r="Y170" s="36">
        <v>-44.982999999999997</v>
      </c>
      <c r="Z170" s="36">
        <v>61.901999999999994</v>
      </c>
      <c r="AA170" s="36">
        <v>-111</v>
      </c>
      <c r="AB170" s="36">
        <v>-78.929000000000002</v>
      </c>
      <c r="AC170" s="92">
        <v>-0.57740024240406573</v>
      </c>
    </row>
    <row r="171" spans="1:29" x14ac:dyDescent="0.2">
      <c r="B171" s="1" t="s">
        <v>145</v>
      </c>
      <c r="C171" s="1" t="s">
        <v>146</v>
      </c>
      <c r="D171" s="1" t="s">
        <v>505</v>
      </c>
      <c r="E171" s="36">
        <v>4098.0376999999999</v>
      </c>
      <c r="F171" s="36">
        <v>3799.4987000000001</v>
      </c>
      <c r="G171" s="36">
        <v>80.325000000000003</v>
      </c>
      <c r="H171" s="36">
        <v>190.17399999999998</v>
      </c>
      <c r="I171" s="36">
        <v>258.79000000000002</v>
      </c>
      <c r="J171" s="173">
        <v>19.979064961561519</v>
      </c>
      <c r="K171" s="173">
        <v>14.681783299200124</v>
      </c>
      <c r="L171" s="171">
        <f t="shared" si="2"/>
        <v>1.3675568004979766</v>
      </c>
      <c r="M171" s="171">
        <v>0.36080641938435365</v>
      </c>
      <c r="N171" s="114">
        <v>152.2989994506836</v>
      </c>
      <c r="O171" s="176">
        <v>0.80084028022065901</v>
      </c>
      <c r="P171" s="36">
        <v>39.378999999999998</v>
      </c>
      <c r="Q171" s="183">
        <v>0.20706826380051954</v>
      </c>
      <c r="R171" s="36">
        <v>116.40900000000001</v>
      </c>
      <c r="S171" s="183">
        <v>0.61211837580321193</v>
      </c>
      <c r="T171" s="36">
        <v>31.135000000000002</v>
      </c>
      <c r="U171" s="183">
        <v>0.1637184893834068</v>
      </c>
      <c r="V171" s="36" t="s">
        <v>480</v>
      </c>
      <c r="W171" s="36">
        <v>-7.476</v>
      </c>
      <c r="X171" s="183" t="e">
        <v>#VALUE!</v>
      </c>
      <c r="Y171" s="36" t="s">
        <v>480</v>
      </c>
      <c r="Z171" s="36">
        <v>135.57900000000001</v>
      </c>
      <c r="AA171" s="36">
        <v>-29.382999999999999</v>
      </c>
      <c r="AB171" s="36">
        <v>-14.838000000000001</v>
      </c>
      <c r="AC171" s="92">
        <v>-0.1545058735684163</v>
      </c>
    </row>
    <row r="172" spans="1:29" x14ac:dyDescent="0.2">
      <c r="B172" s="1" t="s">
        <v>559</v>
      </c>
      <c r="C172" s="1" t="s">
        <v>722</v>
      </c>
      <c r="D172" s="1" t="s">
        <v>614</v>
      </c>
      <c r="E172" s="36">
        <v>6456.8224</v>
      </c>
      <c r="F172" s="36">
        <v>6079.7704000000003</v>
      </c>
      <c r="G172" s="36">
        <v>277.33499999999998</v>
      </c>
      <c r="H172" s="36">
        <v>492.64800000000002</v>
      </c>
      <c r="I172" s="36">
        <v>667.76099999999997</v>
      </c>
      <c r="J172" s="173">
        <v>12.341002906740716</v>
      </c>
      <c r="K172" s="173">
        <v>9.104710218176864</v>
      </c>
      <c r="L172" s="171">
        <f t="shared" si="2"/>
        <v>0.7763643247336256</v>
      </c>
      <c r="M172" s="171">
        <v>0.35545257465776769</v>
      </c>
      <c r="N172" s="114">
        <v>261.8499954833984</v>
      </c>
      <c r="O172" s="176">
        <v>0.5315153933100274</v>
      </c>
      <c r="P172" s="36">
        <v>120.73899999999999</v>
      </c>
      <c r="Q172" s="183">
        <v>0.24508168103798247</v>
      </c>
      <c r="R172" s="36">
        <v>100.669</v>
      </c>
      <c r="S172" s="183">
        <v>0.20434265439015278</v>
      </c>
      <c r="T172" s="36">
        <v>59.619</v>
      </c>
      <c r="U172" s="183">
        <v>0.12101744044429287</v>
      </c>
      <c r="V172" s="36">
        <v>-68.85692307692301</v>
      </c>
      <c r="W172" s="36">
        <v>30.88</v>
      </c>
      <c r="X172" s="183">
        <v>-0.13976900967206404</v>
      </c>
      <c r="Y172" s="36">
        <v>12.943999999999999</v>
      </c>
      <c r="Z172" s="36">
        <v>115.286</v>
      </c>
      <c r="AA172" s="36">
        <v>-90.092929999999996</v>
      </c>
      <c r="AB172" s="36">
        <v>10.531000000000001</v>
      </c>
      <c r="AC172" s="92">
        <v>-0.1828748518211786</v>
      </c>
    </row>
    <row r="173" spans="1:29" x14ac:dyDescent="0.2">
      <c r="B173" s="1" t="s">
        <v>561</v>
      </c>
      <c r="C173" s="1" t="s">
        <v>723</v>
      </c>
      <c r="D173" s="1" t="s">
        <v>615</v>
      </c>
      <c r="E173" s="36">
        <v>1522.0586000000001</v>
      </c>
      <c r="F173" s="36">
        <v>2404.9515999999999</v>
      </c>
      <c r="G173" s="36">
        <v>427.58800000000002</v>
      </c>
      <c r="H173" s="36">
        <v>476.02700000000004</v>
      </c>
      <c r="I173" s="36">
        <v>635.75</v>
      </c>
      <c r="J173" s="173">
        <v>5.0521327571755377</v>
      </c>
      <c r="K173" s="173">
        <v>3.7828574125049155</v>
      </c>
      <c r="L173" s="171">
        <f t="shared" si="2"/>
        <v>0.11328428300139391</v>
      </c>
      <c r="M173" s="171">
        <v>0.33553348864665233</v>
      </c>
      <c r="N173" s="114">
        <v>327.95800305175783</v>
      </c>
      <c r="O173" s="176">
        <v>0.68894832236776027</v>
      </c>
      <c r="P173" s="36">
        <v>27.382999999999999</v>
      </c>
      <c r="Q173" s="183">
        <v>5.7524048005680346E-2</v>
      </c>
      <c r="R173" s="36">
        <v>34.103000000000002</v>
      </c>
      <c r="S173" s="183">
        <v>7.164089431901971E-2</v>
      </c>
      <c r="T173" s="36">
        <v>149.94800000000001</v>
      </c>
      <c r="U173" s="183">
        <v>0.31499893913580529</v>
      </c>
      <c r="V173" s="36">
        <v>100.64099999999999</v>
      </c>
      <c r="W173" s="36">
        <v>195.3</v>
      </c>
      <c r="X173" s="183">
        <v>0.21141868003285524</v>
      </c>
      <c r="Y173" s="36">
        <v>3.2039999999999935</v>
      </c>
      <c r="Z173" s="36">
        <v>208.94399999999999</v>
      </c>
      <c r="AA173" s="36">
        <v>7.2179362649929981</v>
      </c>
      <c r="AB173" s="36">
        <v>52.832999999999998</v>
      </c>
      <c r="AC173" s="92">
        <v>1.5162871570295377E-2</v>
      </c>
    </row>
    <row r="174" spans="1:29" x14ac:dyDescent="0.2">
      <c r="B174" s="1" t="s">
        <v>563</v>
      </c>
      <c r="C174" s="1" t="s">
        <v>724</v>
      </c>
      <c r="D174" s="1" t="s">
        <v>614</v>
      </c>
      <c r="E174" s="36">
        <v>4505.2147000000004</v>
      </c>
      <c r="F174" s="36">
        <v>4154.2816999999995</v>
      </c>
      <c r="G174" s="36">
        <v>290.10300000000001</v>
      </c>
      <c r="H174" s="36">
        <v>513.48300000000006</v>
      </c>
      <c r="I174" s="36">
        <v>674.78300000000002</v>
      </c>
      <c r="J174" s="173">
        <v>8.0903977346864426</v>
      </c>
      <c r="K174" s="173">
        <v>6.1564705986961723</v>
      </c>
      <c r="L174" s="171">
        <f t="shared" si="2"/>
        <v>0.77000237846557962</v>
      </c>
      <c r="M174" s="171">
        <v>0.31412919220305247</v>
      </c>
      <c r="N174" s="114">
        <v>418.44500848388674</v>
      </c>
      <c r="O174" s="176">
        <v>0.81491501857683057</v>
      </c>
      <c r="P174" s="36">
        <v>153.63499999999999</v>
      </c>
      <c r="Q174" s="183">
        <v>0.29920172624994396</v>
      </c>
      <c r="R174" s="36">
        <v>204.435</v>
      </c>
      <c r="S174" s="183">
        <v>0.39813392069455072</v>
      </c>
      <c r="T174" s="36">
        <v>48.186</v>
      </c>
      <c r="U174" s="183">
        <v>9.3841470895823217E-2</v>
      </c>
      <c r="V174" s="36">
        <v>-27.757000000000005</v>
      </c>
      <c r="W174" s="36">
        <v>129.18800000000002</v>
      </c>
      <c r="X174" s="183">
        <v>-5.4056317346436011E-2</v>
      </c>
      <c r="Y174" s="36">
        <v>88.836999999999989</v>
      </c>
      <c r="Z174" s="36">
        <v>85.22999999999999</v>
      </c>
      <c r="AA174" s="36">
        <v>-41.129518560316001</v>
      </c>
      <c r="AB174" s="36">
        <v>54.325000000000003</v>
      </c>
      <c r="AC174" s="92">
        <v>-8.0099085189414249E-2</v>
      </c>
    </row>
    <row r="175" spans="1:29" x14ac:dyDescent="0.2">
      <c r="B175" s="1" t="s">
        <v>564</v>
      </c>
      <c r="C175" s="1" t="s">
        <v>725</v>
      </c>
      <c r="D175" s="1" t="s">
        <v>614</v>
      </c>
      <c r="E175" s="36">
        <v>5863.1256000000003</v>
      </c>
      <c r="F175" s="36">
        <v>5590.6315999999997</v>
      </c>
      <c r="G175" s="36">
        <v>85.906999999999996</v>
      </c>
      <c r="H175" s="36">
        <v>324.19499999999999</v>
      </c>
      <c r="I175" s="36">
        <v>424.09399999999999</v>
      </c>
      <c r="J175" s="173">
        <v>17.244657073674794</v>
      </c>
      <c r="K175" s="173">
        <v>13.182529344909383</v>
      </c>
      <c r="L175" s="171">
        <f t="shared" si="2"/>
        <v>2.7737902615619219</v>
      </c>
      <c r="M175" s="171">
        <v>0.30814478940144041</v>
      </c>
      <c r="N175" s="114">
        <v>228.25000210571289</v>
      </c>
      <c r="O175" s="176">
        <v>0.70405158039363003</v>
      </c>
      <c r="P175" s="36">
        <v>70.820999999999998</v>
      </c>
      <c r="Q175" s="183">
        <v>0.21845185767824921</v>
      </c>
      <c r="R175" s="36">
        <v>172.97300000000001</v>
      </c>
      <c r="S175" s="183">
        <v>0.53354616820123701</v>
      </c>
      <c r="T175" s="36">
        <v>51.802999999999997</v>
      </c>
      <c r="U175" s="183">
        <v>0.15978963278273878</v>
      </c>
      <c r="V175" s="36">
        <v>-116.569</v>
      </c>
      <c r="W175" s="36">
        <v>-43.852000000000004</v>
      </c>
      <c r="X175" s="183">
        <v>-0.35956445966162343</v>
      </c>
      <c r="Y175" s="36">
        <v>-21.870999999999999</v>
      </c>
      <c r="Z175" s="36">
        <v>127.949</v>
      </c>
      <c r="AA175" s="36">
        <v>-123.625</v>
      </c>
      <c r="AB175" s="36">
        <v>-49.316000000000003</v>
      </c>
      <c r="AC175" s="92">
        <v>-0.3813291383272413</v>
      </c>
    </row>
    <row r="176" spans="1:29" x14ac:dyDescent="0.2">
      <c r="B176" s="1" t="s">
        <v>570</v>
      </c>
      <c r="C176" s="1" t="s">
        <v>112</v>
      </c>
      <c r="D176" s="1" t="s">
        <v>495</v>
      </c>
      <c r="E176" s="36">
        <v>6280.0501000000004</v>
      </c>
      <c r="F176" s="36">
        <v>6010.1651000000002</v>
      </c>
      <c r="G176" s="36">
        <v>250.48099999999999</v>
      </c>
      <c r="H176" s="36">
        <v>602.31500000000005</v>
      </c>
      <c r="I176" s="36">
        <v>762.5</v>
      </c>
      <c r="J176" s="173">
        <v>9.9784416791877995</v>
      </c>
      <c r="K176" s="173">
        <v>7.882183737704918</v>
      </c>
      <c r="L176" s="171">
        <f t="shared" si="2"/>
        <v>1.4046334851745246</v>
      </c>
      <c r="M176" s="171">
        <v>0.26594888056913724</v>
      </c>
      <c r="N176" s="114">
        <v>444.96900311279296</v>
      </c>
      <c r="O176" s="176">
        <v>0.73876460508669539</v>
      </c>
      <c r="P176" s="36">
        <v>92.427999999999997</v>
      </c>
      <c r="Q176" s="183">
        <v>0.15345458771573012</v>
      </c>
      <c r="R176" s="36">
        <v>277.93</v>
      </c>
      <c r="S176" s="183">
        <v>0.46143629164141686</v>
      </c>
      <c r="T176" s="36">
        <v>81.525999999999996</v>
      </c>
      <c r="U176" s="183">
        <v>0.13535442418003868</v>
      </c>
      <c r="V176" s="36" t="s">
        <v>480</v>
      </c>
      <c r="W176" s="36">
        <v>31.82</v>
      </c>
      <c r="X176" s="183" t="e">
        <v>#VALUE!</v>
      </c>
      <c r="Y176" s="36" t="s">
        <v>480</v>
      </c>
      <c r="Z176" s="36">
        <v>256.86700000000002</v>
      </c>
      <c r="AA176" s="36">
        <v>-328.25799999999998</v>
      </c>
      <c r="AB176" s="36">
        <v>-4.5419999999999998</v>
      </c>
      <c r="AC176" s="92">
        <v>-0.54499389854146074</v>
      </c>
    </row>
    <row r="177" spans="2:29" x14ac:dyDescent="0.2">
      <c r="B177" s="1" t="s">
        <v>577</v>
      </c>
      <c r="C177" s="1" t="s">
        <v>726</v>
      </c>
      <c r="D177" s="1" t="s">
        <v>614</v>
      </c>
      <c r="E177" s="36">
        <v>1110.2656999999999</v>
      </c>
      <c r="F177" s="36">
        <v>1234.2756999999999</v>
      </c>
      <c r="G177" s="36">
        <v>206.98599999999999</v>
      </c>
      <c r="H177" s="36">
        <v>265.089</v>
      </c>
      <c r="I177" s="36">
        <v>329.13800000000003</v>
      </c>
      <c r="J177" s="173">
        <v>4.6560804107299809</v>
      </c>
      <c r="K177" s="173">
        <v>3.750024913562092</v>
      </c>
      <c r="L177" s="171">
        <f t="shared" si="2"/>
        <v>0.28070980646034038</v>
      </c>
      <c r="M177" s="171">
        <v>0.24161319405935378</v>
      </c>
      <c r="N177" s="114">
        <v>189.59500091552735</v>
      </c>
      <c r="O177" s="176">
        <v>0.71521263015639036</v>
      </c>
      <c r="P177" s="36">
        <v>46.16</v>
      </c>
      <c r="Q177" s="183">
        <v>0.17413019778263147</v>
      </c>
      <c r="R177" s="36">
        <v>90.921999999999997</v>
      </c>
      <c r="S177" s="183">
        <v>0.34298669503449786</v>
      </c>
      <c r="T177" s="36">
        <v>43.331000000000003</v>
      </c>
      <c r="U177" s="183">
        <v>0.16345831022788573</v>
      </c>
      <c r="V177" s="36">
        <v>35.430999999999997</v>
      </c>
      <c r="W177" s="36">
        <v>107.65</v>
      </c>
      <c r="X177" s="183">
        <v>0.1336569982156936</v>
      </c>
      <c r="Y177" s="36">
        <v>32.344000000000001</v>
      </c>
      <c r="Z177" s="36">
        <v>128.23099999999999</v>
      </c>
      <c r="AA177" s="36">
        <v>-1.8899511748109996</v>
      </c>
      <c r="AB177" s="36">
        <v>62.367000000000004</v>
      </c>
      <c r="AC177" s="92">
        <v>-7.1294967909305918E-3</v>
      </c>
    </row>
    <row r="178" spans="2:29" x14ac:dyDescent="0.2">
      <c r="B178" s="1" t="s">
        <v>587</v>
      </c>
      <c r="C178" s="1" t="s">
        <v>28</v>
      </c>
      <c r="D178" s="1" t="s">
        <v>506</v>
      </c>
      <c r="E178" s="36">
        <v>29017.264999999999</v>
      </c>
      <c r="F178" s="36">
        <v>28442.0455</v>
      </c>
      <c r="G178" s="36">
        <v>1708.721</v>
      </c>
      <c r="H178" s="36">
        <v>2684.7350000000001</v>
      </c>
      <c r="I178" s="36">
        <v>1858.0640000000001</v>
      </c>
      <c r="J178" s="173">
        <v>10.593986184856233</v>
      </c>
      <c r="K178" s="173">
        <v>15.307355128779202</v>
      </c>
      <c r="L178" s="171">
        <f t="shared" si="2"/>
        <v>0.57119564867523731</v>
      </c>
      <c r="M178" s="171">
        <v>-0.30791530635239606</v>
      </c>
      <c r="N178" s="114">
        <v>1029.4319973144532</v>
      </c>
      <c r="O178" s="176">
        <v>0.38343896038694808</v>
      </c>
      <c r="P178" s="36">
        <v>321.88799999999998</v>
      </c>
      <c r="Q178" s="183">
        <v>0.11989563215736375</v>
      </c>
      <c r="R178" s="36">
        <v>253.17</v>
      </c>
      <c r="S178" s="183">
        <v>9.4299809850879129E-2</v>
      </c>
      <c r="T178" s="36">
        <v>250.553</v>
      </c>
      <c r="U178" s="183">
        <v>9.3325039529041032E-2</v>
      </c>
      <c r="V178" s="36">
        <v>-3.8120000000000012</v>
      </c>
      <c r="W178" s="36">
        <v>303.834</v>
      </c>
      <c r="X178" s="183">
        <v>-1.4198794294408949E-3</v>
      </c>
      <c r="Y178" s="36">
        <v>72.408999999999992</v>
      </c>
      <c r="Z178" s="36">
        <v>696.47399999999993</v>
      </c>
      <c r="AA178" s="36">
        <v>-55.131</v>
      </c>
      <c r="AB178" s="36">
        <v>298.54700000000003</v>
      </c>
      <c r="AC178" s="92">
        <v>-2.0534987624476902E-2</v>
      </c>
    </row>
    <row r="179" spans="2:29" x14ac:dyDescent="0.2">
      <c r="B179" s="1" t="s">
        <v>588</v>
      </c>
      <c r="C179" s="1" t="s">
        <v>727</v>
      </c>
      <c r="D179" s="1" t="s">
        <v>615</v>
      </c>
      <c r="E179" s="36">
        <v>12502.9517</v>
      </c>
      <c r="F179" s="36">
        <v>11492.5267</v>
      </c>
      <c r="G179" s="36">
        <v>409.221</v>
      </c>
      <c r="H179" s="36">
        <v>766.22400000000005</v>
      </c>
      <c r="I179" s="36">
        <v>912.07100000000003</v>
      </c>
      <c r="J179" s="173">
        <v>14.998912459019817</v>
      </c>
      <c r="K179" s="173">
        <v>12.600473756977253</v>
      </c>
      <c r="L179" s="171">
        <f t="shared" si="2"/>
        <v>0.87239657788823166</v>
      </c>
      <c r="M179" s="171">
        <v>0.19034512100899992</v>
      </c>
      <c r="N179" s="114">
        <v>534.71100567626956</v>
      </c>
      <c r="O179" s="176">
        <v>0.69785207155645024</v>
      </c>
      <c r="P179" s="36">
        <v>132.05099999999999</v>
      </c>
      <c r="Q179" s="183">
        <v>0.17233994236672301</v>
      </c>
      <c r="R179" s="36">
        <v>130.898</v>
      </c>
      <c r="S179" s="183">
        <v>0.1708351604752657</v>
      </c>
      <c r="T179" s="36">
        <v>60.390999999999998</v>
      </c>
      <c r="U179" s="183">
        <v>7.8816377456200792E-2</v>
      </c>
      <c r="V179" s="36">
        <v>188.203</v>
      </c>
      <c r="W179" s="36">
        <v>321.14800000000002</v>
      </c>
      <c r="X179" s="183">
        <v>0.24562399507193719</v>
      </c>
      <c r="Y179" s="36">
        <v>274.41300000000001</v>
      </c>
      <c r="Z179" s="36">
        <v>320.18299999999999</v>
      </c>
      <c r="AA179" s="36">
        <v>162.85600955123999</v>
      </c>
      <c r="AB179" s="36">
        <v>247.148</v>
      </c>
      <c r="AC179" s="92">
        <v>0.21254360285143767</v>
      </c>
    </row>
    <row r="180" spans="2:29" x14ac:dyDescent="0.2">
      <c r="B180" s="1" t="s">
        <v>590</v>
      </c>
      <c r="C180" s="1" t="s">
        <v>728</v>
      </c>
      <c r="D180" s="1" t="s">
        <v>615</v>
      </c>
      <c r="E180" s="36">
        <v>4212.5946999999996</v>
      </c>
      <c r="F180" s="36">
        <v>4083.6496999999999</v>
      </c>
      <c r="G180" s="36">
        <v>463.38099999999997</v>
      </c>
      <c r="H180" s="36">
        <v>609.726</v>
      </c>
      <c r="I180" s="36">
        <v>719.86699999999996</v>
      </c>
      <c r="J180" s="173">
        <v>6.6975160973945673</v>
      </c>
      <c r="K180" s="173">
        <v>5.6727835836341995</v>
      </c>
      <c r="L180" s="171">
        <f t="shared" si="2"/>
        <v>0.31582002714828628</v>
      </c>
      <c r="M180" s="171">
        <v>0.1806401563981197</v>
      </c>
      <c r="N180" s="114">
        <v>460.99100408935544</v>
      </c>
      <c r="O180" s="176">
        <v>0.75606256595479848</v>
      </c>
      <c r="P180" s="36">
        <v>138.56399999999999</v>
      </c>
      <c r="Q180" s="183">
        <v>0.22725617736491471</v>
      </c>
      <c r="R180" s="36">
        <v>126.273</v>
      </c>
      <c r="S180" s="183">
        <v>0.2070979423544346</v>
      </c>
      <c r="T180" s="36">
        <v>94.323999999999998</v>
      </c>
      <c r="U180" s="183">
        <v>0.15469899594243972</v>
      </c>
      <c r="V180" s="36">
        <v>82.144000000000005</v>
      </c>
      <c r="W180" s="36">
        <v>175.67000000000002</v>
      </c>
      <c r="X180" s="183">
        <v>0.13472280991789756</v>
      </c>
      <c r="Y180" s="36">
        <v>44.370999999999995</v>
      </c>
      <c r="Z180" s="36">
        <v>237.32499999999999</v>
      </c>
      <c r="AA180" s="36">
        <v>48.942264632863001</v>
      </c>
      <c r="AB180" s="36">
        <v>109.74000000000001</v>
      </c>
      <c r="AC180" s="92">
        <v>8.0269276089363087E-2</v>
      </c>
    </row>
    <row r="181" spans="2:29" x14ac:dyDescent="0.2">
      <c r="B181" s="1" t="s">
        <v>596</v>
      </c>
      <c r="C181" s="1" t="s">
        <v>729</v>
      </c>
      <c r="D181" s="1" t="s">
        <v>616</v>
      </c>
      <c r="E181" s="36">
        <v>4187.5559999999996</v>
      </c>
      <c r="F181" s="36">
        <v>3802.556</v>
      </c>
      <c r="G181" s="36">
        <v>2322</v>
      </c>
      <c r="H181" s="36">
        <v>2202</v>
      </c>
      <c r="I181" s="36">
        <v>2153.799</v>
      </c>
      <c r="J181" s="173">
        <v>1.7268646684831972</v>
      </c>
      <c r="K181" s="173">
        <v>1.7655110806533014</v>
      </c>
      <c r="L181" s="171">
        <f t="shared" si="2"/>
        <v>-5.1679586563307491E-2</v>
      </c>
      <c r="M181" s="171">
        <v>-2.1889645776566713E-2</v>
      </c>
      <c r="N181" s="114">
        <v>1035</v>
      </c>
      <c r="O181" s="176">
        <v>0.47002724795640327</v>
      </c>
      <c r="P181" s="36">
        <v>306</v>
      </c>
      <c r="Q181" s="183">
        <v>0.13896457765667575</v>
      </c>
      <c r="R181" s="36" t="s">
        <v>480</v>
      </c>
      <c r="S181" s="183" t="e">
        <v>#VALUE!</v>
      </c>
      <c r="T181" s="36" t="s">
        <v>480</v>
      </c>
      <c r="U181" s="183" t="e">
        <v>#VALUE!</v>
      </c>
      <c r="V181" s="36">
        <v>220</v>
      </c>
      <c r="W181" s="36">
        <v>366.33</v>
      </c>
      <c r="X181" s="183">
        <v>9.9909173478655772E-2</v>
      </c>
      <c r="Y181" s="36">
        <v>169</v>
      </c>
      <c r="Z181" s="36">
        <v>1089</v>
      </c>
      <c r="AA181" s="36">
        <v>70.963692307692</v>
      </c>
      <c r="AB181" s="36">
        <v>171.05500000000001</v>
      </c>
      <c r="AC181" s="92">
        <v>3.2226926570250683E-2</v>
      </c>
    </row>
    <row r="182" spans="2:29" x14ac:dyDescent="0.2">
      <c r="B182" s="1" t="s">
        <v>597</v>
      </c>
      <c r="C182" s="1" t="s">
        <v>730</v>
      </c>
      <c r="D182" s="1" t="s">
        <v>617</v>
      </c>
      <c r="E182" s="36">
        <v>529.0883</v>
      </c>
      <c r="F182" s="36">
        <v>498.00700000000001</v>
      </c>
      <c r="G182" s="36">
        <v>21.366</v>
      </c>
      <c r="H182" s="36">
        <v>45.913776851069429</v>
      </c>
      <c r="I182" s="36">
        <v>104.675</v>
      </c>
      <c r="J182" s="173">
        <v>10.846570118058157</v>
      </c>
      <c r="K182" s="173">
        <v>4.7576498686410318</v>
      </c>
      <c r="L182" s="171">
        <f t="shared" si="2"/>
        <v>1.148917759574531</v>
      </c>
      <c r="M182" s="171">
        <v>1.2798168039962041</v>
      </c>
      <c r="N182" s="114">
        <v>32.362014866124603</v>
      </c>
      <c r="O182" s="176">
        <v>0.70484323193662135</v>
      </c>
      <c r="P182" s="36">
        <v>11.413988746902495</v>
      </c>
      <c r="Q182" s="183">
        <v>0.24859616284510996</v>
      </c>
      <c r="R182" s="36">
        <v>8.1589877207270067</v>
      </c>
      <c r="S182" s="183">
        <v>0.17770238652316328</v>
      </c>
      <c r="T182" s="36">
        <v>9.0291365099026333</v>
      </c>
      <c r="U182" s="183">
        <v>0.19665418811417876</v>
      </c>
      <c r="V182" s="36">
        <v>12.963605572070199</v>
      </c>
      <c r="W182" s="36">
        <v>36.387</v>
      </c>
      <c r="X182" s="183">
        <v>0.28234674777725782</v>
      </c>
      <c r="Y182" s="36">
        <v>5.6319999999999997</v>
      </c>
      <c r="Z182" s="36">
        <v>24.123999999999999</v>
      </c>
      <c r="AA182" s="36">
        <v>5.1382688847482347</v>
      </c>
      <c r="AB182" s="36">
        <v>22.562999999999999</v>
      </c>
      <c r="AC182" s="92">
        <v>0.111911265793168</v>
      </c>
    </row>
    <row r="183" spans="2:29" x14ac:dyDescent="0.2">
      <c r="B183" s="1" t="s">
        <v>598</v>
      </c>
      <c r="C183" s="1" t="s">
        <v>731</v>
      </c>
      <c r="D183" s="1" t="s">
        <v>617</v>
      </c>
      <c r="E183" s="36">
        <v>12918.899100000001</v>
      </c>
      <c r="F183" s="36">
        <v>11310.248799999999</v>
      </c>
      <c r="G183" s="36">
        <v>1413.6980000000001</v>
      </c>
      <c r="H183" s="36">
        <v>1762.6579999999999</v>
      </c>
      <c r="I183" s="36">
        <v>3002.8670000000002</v>
      </c>
      <c r="J183" s="173">
        <v>6.4165872222518496</v>
      </c>
      <c r="K183" s="173">
        <v>3.766483430668091</v>
      </c>
      <c r="L183" s="171">
        <f t="shared" si="2"/>
        <v>0.24684197049157583</v>
      </c>
      <c r="M183" s="171">
        <v>0.70360160621062073</v>
      </c>
      <c r="N183" s="114">
        <v>927.55099047851559</v>
      </c>
      <c r="O183" s="176">
        <v>0.52622289206330197</v>
      </c>
      <c r="P183" s="36">
        <v>196.37299999999999</v>
      </c>
      <c r="Q183" s="183">
        <v>0.11140731781207699</v>
      </c>
      <c r="R183" s="36">
        <v>256.09199999999998</v>
      </c>
      <c r="S183" s="183">
        <v>0.14528740118616318</v>
      </c>
      <c r="T183" s="36">
        <v>247.828</v>
      </c>
      <c r="U183" s="183">
        <v>0.14059902715104122</v>
      </c>
      <c r="V183" s="36">
        <v>287.15600000000006</v>
      </c>
      <c r="W183" s="36">
        <v>789.154</v>
      </c>
      <c r="X183" s="183">
        <v>0.16291078586997595</v>
      </c>
      <c r="Y183" s="36">
        <v>128.85899999999998</v>
      </c>
      <c r="Z183" s="36">
        <v>808.97299999999996</v>
      </c>
      <c r="AA183" s="36">
        <v>192.85892999999999</v>
      </c>
      <c r="AB183" s="36">
        <v>621.00700000000006</v>
      </c>
      <c r="AC183" s="92">
        <v>0.10941369794934695</v>
      </c>
    </row>
    <row r="184" spans="2:29" x14ac:dyDescent="0.2">
      <c r="B184" s="1" t="s">
        <v>599</v>
      </c>
      <c r="C184" s="1" t="s">
        <v>732</v>
      </c>
      <c r="D184" s="1" t="s">
        <v>495</v>
      </c>
      <c r="E184" s="36">
        <v>5240.2406000000001</v>
      </c>
      <c r="F184" s="36">
        <v>5116.1342000000004</v>
      </c>
      <c r="G184" s="36">
        <v>201.49100000000001</v>
      </c>
      <c r="H184" s="36">
        <v>662.16275290332658</v>
      </c>
      <c r="I184" s="36">
        <v>964.04100000000005</v>
      </c>
      <c r="J184" s="173">
        <v>7.7263998579922211</v>
      </c>
      <c r="K184" s="173">
        <v>5.3069674422560871</v>
      </c>
      <c r="L184" s="171">
        <f t="shared" si="2"/>
        <v>2.2863142914736962</v>
      </c>
      <c r="M184" s="171">
        <v>0.4558973541973701</v>
      </c>
      <c r="N184" s="114">
        <v>462.07363936766961</v>
      </c>
      <c r="O184" s="176">
        <v>0.69782487363062351</v>
      </c>
      <c r="P184" s="36">
        <v>154.31598291557478</v>
      </c>
      <c r="Q184" s="183">
        <v>0.23304841934850473</v>
      </c>
      <c r="R184" s="36">
        <v>169.76960474098371</v>
      </c>
      <c r="S184" s="183">
        <v>0.2563865212843971</v>
      </c>
      <c r="T184" s="36">
        <v>72.929738302088708</v>
      </c>
      <c r="U184" s="183">
        <v>0.11013869019711563</v>
      </c>
      <c r="V184" s="36">
        <v>163.30981038419148</v>
      </c>
      <c r="W184" s="36">
        <v>231.39099999999999</v>
      </c>
      <c r="X184" s="183">
        <v>0.24663092218361932</v>
      </c>
      <c r="Y184" s="36">
        <v>65.210999999999999</v>
      </c>
      <c r="Z184" s="36">
        <v>105.649</v>
      </c>
      <c r="AA184" s="36">
        <v>77.683937329779184</v>
      </c>
      <c r="AB184" s="36">
        <v>154.88400000000001</v>
      </c>
      <c r="AC184" s="92">
        <v>0.11731849456823912</v>
      </c>
    </row>
    <row r="185" spans="2:29" x14ac:dyDescent="0.2">
      <c r="B185" s="1" t="s">
        <v>600</v>
      </c>
      <c r="C185" s="1" t="s">
        <v>733</v>
      </c>
      <c r="D185" s="1" t="s">
        <v>615</v>
      </c>
      <c r="E185" s="36">
        <v>1793.5098</v>
      </c>
      <c r="F185" s="36">
        <v>1670.4738</v>
      </c>
      <c r="G185" s="36">
        <v>254.18799999999999</v>
      </c>
      <c r="H185" s="36">
        <v>505.65300000000002</v>
      </c>
      <c r="I185" s="36">
        <v>700.99199999999996</v>
      </c>
      <c r="J185" s="173">
        <v>3.3035971308387371</v>
      </c>
      <c r="K185" s="173">
        <v>2.3830140714872639</v>
      </c>
      <c r="L185" s="171">
        <f t="shared" si="2"/>
        <v>0.98928745652823913</v>
      </c>
      <c r="M185" s="171">
        <v>0.38631037490136499</v>
      </c>
      <c r="N185" s="114">
        <v>233.04500000000002</v>
      </c>
      <c r="O185" s="176">
        <v>0.46087929864946914</v>
      </c>
      <c r="P185" s="36">
        <v>17.2</v>
      </c>
      <c r="Q185" s="183">
        <v>3.4015421642905309E-2</v>
      </c>
      <c r="R185" s="36" t="s">
        <v>480</v>
      </c>
      <c r="S185" s="183" t="e">
        <v>#VALUE!</v>
      </c>
      <c r="T185" s="36" t="s">
        <v>480</v>
      </c>
      <c r="U185" s="183" t="e">
        <v>#VALUE!</v>
      </c>
      <c r="V185" s="36">
        <v>12.508000000000003</v>
      </c>
      <c r="W185" s="36">
        <v>35.655999999999999</v>
      </c>
      <c r="X185" s="183">
        <v>2.4736331041247658E-2</v>
      </c>
      <c r="Y185" s="36">
        <v>-25.263999999999992</v>
      </c>
      <c r="Z185" s="36">
        <v>238.43299999999999</v>
      </c>
      <c r="AA185" s="36">
        <v>-25.145819318402001</v>
      </c>
      <c r="AB185" s="36">
        <v>1.286</v>
      </c>
      <c r="AC185" s="92">
        <v>-4.9729398062311504E-2</v>
      </c>
    </row>
    <row r="186" spans="2:29" x14ac:dyDescent="0.2">
      <c r="B186" s="1" t="s">
        <v>601</v>
      </c>
      <c r="C186" s="1" t="s">
        <v>734</v>
      </c>
      <c r="D186" s="1" t="s">
        <v>505</v>
      </c>
      <c r="E186" s="36">
        <v>1445.5060000000001</v>
      </c>
      <c r="F186" s="36">
        <v>1375.1850999999999</v>
      </c>
      <c r="G186" s="36">
        <v>9.6440000000000001</v>
      </c>
      <c r="H186" s="36">
        <v>50.944830456625908</v>
      </c>
      <c r="I186" s="36">
        <v>68.814000000000007</v>
      </c>
      <c r="J186" s="173">
        <v>26.993614222954839</v>
      </c>
      <c r="K186" s="173">
        <v>19.984088993518757</v>
      </c>
      <c r="L186" s="171">
        <f t="shared" si="2"/>
        <v>4.2825415239139266</v>
      </c>
      <c r="M186" s="171">
        <v>0.35075530496833807</v>
      </c>
      <c r="N186" s="114">
        <v>50.927435366140706</v>
      </c>
      <c r="O186" s="176">
        <v>0.99965855042937057</v>
      </c>
      <c r="P186" s="36">
        <v>0</v>
      </c>
      <c r="Q186" s="183">
        <v>0</v>
      </c>
      <c r="R186" s="36" t="s">
        <v>480</v>
      </c>
      <c r="S186" s="183" t="e">
        <v>#VALUE!</v>
      </c>
      <c r="T186" s="36" t="s">
        <v>480</v>
      </c>
      <c r="U186" s="183" t="e">
        <v>#VALUE!</v>
      </c>
      <c r="V186" s="36">
        <v>-15.660510996069489</v>
      </c>
      <c r="W186" s="36">
        <v>-24.952000000000002</v>
      </c>
      <c r="X186" s="183">
        <v>-0.30740137626726904</v>
      </c>
      <c r="Y186" s="36">
        <v>4.6070000000000002</v>
      </c>
      <c r="Z186" s="36">
        <v>16.331</v>
      </c>
      <c r="AA186" s="36">
        <v>-16.377704596026192</v>
      </c>
      <c r="AB186" s="36">
        <v>-24.887</v>
      </c>
      <c r="AC186" s="92">
        <v>-0.32147922466775231</v>
      </c>
    </row>
    <row r="187" spans="2:29" x14ac:dyDescent="0.2">
      <c r="B187" s="1" t="s">
        <v>602</v>
      </c>
      <c r="C187" s="1" t="s">
        <v>735</v>
      </c>
      <c r="D187" s="1" t="s">
        <v>617</v>
      </c>
      <c r="E187" s="36">
        <v>10521.658299999999</v>
      </c>
      <c r="F187" s="36">
        <v>11136.6034</v>
      </c>
      <c r="G187" s="36">
        <v>1393.9970000000001</v>
      </c>
      <c r="H187" s="36">
        <v>2027.4701488016447</v>
      </c>
      <c r="I187" s="36">
        <v>2646.6010000000001</v>
      </c>
      <c r="J187" s="173">
        <v>5.4928569017809679</v>
      </c>
      <c r="K187" s="173">
        <v>4.2078890622349192</v>
      </c>
      <c r="L187" s="171">
        <f t="shared" si="2"/>
        <v>0.45442934870135626</v>
      </c>
      <c r="M187" s="171">
        <v>0.30537113040322628</v>
      </c>
      <c r="N187" s="114">
        <v>1679.9929314420062</v>
      </c>
      <c r="O187" s="176">
        <v>0.82861537193777279</v>
      </c>
      <c r="P187" s="36">
        <v>808.46222965286324</v>
      </c>
      <c r="Q187" s="183">
        <v>0.39875419627298209</v>
      </c>
      <c r="R187" s="36">
        <v>397.17667897950406</v>
      </c>
      <c r="S187" s="183">
        <v>0.19589767041169956</v>
      </c>
      <c r="T187" s="36">
        <v>169.33572698676082</v>
      </c>
      <c r="U187" s="183">
        <v>8.3520700458573113E-2</v>
      </c>
      <c r="V187" s="36">
        <v>942.26823079258611</v>
      </c>
      <c r="W187" s="36">
        <v>1179.587</v>
      </c>
      <c r="X187" s="183">
        <v>0.46475072954811325</v>
      </c>
      <c r="Y187" s="36">
        <v>809.69499999999994</v>
      </c>
      <c r="Z187" s="36">
        <v>746.93899999999996</v>
      </c>
      <c r="AA187" s="36">
        <v>205.69174478129477</v>
      </c>
      <c r="AB187" s="36">
        <v>402.25299999999999</v>
      </c>
      <c r="AC187" s="92">
        <v>0.10145241590998064</v>
      </c>
    </row>
    <row r="188" spans="2:29" x14ac:dyDescent="0.2">
      <c r="B188" s="1" t="s">
        <v>603</v>
      </c>
      <c r="C188" s="1" t="s">
        <v>736</v>
      </c>
      <c r="D188" s="1" t="s">
        <v>615</v>
      </c>
      <c r="E188" s="36">
        <v>1496.2534000000001</v>
      </c>
      <c r="F188" s="36">
        <v>1498.6233999999999</v>
      </c>
      <c r="G188" s="36">
        <v>94.061999999999998</v>
      </c>
      <c r="H188" s="36">
        <v>169.74299999999999</v>
      </c>
      <c r="I188" s="36">
        <v>217.958</v>
      </c>
      <c r="J188" s="173">
        <v>8.8287788008931152</v>
      </c>
      <c r="K188" s="173">
        <v>6.8757439506693947</v>
      </c>
      <c r="L188" s="171">
        <f t="shared" si="2"/>
        <v>0.8045863366715571</v>
      </c>
      <c r="M188" s="171">
        <v>0.2840470593780009</v>
      </c>
      <c r="N188" s="114">
        <v>52.637000358581545</v>
      </c>
      <c r="O188" s="176">
        <v>0.3100982094023409</v>
      </c>
      <c r="P188" s="36">
        <v>5.6280000000000001</v>
      </c>
      <c r="Q188" s="183">
        <v>3.3156006433254982E-2</v>
      </c>
      <c r="R188" s="36">
        <v>5.5419999999999998</v>
      </c>
      <c r="S188" s="183">
        <v>3.2649358147316829E-2</v>
      </c>
      <c r="T188" s="36">
        <v>21.181000000000001</v>
      </c>
      <c r="U188" s="183">
        <v>0.12478275981925618</v>
      </c>
      <c r="V188" s="36">
        <v>17.134</v>
      </c>
      <c r="W188" s="36">
        <v>36.538000000000004</v>
      </c>
      <c r="X188" s="183">
        <v>0.10094083408446888</v>
      </c>
      <c r="Y188" s="36">
        <v>7.0270000000000001</v>
      </c>
      <c r="Z188" s="36">
        <v>10.43</v>
      </c>
      <c r="AA188" s="36">
        <v>8.8915167711629994</v>
      </c>
      <c r="AB188" s="36">
        <v>19.253</v>
      </c>
      <c r="AC188" s="92">
        <v>5.2382229436047437E-2</v>
      </c>
    </row>
    <row r="189" spans="2:29" x14ac:dyDescent="0.2">
      <c r="B189" s="1" t="s">
        <v>604</v>
      </c>
      <c r="C189" s="1" t="s">
        <v>737</v>
      </c>
      <c r="D189" s="1" t="s">
        <v>617</v>
      </c>
      <c r="E189" s="36">
        <v>813.54549999999995</v>
      </c>
      <c r="F189" s="36">
        <v>751.91750000000002</v>
      </c>
      <c r="G189" s="36">
        <v>200.58099999999999</v>
      </c>
      <c r="H189" s="36">
        <v>332.99599999999998</v>
      </c>
      <c r="I189" s="36">
        <v>392.42</v>
      </c>
      <c r="J189" s="173">
        <v>2.2580376340856949</v>
      </c>
      <c r="K189" s="173">
        <v>1.9161039192701697</v>
      </c>
      <c r="L189" s="171">
        <f t="shared" si="2"/>
        <v>0.66015724320847935</v>
      </c>
      <c r="M189" s="171">
        <v>0.17845259402515357</v>
      </c>
      <c r="N189" s="114">
        <v>180.10199858093262</v>
      </c>
      <c r="O189" s="176">
        <v>0.54085333932219193</v>
      </c>
      <c r="P189" s="36">
        <v>92.42</v>
      </c>
      <c r="Q189" s="183">
        <v>0.27754087136181815</v>
      </c>
      <c r="R189" s="36">
        <v>104.35599999999999</v>
      </c>
      <c r="S189" s="183">
        <v>0.31338514576751675</v>
      </c>
      <c r="T189" s="36">
        <v>34.424999999999997</v>
      </c>
      <c r="U189" s="183">
        <v>0.10337962017561772</v>
      </c>
      <c r="V189" s="36">
        <v>-42.642000000000003</v>
      </c>
      <c r="W189" s="36">
        <v>44.050000000000004</v>
      </c>
      <c r="X189" s="183">
        <v>-0.1280555922593665</v>
      </c>
      <c r="Y189" s="36" t="s">
        <v>480</v>
      </c>
      <c r="Z189" s="36">
        <v>63.763999999999996</v>
      </c>
      <c r="AA189" s="36">
        <v>-26.043469999999999</v>
      </c>
      <c r="AB189" s="36">
        <v>42.425000000000004</v>
      </c>
      <c r="AC189" s="92">
        <v>-7.820955807276965E-2</v>
      </c>
    </row>
    <row r="190" spans="2:29" x14ac:dyDescent="0.2">
      <c r="B190" s="1" t="s">
        <v>605</v>
      </c>
      <c r="C190" s="1" t="s">
        <v>738</v>
      </c>
      <c r="D190" s="1" t="s">
        <v>615</v>
      </c>
      <c r="E190" s="36">
        <v>928.77229999999997</v>
      </c>
      <c r="F190" s="36">
        <v>877.18060000000003</v>
      </c>
      <c r="G190" s="36">
        <v>49.845999999999997</v>
      </c>
      <c r="H190" s="36">
        <v>67.067000000000007</v>
      </c>
      <c r="I190" s="36">
        <v>79</v>
      </c>
      <c r="J190" s="173">
        <v>13.079168592601427</v>
      </c>
      <c r="K190" s="173">
        <v>11.103551898734178</v>
      </c>
      <c r="L190" s="171">
        <f t="shared" si="2"/>
        <v>0.3454840910002811</v>
      </c>
      <c r="M190" s="171">
        <v>0.1779265510608794</v>
      </c>
      <c r="N190" s="114">
        <v>63.660000076293947</v>
      </c>
      <c r="O190" s="176">
        <v>0.94920005481524361</v>
      </c>
      <c r="P190" s="36">
        <v>13.173999999999999</v>
      </c>
      <c r="Q190" s="183">
        <v>0.19643043523640535</v>
      </c>
      <c r="R190" s="36">
        <v>8.2569999999999997</v>
      </c>
      <c r="S190" s="183">
        <v>0.12311569027986936</v>
      </c>
      <c r="T190" s="36">
        <v>8.7360000000000007</v>
      </c>
      <c r="U190" s="183">
        <v>0.13025780189959293</v>
      </c>
      <c r="V190" s="36">
        <v>20.859000000000002</v>
      </c>
      <c r="W190" s="36">
        <v>25.6</v>
      </c>
      <c r="X190" s="183">
        <v>0.31101734086808713</v>
      </c>
      <c r="Y190" s="36">
        <v>29.554000000000002</v>
      </c>
      <c r="Z190" s="36">
        <v>52.832999999999998</v>
      </c>
      <c r="AA190" s="36">
        <v>15.805099999999999</v>
      </c>
      <c r="AB190" s="36">
        <v>17.850000000000001</v>
      </c>
      <c r="AC190" s="92">
        <v>0.23566135357180129</v>
      </c>
    </row>
    <row r="191" spans="2:29" x14ac:dyDescent="0.2">
      <c r="B191" s="1" t="s">
        <v>606</v>
      </c>
      <c r="C191" s="1" t="s">
        <v>739</v>
      </c>
      <c r="D191" s="1" t="s">
        <v>615</v>
      </c>
      <c r="E191" s="36">
        <v>2278.6583999999998</v>
      </c>
      <c r="F191" s="36">
        <v>4269.3923999999997</v>
      </c>
      <c r="G191" s="36">
        <v>1549.8989999999999</v>
      </c>
      <c r="H191" s="36">
        <v>2006.2450000000001</v>
      </c>
      <c r="I191" s="36">
        <v>2239.0819999999999</v>
      </c>
      <c r="J191" s="173">
        <v>2.1280513596295565</v>
      </c>
      <c r="K191" s="173">
        <v>1.9067601811813948</v>
      </c>
      <c r="L191" s="171">
        <f t="shared" si="2"/>
        <v>0.29443596002062089</v>
      </c>
      <c r="M191" s="171">
        <v>0.11605611478159439</v>
      </c>
      <c r="N191" s="114">
        <v>861.35701245117184</v>
      </c>
      <c r="O191" s="176">
        <v>0.4293378986370916</v>
      </c>
      <c r="P191" s="36">
        <v>220.21899999999999</v>
      </c>
      <c r="Q191" s="183">
        <v>0.10976675331278084</v>
      </c>
      <c r="R191" s="36" t="s">
        <v>480</v>
      </c>
      <c r="S191" s="183" t="e">
        <v>#VALUE!</v>
      </c>
      <c r="T191" s="36" t="s">
        <v>480</v>
      </c>
      <c r="U191" s="183" t="e">
        <v>#VALUE!</v>
      </c>
      <c r="V191" s="36">
        <v>376.78800000000001</v>
      </c>
      <c r="W191" s="36">
        <v>448.07800000000003</v>
      </c>
      <c r="X191" s="183">
        <v>0.18780757085998967</v>
      </c>
      <c r="Y191" s="36">
        <v>154.95600000000002</v>
      </c>
      <c r="Z191" s="36">
        <v>155.839</v>
      </c>
      <c r="AA191" s="36">
        <v>-22.321651615104003</v>
      </c>
      <c r="AB191" s="36">
        <v>140.678</v>
      </c>
      <c r="AC191" s="92">
        <v>-1.112608460836239E-2</v>
      </c>
    </row>
    <row r="192" spans="2:29" x14ac:dyDescent="0.2">
      <c r="B192" s="1" t="s">
        <v>607</v>
      </c>
      <c r="C192" s="1" t="s">
        <v>740</v>
      </c>
      <c r="D192" s="1" t="s">
        <v>617</v>
      </c>
      <c r="E192" s="36">
        <v>29835.610499999999</v>
      </c>
      <c r="F192" s="36">
        <v>25857.610499999999</v>
      </c>
      <c r="G192" s="36">
        <v>4396</v>
      </c>
      <c r="H192" s="36">
        <v>4838</v>
      </c>
      <c r="I192" s="36">
        <v>5394.9750000000004</v>
      </c>
      <c r="J192" s="173">
        <v>5.3446900578751544</v>
      </c>
      <c r="K192" s="173">
        <v>4.7929064546174907</v>
      </c>
      <c r="L192" s="171">
        <f t="shared" si="2"/>
        <v>0.1005459508644222</v>
      </c>
      <c r="M192" s="171">
        <v>0.11512505167424569</v>
      </c>
      <c r="N192" s="114">
        <v>3503</v>
      </c>
      <c r="O192" s="176">
        <v>0.72405952873088053</v>
      </c>
      <c r="P192" s="36">
        <v>1320</v>
      </c>
      <c r="Q192" s="183">
        <v>0.27284001653575857</v>
      </c>
      <c r="R192" s="36">
        <v>641</v>
      </c>
      <c r="S192" s="183">
        <v>0.13249276560562215</v>
      </c>
      <c r="T192" s="36">
        <v>469</v>
      </c>
      <c r="U192" s="183">
        <v>9.6940884663083912E-2</v>
      </c>
      <c r="V192" s="36">
        <v>1151</v>
      </c>
      <c r="W192" s="36">
        <v>2024.567</v>
      </c>
      <c r="X192" s="183">
        <v>0.23790822653989252</v>
      </c>
      <c r="Y192" s="36">
        <v>1351</v>
      </c>
      <c r="Z192" s="36">
        <v>4258</v>
      </c>
      <c r="AA192" s="36">
        <v>881.07999999999993</v>
      </c>
      <c r="AB192" s="36">
        <v>1497.5920000000001</v>
      </c>
      <c r="AC192" s="92">
        <v>0.18211657709797435</v>
      </c>
    </row>
    <row r="193" spans="2:29" x14ac:dyDescent="0.2">
      <c r="B193" s="1" t="s">
        <v>608</v>
      </c>
      <c r="C193" s="1" t="s">
        <v>741</v>
      </c>
      <c r="D193" s="1" t="s">
        <v>617</v>
      </c>
      <c r="E193" s="36">
        <v>3285.8933999999999</v>
      </c>
      <c r="F193" s="36">
        <v>2858.7084</v>
      </c>
      <c r="G193" s="36">
        <v>741.42</v>
      </c>
      <c r="H193" s="36">
        <v>883.15200000000004</v>
      </c>
      <c r="I193" s="36">
        <v>981.11099999999999</v>
      </c>
      <c r="J193" s="173">
        <v>3.2369381488124351</v>
      </c>
      <c r="K193" s="173">
        <v>2.9137461510471292</v>
      </c>
      <c r="L193" s="171">
        <f t="shared" si="2"/>
        <v>0.19116290361738297</v>
      </c>
      <c r="M193" s="171">
        <v>0.11091975107342789</v>
      </c>
      <c r="N193" s="114">
        <v>610.00600537109381</v>
      </c>
      <c r="O193" s="176">
        <v>0.69071462825322683</v>
      </c>
      <c r="P193" s="36">
        <v>256.012</v>
      </c>
      <c r="Q193" s="183">
        <v>0.28988441400800768</v>
      </c>
      <c r="R193" s="36">
        <v>212.03</v>
      </c>
      <c r="S193" s="183">
        <v>0.24008324727793176</v>
      </c>
      <c r="T193" s="36">
        <v>108.65300000000001</v>
      </c>
      <c r="U193" s="183">
        <v>0.12302865191948838</v>
      </c>
      <c r="V193" s="36">
        <v>82.168000000000006</v>
      </c>
      <c r="W193" s="36">
        <v>197.02500000000001</v>
      </c>
      <c r="X193" s="183">
        <v>9.3039476783158506E-2</v>
      </c>
      <c r="Y193" s="36">
        <v>94.092000000000013</v>
      </c>
      <c r="Z193" s="36">
        <v>372.87</v>
      </c>
      <c r="AA193" s="36">
        <v>49.854209999999995</v>
      </c>
      <c r="AB193" s="36">
        <v>133.667</v>
      </c>
      <c r="AC193" s="92">
        <v>5.6450316593293103E-2</v>
      </c>
    </row>
    <row r="194" spans="2:29" x14ac:dyDescent="0.2">
      <c r="B194" s="1" t="s">
        <v>609</v>
      </c>
      <c r="C194" s="1" t="s">
        <v>742</v>
      </c>
      <c r="D194" s="1" t="s">
        <v>615</v>
      </c>
      <c r="E194" s="36">
        <v>2413.9250999999999</v>
      </c>
      <c r="F194" s="36">
        <v>2570.2040999999999</v>
      </c>
      <c r="G194" s="36">
        <v>692.62300000000005</v>
      </c>
      <c r="H194" s="36">
        <v>756.01800000000003</v>
      </c>
      <c r="I194" s="36">
        <v>833.2</v>
      </c>
      <c r="J194" s="173">
        <v>3.3996599287318552</v>
      </c>
      <c r="K194" s="173">
        <v>3.0847384781565048</v>
      </c>
      <c r="L194" s="171">
        <f t="shared" ref="L194:L198" si="3">(H194-G194)/G194</f>
        <v>9.1528869240553631E-2</v>
      </c>
      <c r="M194" s="171">
        <v>0.10209016187445275</v>
      </c>
      <c r="N194" s="114">
        <v>351.15899945068361</v>
      </c>
      <c r="O194" s="176">
        <v>0.46448497185342624</v>
      </c>
      <c r="P194" s="36">
        <v>66.022000000000006</v>
      </c>
      <c r="Q194" s="183">
        <v>8.7328608578102637E-2</v>
      </c>
      <c r="R194" s="36" t="s">
        <v>480</v>
      </c>
      <c r="S194" s="183" t="e">
        <v>#VALUE!</v>
      </c>
      <c r="T194" s="36" t="s">
        <v>480</v>
      </c>
      <c r="U194" s="183" t="e">
        <v>#VALUE!</v>
      </c>
      <c r="V194" s="36">
        <v>88.09</v>
      </c>
      <c r="W194" s="36">
        <v>142.917</v>
      </c>
      <c r="X194" s="183">
        <v>0.11651838977378845</v>
      </c>
      <c r="Y194" s="36">
        <v>35.474000000000004</v>
      </c>
      <c r="Z194" s="36">
        <v>32.423999999999999</v>
      </c>
      <c r="AA194" s="36">
        <v>25.583342077704</v>
      </c>
      <c r="AB194" s="36">
        <v>89.04</v>
      </c>
      <c r="AC194" s="92">
        <v>3.3839593869066605E-2</v>
      </c>
    </row>
    <row r="195" spans="2:29" x14ac:dyDescent="0.2">
      <c r="B195" s="1" t="s">
        <v>610</v>
      </c>
      <c r="C195" s="1" t="s">
        <v>743</v>
      </c>
      <c r="D195" s="1" t="s">
        <v>615</v>
      </c>
      <c r="E195" s="36">
        <v>4827.2302</v>
      </c>
      <c r="F195" s="36">
        <v>4868.8302000000003</v>
      </c>
      <c r="G195" s="36">
        <v>1082.9000000000001</v>
      </c>
      <c r="H195" s="36">
        <v>1286.5</v>
      </c>
      <c r="I195" s="36">
        <v>1414.836</v>
      </c>
      <c r="J195" s="173">
        <v>3.7845551496307817</v>
      </c>
      <c r="K195" s="173">
        <v>3.4412682459309774</v>
      </c>
      <c r="L195" s="171">
        <f t="shared" si="3"/>
        <v>0.18801366700526354</v>
      </c>
      <c r="M195" s="171">
        <v>9.9755926933540628E-2</v>
      </c>
      <c r="N195" s="114">
        <v>696.89999084472652</v>
      </c>
      <c r="O195" s="176">
        <v>0.54170228592672098</v>
      </c>
      <c r="P195" s="36">
        <v>173.6</v>
      </c>
      <c r="Q195" s="183">
        <v>0.13493975903614458</v>
      </c>
      <c r="R195" s="36">
        <v>252.2</v>
      </c>
      <c r="S195" s="183">
        <v>0.19603575592693354</v>
      </c>
      <c r="T195" s="36">
        <v>145.4</v>
      </c>
      <c r="U195" s="183">
        <v>0.11301982122036534</v>
      </c>
      <c r="V195" s="36">
        <v>325.79999999999995</v>
      </c>
      <c r="W195" s="36">
        <v>390.36400000000003</v>
      </c>
      <c r="X195" s="183">
        <v>0.25324523902059848</v>
      </c>
      <c r="Y195" s="36">
        <v>297.59999999999997</v>
      </c>
      <c r="Z195" s="36">
        <v>165.1</v>
      </c>
      <c r="AA195" s="36">
        <v>132.49198895886499</v>
      </c>
      <c r="AB195" s="36">
        <v>179.67600000000002</v>
      </c>
      <c r="AC195" s="92">
        <v>0.10298638861940536</v>
      </c>
    </row>
    <row r="196" spans="2:29" x14ac:dyDescent="0.2">
      <c r="B196" s="1" t="s">
        <v>611</v>
      </c>
      <c r="C196" s="1" t="s">
        <v>744</v>
      </c>
      <c r="D196" s="1" t="s">
        <v>617</v>
      </c>
      <c r="E196" s="36">
        <v>3645.0715</v>
      </c>
      <c r="F196" s="36">
        <v>3484.2853</v>
      </c>
      <c r="G196" s="36">
        <v>583.90300000000002</v>
      </c>
      <c r="H196" s="36">
        <v>106.27463551615409</v>
      </c>
      <c r="I196" s="36">
        <v>116.741</v>
      </c>
      <c r="J196" s="173">
        <v>32.785671605247494</v>
      </c>
      <c r="K196" s="173">
        <v>29.846286223349125</v>
      </c>
      <c r="L196" s="171">
        <f t="shared" si="3"/>
        <v>-0.81799265371790508</v>
      </c>
      <c r="M196" s="171">
        <v>9.8484124956184749E-2</v>
      </c>
      <c r="N196" s="114">
        <v>81.477672212029802</v>
      </c>
      <c r="O196" s="176">
        <v>0.76667091650147257</v>
      </c>
      <c r="P196" s="36" t="s">
        <v>480</v>
      </c>
      <c r="Q196" s="183" t="e">
        <v>#VALUE!</v>
      </c>
      <c r="R196" s="36">
        <v>29.383652730074935</v>
      </c>
      <c r="S196" s="183">
        <v>0.27648791818823526</v>
      </c>
      <c r="T196" s="36">
        <v>8.5565256221919981</v>
      </c>
      <c r="U196" s="183">
        <v>8.0513337737031135E-2</v>
      </c>
      <c r="V196" s="36">
        <v>46.149536384401458</v>
      </c>
      <c r="W196" s="36">
        <v>53.006</v>
      </c>
      <c r="X196" s="183">
        <v>0.4342478914207763</v>
      </c>
      <c r="Y196" s="36">
        <v>70.03</v>
      </c>
      <c r="Z196" s="36">
        <v>647.51599999999996</v>
      </c>
      <c r="AA196" s="36">
        <v>37.745532686694702</v>
      </c>
      <c r="AB196" s="36">
        <v>39.980000000000004</v>
      </c>
      <c r="AC196" s="92">
        <v>0.3551697213862216</v>
      </c>
    </row>
    <row r="197" spans="2:29" x14ac:dyDescent="0.2">
      <c r="B197" s="1" t="s">
        <v>612</v>
      </c>
      <c r="C197" s="1" t="s">
        <v>745</v>
      </c>
      <c r="D197" s="1" t="s">
        <v>495</v>
      </c>
      <c r="E197" s="36">
        <v>1006.0846</v>
      </c>
      <c r="F197" s="36">
        <v>988.6848</v>
      </c>
      <c r="G197" s="36">
        <v>73.400999999999996</v>
      </c>
      <c r="H197" s="36">
        <v>158.81090657152305</v>
      </c>
      <c r="I197" s="36">
        <v>172.51400000000001</v>
      </c>
      <c r="J197" s="173">
        <v>6.2255472331475534</v>
      </c>
      <c r="K197" s="173">
        <v>5.7310409589946323</v>
      </c>
      <c r="L197" s="171">
        <f t="shared" si="3"/>
        <v>1.1636068523797094</v>
      </c>
      <c r="M197" s="171">
        <v>8.6285594133961752E-2</v>
      </c>
      <c r="N197" s="114">
        <v>122.86743957034734</v>
      </c>
      <c r="O197" s="176">
        <v>0.77367129388567535</v>
      </c>
      <c r="P197" s="36">
        <v>15.0808138126222</v>
      </c>
      <c r="Q197" s="183">
        <v>9.4960819368097443E-2</v>
      </c>
      <c r="R197" s="36" t="s">
        <v>480</v>
      </c>
      <c r="S197" s="183" t="e">
        <v>#VALUE!</v>
      </c>
      <c r="T197" s="36" t="s">
        <v>480</v>
      </c>
      <c r="U197" s="183" t="e">
        <v>#VALUE!</v>
      </c>
      <c r="V197" s="36">
        <v>34.725540664341814</v>
      </c>
      <c r="W197" s="36">
        <v>38.368000000000002</v>
      </c>
      <c r="X197" s="183">
        <v>0.21865967151760202</v>
      </c>
      <c r="Y197" s="36">
        <v>25.52</v>
      </c>
      <c r="Z197" s="36">
        <v>22.753</v>
      </c>
      <c r="AA197" s="36">
        <v>16.478658119925523</v>
      </c>
      <c r="AB197" s="36">
        <v>27.196000000000002</v>
      </c>
      <c r="AC197" s="92">
        <v>0.10376276085612605</v>
      </c>
    </row>
    <row r="198" spans="2:29" x14ac:dyDescent="0.2">
      <c r="B198" s="1" t="s">
        <v>613</v>
      </c>
      <c r="C198" s="1" t="s">
        <v>746</v>
      </c>
      <c r="D198" s="1" t="s">
        <v>495</v>
      </c>
      <c r="E198" s="36">
        <v>532.57029999999997</v>
      </c>
      <c r="F198" s="36">
        <v>503.5813</v>
      </c>
      <c r="G198" s="36">
        <v>264.7</v>
      </c>
      <c r="H198" s="36">
        <v>390.21064688256155</v>
      </c>
      <c r="I198" s="36">
        <v>423.65500000000003</v>
      </c>
      <c r="J198" s="173">
        <v>1.2905370574154493</v>
      </c>
      <c r="K198" s="173">
        <v>1.1886589323860215</v>
      </c>
      <c r="L198" s="171">
        <f t="shared" si="3"/>
        <v>0.47416186959789031</v>
      </c>
      <c r="M198" s="171">
        <v>8.5708458712311808E-2</v>
      </c>
      <c r="N198" s="114">
        <v>208.1033694655994</v>
      </c>
      <c r="O198" s="176">
        <v>0.53331033155594687</v>
      </c>
      <c r="P198" s="36">
        <v>34.018854199922998</v>
      </c>
      <c r="Q198" s="183">
        <v>8.718074320038062E-2</v>
      </c>
      <c r="R198" s="36" t="s">
        <v>480</v>
      </c>
      <c r="S198" s="183" t="e">
        <v>#VALUE!</v>
      </c>
      <c r="T198" s="36">
        <v>172.67145692385159</v>
      </c>
      <c r="U198" s="183">
        <v>0.44250831775950766</v>
      </c>
      <c r="V198" s="36">
        <v>41.081894131577933</v>
      </c>
      <c r="W198" s="36">
        <v>41.76</v>
      </c>
      <c r="X198" s="183">
        <v>0.10528132550914739</v>
      </c>
      <c r="Y198" s="36">
        <v>12.2</v>
      </c>
      <c r="Z198" s="36">
        <v>22.7</v>
      </c>
      <c r="AA198" s="36">
        <v>28.187567163656766</v>
      </c>
      <c r="AB198" s="36">
        <v>23.518000000000001</v>
      </c>
      <c r="AC198" s="92">
        <v>7.2236796686227123E-2</v>
      </c>
    </row>
  </sheetData>
  <autoFilter ref="A1:AC1" xr:uid="{40B99B7E-0635-43B9-AB65-303DA01D54B7}"/>
  <conditionalFormatting sqref="B2:C198">
    <cfRule type="duplicateValues" dxfId="1" priority="1"/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filterMode="1"/>
  <dimension ref="A2:BL506"/>
  <sheetViews>
    <sheetView showGridLines="0" topLeftCell="AJ1" zoomScale="70" zoomScaleNormal="70" workbookViewId="0">
      <selection activeCell="AH14" sqref="AH14"/>
    </sheetView>
  </sheetViews>
  <sheetFormatPr defaultColWidth="12.5703125" defaultRowHeight="12.75" outlineLevelCol="1" x14ac:dyDescent="0.2"/>
  <cols>
    <col min="1" max="1" width="2.5703125" style="2" customWidth="1"/>
    <col min="2" max="2" width="23.85546875" style="2" hidden="1" customWidth="1"/>
    <col min="3" max="3" width="50.7109375" style="2" hidden="1" customWidth="1"/>
    <col min="4" max="13" width="10.42578125" style="2" hidden="1" customWidth="1"/>
    <col min="14" max="14" width="12.5703125" style="2" hidden="1" customWidth="1"/>
    <col min="15" max="15" width="16.140625" style="2" hidden="1" customWidth="1"/>
    <col min="16" max="16" width="35.42578125" style="2" hidden="1" customWidth="1"/>
    <col min="17" max="17" width="40.7109375" style="2" hidden="1" customWidth="1"/>
    <col min="18" max="18" width="15.5703125" style="2" hidden="1" customWidth="1"/>
    <col min="19" max="29" width="12.5703125" style="2" hidden="1" customWidth="1"/>
    <col min="30" max="30" width="16.140625" style="4" bestFit="1" customWidth="1"/>
    <col min="31" max="31" width="35.5703125" style="2" bestFit="1" customWidth="1" outlineLevel="1"/>
    <col min="32" max="32" width="22.85546875" style="2" customWidth="1" outlineLevel="1"/>
    <col min="33" max="35" width="12.5703125" style="2" customWidth="1" outlineLevel="1"/>
    <col min="36" max="36" width="15.85546875" style="2" customWidth="1" outlineLevel="1"/>
    <col min="37" max="38" width="12.5703125" style="2" customWidth="1" outlineLevel="1"/>
    <col min="39" max="39" width="12.28515625" style="2" customWidth="1" outlineLevel="1"/>
    <col min="40" max="46" width="12.5703125" style="2" customWidth="1" outlineLevel="1"/>
    <col min="47" max="16384" width="12.5703125" style="2"/>
  </cols>
  <sheetData>
    <row r="2" spans="1:64" x14ac:dyDescent="0.2">
      <c r="B2" s="3" t="s">
        <v>417</v>
      </c>
    </row>
    <row r="3" spans="1:64" x14ac:dyDescent="0.2">
      <c r="B3" s="2" t="s">
        <v>418</v>
      </c>
      <c r="C3" s="5" t="s">
        <v>419</v>
      </c>
      <c r="D3" s="6" t="s">
        <v>420</v>
      </c>
      <c r="E3" s="7"/>
    </row>
    <row r="4" spans="1:64" x14ac:dyDescent="0.2">
      <c r="B4" s="2" t="s">
        <v>421</v>
      </c>
      <c r="C4" s="8" t="s">
        <v>422</v>
      </c>
    </row>
    <row r="5" spans="1:64" x14ac:dyDescent="0.2">
      <c r="B5" s="8" t="s">
        <v>423</v>
      </c>
      <c r="C5" s="9">
        <v>43397</v>
      </c>
    </row>
    <row r="7" spans="1:64" ht="47.25" x14ac:dyDescent="0.2">
      <c r="B7" s="10" t="s">
        <v>424</v>
      </c>
      <c r="C7" s="10" t="s">
        <v>425</v>
      </c>
      <c r="D7" s="11" t="s">
        <v>426</v>
      </c>
      <c r="E7" s="11" t="s">
        <v>427</v>
      </c>
      <c r="F7" s="12" t="s">
        <v>428</v>
      </c>
      <c r="G7" s="13"/>
      <c r="H7" s="14" t="s">
        <v>429</v>
      </c>
      <c r="I7" s="13"/>
      <c r="J7" s="12" t="s">
        <v>430</v>
      </c>
      <c r="K7" s="12" t="s">
        <v>431</v>
      </c>
      <c r="L7" s="15" t="s">
        <v>432</v>
      </c>
      <c r="M7" s="15" t="s">
        <v>433</v>
      </c>
      <c r="S7" s="16" t="s">
        <v>434</v>
      </c>
      <c r="T7" s="16" t="s">
        <v>435</v>
      </c>
      <c r="U7" s="17" t="s">
        <v>436</v>
      </c>
      <c r="V7" s="17"/>
      <c r="W7" s="17" t="s">
        <v>437</v>
      </c>
      <c r="X7" s="17"/>
      <c r="Y7" s="17" t="s">
        <v>438</v>
      </c>
      <c r="Z7" s="17"/>
      <c r="AA7" s="17" t="s">
        <v>439</v>
      </c>
      <c r="AB7" s="17"/>
    </row>
    <row r="8" spans="1:64" ht="15.75" x14ac:dyDescent="0.2">
      <c r="B8" s="18"/>
      <c r="C8" s="18"/>
      <c r="D8" s="18"/>
      <c r="E8" s="18"/>
      <c r="F8" s="19" t="s">
        <v>440</v>
      </c>
      <c r="G8" s="20" t="s">
        <v>441</v>
      </c>
      <c r="H8" s="19" t="s">
        <v>440</v>
      </c>
      <c r="I8" s="20" t="s">
        <v>441</v>
      </c>
      <c r="J8" s="19" t="s">
        <v>441</v>
      </c>
      <c r="K8" s="19" t="s">
        <v>440</v>
      </c>
      <c r="L8" s="20" t="s">
        <v>440</v>
      </c>
      <c r="M8" s="20" t="s">
        <v>440</v>
      </c>
      <c r="S8" s="21"/>
      <c r="T8" s="21"/>
      <c r="U8" s="22" t="s">
        <v>442</v>
      </c>
      <c r="V8" s="23" t="s">
        <v>441</v>
      </c>
      <c r="W8" s="22" t="s">
        <v>442</v>
      </c>
      <c r="X8" s="23" t="s">
        <v>441</v>
      </c>
      <c r="Y8" s="22" t="s">
        <v>442</v>
      </c>
      <c r="Z8" s="23" t="s">
        <v>441</v>
      </c>
      <c r="AA8" s="22" t="s">
        <v>442</v>
      </c>
      <c r="AB8" s="23" t="s">
        <v>441</v>
      </c>
    </row>
    <row r="9" spans="1:64" ht="15" x14ac:dyDescent="0.2">
      <c r="B9" s="24" t="str">
        <f>P9</f>
        <v>Databricks</v>
      </c>
      <c r="C9" s="25" t="str">
        <f>Q9</f>
        <v>Advanced big data processing company.</v>
      </c>
      <c r="D9" s="26">
        <f>S9</f>
        <v>0</v>
      </c>
      <c r="E9" s="26">
        <f>T9</f>
        <v>0</v>
      </c>
      <c r="F9" s="27">
        <f t="shared" ref="F9:G9" si="0">U9</f>
        <v>0</v>
      </c>
      <c r="G9" s="28">
        <f t="shared" si="0"/>
        <v>0</v>
      </c>
      <c r="H9" s="29" t="e">
        <f>E9/F9</f>
        <v>#DIV/0!</v>
      </c>
      <c r="I9" s="30" t="e">
        <f>E9/G9</f>
        <v>#DIV/0!</v>
      </c>
      <c r="J9" s="31" t="e">
        <f>G9/F9-1</f>
        <v>#DIV/0!</v>
      </c>
      <c r="K9" s="32" t="e">
        <f>W9/F9</f>
        <v>#DIV/0!</v>
      </c>
      <c r="L9" s="33" t="e">
        <f>Y9/F9</f>
        <v>#DIV/0!</v>
      </c>
      <c r="M9" s="33" t="e">
        <f>AA9/F9</f>
        <v>#DIV/0!</v>
      </c>
      <c r="P9" s="34" t="s">
        <v>417</v>
      </c>
      <c r="Q9" s="35" t="s">
        <v>443</v>
      </c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J9" s="2" t="s">
        <v>444</v>
      </c>
      <c r="AM9" s="2" t="s">
        <v>444</v>
      </c>
      <c r="AR9" s="2" t="s">
        <v>444</v>
      </c>
      <c r="AT9" s="2" t="s">
        <v>444</v>
      </c>
    </row>
    <row r="10" spans="1:64" ht="15" x14ac:dyDescent="0.25">
      <c r="O10" s="8" t="s">
        <v>445</v>
      </c>
      <c r="AD10" s="4" t="s">
        <v>446</v>
      </c>
      <c r="AF10" s="2" t="s">
        <v>504</v>
      </c>
      <c r="AG10" s="2" t="s">
        <v>447</v>
      </c>
      <c r="AH10" s="2" t="s">
        <v>448</v>
      </c>
      <c r="AI10" s="3" t="s">
        <v>449</v>
      </c>
      <c r="AJ10" s="2" t="s">
        <v>450</v>
      </c>
      <c r="AL10" s="2" t="s">
        <v>451</v>
      </c>
      <c r="AM10" s="2" t="s">
        <v>452</v>
      </c>
      <c r="AN10" s="90" t="s">
        <v>502</v>
      </c>
      <c r="AO10" s="90" t="s">
        <v>503</v>
      </c>
      <c r="AP10" s="90" t="s">
        <v>501</v>
      </c>
      <c r="AQ10" s="2" t="s">
        <v>453</v>
      </c>
      <c r="AR10" s="2" t="s">
        <v>454</v>
      </c>
      <c r="AS10" s="2" t="s">
        <v>455</v>
      </c>
      <c r="AT10" s="2" t="s">
        <v>456</v>
      </c>
    </row>
    <row r="11" spans="1:64" x14ac:dyDescent="0.2">
      <c r="A11" s="2" t="s">
        <v>457</v>
      </c>
      <c r="B11" s="37" t="s">
        <v>458</v>
      </c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2" t="s">
        <v>457</v>
      </c>
      <c r="O11" s="37" t="s">
        <v>459</v>
      </c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D11" s="38" t="s">
        <v>459</v>
      </c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7"/>
      <c r="AV11" s="38" t="s">
        <v>459</v>
      </c>
      <c r="AW11" s="37"/>
      <c r="AX11" s="37"/>
      <c r="AY11" s="37"/>
      <c r="AZ11" s="37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</row>
    <row r="12" spans="1:64" ht="38.25" x14ac:dyDescent="0.2">
      <c r="B12" s="39" t="s">
        <v>424</v>
      </c>
      <c r="C12" s="39" t="s">
        <v>425</v>
      </c>
      <c r="D12" s="16" t="s">
        <v>426</v>
      </c>
      <c r="E12" s="16" t="s">
        <v>427</v>
      </c>
      <c r="F12" s="40" t="s">
        <v>428</v>
      </c>
      <c r="G12" s="17"/>
      <c r="H12" s="17" t="s">
        <v>429</v>
      </c>
      <c r="I12" s="17"/>
      <c r="J12" s="40" t="s">
        <v>460</v>
      </c>
      <c r="K12" s="40" t="s">
        <v>461</v>
      </c>
      <c r="L12" s="40" t="s">
        <v>432</v>
      </c>
      <c r="M12" s="40" t="s">
        <v>462</v>
      </c>
      <c r="O12" s="41" t="s">
        <v>0</v>
      </c>
      <c r="P12" s="42" t="s">
        <v>424</v>
      </c>
      <c r="Q12" s="42" t="s">
        <v>425</v>
      </c>
      <c r="R12" s="41" t="s">
        <v>463</v>
      </c>
      <c r="S12" s="16" t="s">
        <v>434</v>
      </c>
      <c r="T12" s="16" t="s">
        <v>435</v>
      </c>
      <c r="U12" s="17" t="s">
        <v>436</v>
      </c>
      <c r="V12" s="17"/>
      <c r="W12" s="17" t="s">
        <v>437</v>
      </c>
      <c r="X12" s="17"/>
      <c r="Y12" s="17" t="s">
        <v>438</v>
      </c>
      <c r="Z12" s="17"/>
      <c r="AA12" s="17" t="s">
        <v>439</v>
      </c>
      <c r="AB12" s="17"/>
      <c r="AD12" s="41" t="s">
        <v>0</v>
      </c>
      <c r="AE12" s="42" t="s">
        <v>424</v>
      </c>
      <c r="AF12" s="41" t="s">
        <v>463</v>
      </c>
      <c r="AG12" s="16" t="s">
        <v>434</v>
      </c>
      <c r="AH12" s="16" t="s">
        <v>435</v>
      </c>
      <c r="AI12" s="17" t="s">
        <v>436</v>
      </c>
      <c r="AJ12" s="17"/>
      <c r="AK12" s="17" t="s">
        <v>464</v>
      </c>
      <c r="AL12" s="17" t="s">
        <v>437</v>
      </c>
      <c r="AM12" s="17"/>
      <c r="AN12" s="17" t="s">
        <v>498</v>
      </c>
      <c r="AO12" s="17" t="s">
        <v>499</v>
      </c>
      <c r="AP12" s="17" t="s">
        <v>500</v>
      </c>
      <c r="AQ12" s="17" t="s">
        <v>438</v>
      </c>
      <c r="AR12" s="17"/>
      <c r="AS12" s="17" t="s">
        <v>439</v>
      </c>
      <c r="AT12" s="17"/>
      <c r="AV12" s="41" t="s">
        <v>0</v>
      </c>
      <c r="AW12" s="42" t="s">
        <v>424</v>
      </c>
      <c r="AX12" s="41" t="s">
        <v>463</v>
      </c>
      <c r="AY12" s="16" t="s">
        <v>434</v>
      </c>
      <c r="AZ12" s="16" t="s">
        <v>435</v>
      </c>
      <c r="BA12" s="17" t="s">
        <v>436</v>
      </c>
      <c r="BB12" s="17"/>
      <c r="BC12" s="17" t="s">
        <v>464</v>
      </c>
      <c r="BD12" s="17" t="s">
        <v>437</v>
      </c>
      <c r="BE12" s="17"/>
      <c r="BF12" s="17" t="s">
        <v>498</v>
      </c>
      <c r="BG12" s="17" t="s">
        <v>499</v>
      </c>
      <c r="BH12" s="17" t="s">
        <v>500</v>
      </c>
      <c r="BI12" s="17" t="s">
        <v>438</v>
      </c>
      <c r="BJ12" s="17"/>
      <c r="BK12" s="17" t="s">
        <v>439</v>
      </c>
      <c r="BL12" s="17"/>
    </row>
    <row r="13" spans="1:64" x14ac:dyDescent="0.2">
      <c r="B13" s="21"/>
      <c r="C13" s="21"/>
      <c r="D13" s="21"/>
      <c r="E13" s="21"/>
      <c r="F13" s="22" t="s">
        <v>440</v>
      </c>
      <c r="G13" s="22" t="s">
        <v>441</v>
      </c>
      <c r="H13" s="22" t="s">
        <v>440</v>
      </c>
      <c r="I13" s="22" t="s">
        <v>441</v>
      </c>
      <c r="J13" s="22" t="s">
        <v>441</v>
      </c>
      <c r="K13" s="22" t="s">
        <v>440</v>
      </c>
      <c r="L13" s="22" t="s">
        <v>440</v>
      </c>
      <c r="M13" s="22" t="s">
        <v>440</v>
      </c>
      <c r="N13" s="43"/>
      <c r="O13" s="21"/>
      <c r="P13" s="21"/>
      <c r="Q13" s="21"/>
      <c r="R13" s="21"/>
      <c r="S13" s="21"/>
      <c r="T13" s="21"/>
      <c r="U13" s="22" t="s">
        <v>440</v>
      </c>
      <c r="V13" s="23" t="s">
        <v>441</v>
      </c>
      <c r="W13" s="22" t="s">
        <v>440</v>
      </c>
      <c r="X13" s="23" t="s">
        <v>441</v>
      </c>
      <c r="Y13" s="22" t="s">
        <v>440</v>
      </c>
      <c r="Z13" s="23" t="s">
        <v>441</v>
      </c>
      <c r="AA13" s="22" t="s">
        <v>440</v>
      </c>
      <c r="AB13" s="23" t="s">
        <v>441</v>
      </c>
      <c r="AC13" s="43"/>
      <c r="AD13" s="22"/>
      <c r="AE13" s="21"/>
      <c r="AF13" s="21"/>
      <c r="AG13" s="21"/>
      <c r="AH13" s="21"/>
      <c r="AI13" s="22" t="s">
        <v>440</v>
      </c>
      <c r="AJ13" s="23" t="s">
        <v>441</v>
      </c>
      <c r="AK13" s="23"/>
      <c r="AL13" s="22" t="s">
        <v>440</v>
      </c>
      <c r="AM13" s="23" t="s">
        <v>441</v>
      </c>
      <c r="AN13" s="23"/>
      <c r="AO13" s="23"/>
      <c r="AP13" s="23"/>
      <c r="AQ13" s="22" t="s">
        <v>440</v>
      </c>
      <c r="AR13" s="23" t="s">
        <v>441</v>
      </c>
      <c r="AS13" s="22" t="s">
        <v>440</v>
      </c>
      <c r="AT13" s="23" t="s">
        <v>441</v>
      </c>
      <c r="AV13" s="22"/>
      <c r="AW13" s="21"/>
      <c r="AX13" s="21"/>
      <c r="AY13" s="21"/>
      <c r="AZ13" s="21"/>
      <c r="BA13" s="22" t="s">
        <v>440</v>
      </c>
      <c r="BB13" s="23" t="s">
        <v>441</v>
      </c>
      <c r="BC13" s="23"/>
      <c r="BD13" s="22" t="s">
        <v>440</v>
      </c>
      <c r="BE13" s="23" t="s">
        <v>441</v>
      </c>
      <c r="BF13" s="23"/>
      <c r="BG13" s="23"/>
      <c r="BH13" s="23"/>
      <c r="BI13" s="22" t="s">
        <v>440</v>
      </c>
      <c r="BJ13" s="23" t="s">
        <v>441</v>
      </c>
      <c r="BK13" s="22" t="s">
        <v>440</v>
      </c>
      <c r="BL13" s="23" t="s">
        <v>441</v>
      </c>
    </row>
    <row r="14" spans="1:64" ht="15.75" x14ac:dyDescent="0.2">
      <c r="B14" s="18"/>
      <c r="C14" s="18"/>
      <c r="D14" s="18"/>
      <c r="E14" s="18"/>
      <c r="F14" s="19" t="s">
        <v>440</v>
      </c>
      <c r="G14" s="20" t="s">
        <v>441</v>
      </c>
      <c r="H14" s="19" t="s">
        <v>440</v>
      </c>
      <c r="I14" s="20" t="s">
        <v>441</v>
      </c>
      <c r="J14" s="19" t="s">
        <v>441</v>
      </c>
      <c r="K14" s="19" t="s">
        <v>440</v>
      </c>
      <c r="L14" s="20" t="s">
        <v>440</v>
      </c>
      <c r="M14" s="20" t="s">
        <v>440</v>
      </c>
      <c r="AD14" s="1" t="s">
        <v>1</v>
      </c>
      <c r="AE14" s="1" t="s">
        <v>2</v>
      </c>
      <c r="AF14" s="36" t="e">
        <f ca="1">_xll.BDP($AD14,AF$10)</f>
        <v>#NAME?</v>
      </c>
      <c r="AG14" s="36" t="e">
        <f ca="1">_xll.BDH($AD14,AG$10,$C$5,$C$5,"EQY_FUND_CRNCY=USD")</f>
        <v>#NAME?</v>
      </c>
      <c r="AH14" s="36" t="e">
        <f ca="1">_xll.BDH($AD14,AH$10,$C$5,$C$5,"EQY_FUND_CRNCY=USD")</f>
        <v>#NAME?</v>
      </c>
      <c r="AI14" s="36" t="e">
        <f ca="1">_xll.BDP($AD14,AI$10,"EQY_FUND_CRNCY=USD","FA_ADJUSTED=Y")</f>
        <v>#NAME?</v>
      </c>
      <c r="AJ14" s="36" t="e">
        <f ca="1">_xll.BDP($AD14,AJ$10,"BEST_FPERIOD_OVERRIDE=1TY","EQY_FUND_CRNCY=USD","FA_ADJUSTED=Y")</f>
        <v>#NAME?</v>
      </c>
      <c r="AK14" s="44" t="e">
        <f t="shared" ref="AK14" ca="1" si="1">(AJ14/AI14)-1</f>
        <v>#NAME?</v>
      </c>
      <c r="AL14" s="36" t="e">
        <f ca="1">_xll.BDP($AD14,AL$10,"EQY_FUND_CRNCY=USD","FA_ADJUSTED=Y")</f>
        <v>#NAME?</v>
      </c>
      <c r="AM14" s="36" t="e">
        <f ca="1">_xll.BDP($AD14,AM$10,"BEST_FPERIOD_OVERRIDE=1TY","EQY_FUND_CRNCY=USD","FA_ADJUSTED=Y")</f>
        <v>#NAME?</v>
      </c>
      <c r="AN14" s="36" t="e">
        <f ca="1">_xll.BDP($AD14,AN$10,"BEST_FPERIOD_OVERRIDE=1TY","EQY_FUND_CRNCY=USD","FA_ADJUSTED=Y")</f>
        <v>#NAME?</v>
      </c>
      <c r="AO14" s="36" t="e">
        <f ca="1">_xll.BDP($AD14,AO$10,"BEST_FPERIOD_OVERRIDE=1TY","EQY_FUND_CRNCY=USD","FA_ADJUSTED=Y")</f>
        <v>#NAME?</v>
      </c>
      <c r="AP14" s="36" t="e">
        <f ca="1">_xll.BDP($AD14,AP$10,"BEST_FPERIOD_OVERRIDE=1TY","EQY_FUND_CRNCY=USD","FA_ADJUSTED=Y")</f>
        <v>#NAME?</v>
      </c>
      <c r="AQ14" s="36" t="e">
        <f ca="1">_xll.BDP($AD14,AQ$10,"EQY_FUND_CRNCY=USD","FA_ADJUSTED=Y")</f>
        <v>#NAME?</v>
      </c>
      <c r="AR14" s="36" t="e">
        <f ca="1">_xll.BDP($AD14,AR$10,"BEST_FPERIOD_OVERRIDE=1TY","EQY_FUND_CRNCY=USD","FA_ADJUSTED=Y")</f>
        <v>#NAME?</v>
      </c>
      <c r="AS14" s="36" t="e">
        <f ca="1">_xll.BDP($AD14,AS$10,"EQY_FUND_CRNCY=USD","FA_ADJUSTED=Y")</f>
        <v>#NAME?</v>
      </c>
      <c r="AT14" s="36" t="e">
        <f ca="1">_xll.BDP($AD14,AT$10,"BEST_FPERIOD_OVERRIDE=1TY","EQY_FUND_CRNCY=USD","FA_ADJUSTED=Y")</f>
        <v>#NAME?</v>
      </c>
      <c r="AV14" s="1" t="s">
        <v>1</v>
      </c>
      <c r="AW14" s="1" t="s">
        <v>2</v>
      </c>
      <c r="AX14" s="36" t="s">
        <v>505</v>
      </c>
      <c r="AY14" s="36">
        <v>809670.37990000006</v>
      </c>
      <c r="AZ14" s="36">
        <v>759109.37990000006</v>
      </c>
      <c r="BA14" s="36">
        <v>110360</v>
      </c>
      <c r="BB14" s="36">
        <v>122897.462</v>
      </c>
      <c r="BC14" s="44">
        <v>0.11360512866980788</v>
      </c>
      <c r="BD14" s="36">
        <v>72007</v>
      </c>
      <c r="BE14" s="36">
        <v>65.683999999999997</v>
      </c>
      <c r="BF14" s="36">
        <v>14726</v>
      </c>
      <c r="BG14" s="36">
        <v>17469</v>
      </c>
      <c r="BH14" s="36">
        <v>4754</v>
      </c>
      <c r="BI14" s="36">
        <v>45319</v>
      </c>
      <c r="BJ14" s="36">
        <v>53201.4</v>
      </c>
      <c r="BK14" s="36">
        <v>27500.14</v>
      </c>
      <c r="BL14" s="36">
        <v>33168.381000000001</v>
      </c>
    </row>
    <row r="15" spans="1:64" ht="15" x14ac:dyDescent="0.2">
      <c r="B15" s="46" t="str">
        <f t="shared" ref="B15:M15" si="2">B$9</f>
        <v>Databricks</v>
      </c>
      <c r="C15" s="46" t="str">
        <f t="shared" si="2"/>
        <v>Advanced big data processing company.</v>
      </c>
      <c r="D15" s="47">
        <f t="shared" si="2"/>
        <v>0</v>
      </c>
      <c r="E15" s="47">
        <f t="shared" si="2"/>
        <v>0</v>
      </c>
      <c r="F15" s="48">
        <f t="shared" si="2"/>
        <v>0</v>
      </c>
      <c r="G15" s="49">
        <f t="shared" si="2"/>
        <v>0</v>
      </c>
      <c r="H15" s="50" t="e">
        <f t="shared" si="2"/>
        <v>#DIV/0!</v>
      </c>
      <c r="I15" s="51" t="e">
        <f t="shared" si="2"/>
        <v>#DIV/0!</v>
      </c>
      <c r="J15" s="52" t="e">
        <f t="shared" si="2"/>
        <v>#DIV/0!</v>
      </c>
      <c r="K15" s="52" t="e">
        <f t="shared" si="2"/>
        <v>#DIV/0!</v>
      </c>
      <c r="L15" s="53" t="e">
        <f t="shared" si="2"/>
        <v>#DIV/0!</v>
      </c>
      <c r="M15" s="53" t="e">
        <f t="shared" si="2"/>
        <v>#DIV/0!</v>
      </c>
      <c r="AD15" s="1" t="s">
        <v>3</v>
      </c>
      <c r="AE15" s="1" t="s">
        <v>4</v>
      </c>
      <c r="AF15" s="36" t="e">
        <f ca="1">_xll.BDP($AD15,AF$10)</f>
        <v>#NAME?</v>
      </c>
      <c r="AG15" s="36" t="e">
        <f ca="1">_xll.BDH($AD15,AG$10,$C$5,$C$5,"EQY_FUND_CRNCY=USD")</f>
        <v>#NAME?</v>
      </c>
      <c r="AH15" s="36" t="e">
        <f ca="1">_xll.BDH($AD15,AH$10,$C$5,$C$5,"EQY_FUND_CRNCY=USD")</f>
        <v>#NAME?</v>
      </c>
      <c r="AI15" s="36" t="e">
        <f ca="1">_xll.BDP($AD15,AI$10,"EQY_FUND_CRNCY=USD","FA_ADJUSTED=Y")</f>
        <v>#NAME?</v>
      </c>
      <c r="AJ15" s="36" t="e">
        <f ca="1">_xll.BDP($AD15,AJ$10,"BEST_FPERIOD_OVERRIDE=1TY","EQY_FUND_CRNCY=USD","FA_ADJUSTED=Y")</f>
        <v>#NAME?</v>
      </c>
      <c r="AK15" s="44" t="e">
        <f t="shared" ref="AK15:AK78" ca="1" si="3">(AJ15/AI15)-1</f>
        <v>#NAME?</v>
      </c>
      <c r="AL15" s="36" t="e">
        <f ca="1">_xll.BDP($AD15,AL$10,"EQY_FUND_CRNCY=USD","FA_ADJUSTED=Y")</f>
        <v>#NAME?</v>
      </c>
      <c r="AM15" s="36" t="e">
        <f ca="1">_xll.BDP($AD15,AM$10,"BEST_FPERIOD_OVERRIDE=1TY","EQY_FUND_CRNCY=USD","FA_ADJUSTED=Y")</f>
        <v>#NAME?</v>
      </c>
      <c r="AN15" s="36" t="e">
        <f ca="1">_xll.BDP($AD15,AN$10,"BEST_FPERIOD_OVERRIDE=1TY","EQY_FUND_CRNCY=USD","FA_ADJUSTED=Y")</f>
        <v>#NAME?</v>
      </c>
      <c r="AO15" s="36" t="e">
        <f ca="1">_xll.BDP($AD15,AO$10,"BEST_FPERIOD_OVERRIDE=1TY","EQY_FUND_CRNCY=USD","FA_ADJUSTED=Y")</f>
        <v>#NAME?</v>
      </c>
      <c r="AP15" s="36" t="e">
        <f ca="1">_xll.BDP($AD15,AP$10,"BEST_FPERIOD_OVERRIDE=1TY","EQY_FUND_CRNCY=USD","FA_ADJUSTED=Y")</f>
        <v>#NAME?</v>
      </c>
      <c r="AQ15" s="36" t="e">
        <f ca="1">_xll.BDP($AD15,AQ$10,"EQY_FUND_CRNCY=USD","FA_ADJUSTED=Y")</f>
        <v>#NAME?</v>
      </c>
      <c r="AR15" s="36" t="e">
        <f ca="1">_xll.BDP($AD15,AR$10,"BEST_FPERIOD_OVERRIDE=1TY","EQY_FUND_CRNCY=USD","FA_ADJUSTED=Y")</f>
        <v>#NAME?</v>
      </c>
      <c r="AS15" s="36" t="e">
        <f ca="1">_xll.BDP($AD15,AS$10,"EQY_FUND_CRNCY=USD","FA_ADJUSTED=Y")</f>
        <v>#NAME?</v>
      </c>
      <c r="AT15" s="36" t="e">
        <f ca="1">_xll.BDP($AD15,AT$10,"BEST_FPERIOD_OVERRIDE=1TY","EQY_FUND_CRNCY=USD","FA_ADJUSTED=Y")</f>
        <v>#NAME?</v>
      </c>
      <c r="AV15" s="1" t="s">
        <v>3</v>
      </c>
      <c r="AW15" s="1" t="s">
        <v>4</v>
      </c>
      <c r="AX15" s="36" t="s">
        <v>506</v>
      </c>
      <c r="AY15" s="36">
        <v>280035.06410000002</v>
      </c>
      <c r="AZ15" s="36">
        <v>285909.06410000002</v>
      </c>
      <c r="BA15" s="36">
        <v>20030</v>
      </c>
      <c r="BB15" s="36">
        <v>22260.81</v>
      </c>
      <c r="BC15" s="44">
        <v>0.11137343984023973</v>
      </c>
      <c r="BD15" s="36" t="s">
        <v>480</v>
      </c>
      <c r="BE15" s="36">
        <v>78.5</v>
      </c>
      <c r="BF15" s="36">
        <v>0</v>
      </c>
      <c r="BG15" s="36">
        <v>922</v>
      </c>
      <c r="BH15" s="36">
        <v>1060</v>
      </c>
      <c r="BI15" s="36">
        <v>13959</v>
      </c>
      <c r="BJ15" s="36">
        <v>15801.571</v>
      </c>
      <c r="BK15" s="36">
        <v>10074.299999999999</v>
      </c>
      <c r="BL15" s="36">
        <v>11534.403</v>
      </c>
    </row>
    <row r="16" spans="1:64" ht="15" x14ac:dyDescent="0.2">
      <c r="B16" s="54" t="s">
        <v>465</v>
      </c>
      <c r="C16" s="54" t="e">
        <f>VLOOKUP($B16,#REF!,COLUMNS($B16:C16),0)</f>
        <v>#REF!</v>
      </c>
      <c r="D16" s="55" t="e">
        <f>VLOOKUP($B16,#REF!,COLUMNS($B16:D16),0)</f>
        <v>#REF!</v>
      </c>
      <c r="E16" s="55" t="e">
        <f>VLOOKUP($B16,#REF!,COLUMNS($B16:E16),0)</f>
        <v>#REF!</v>
      </c>
      <c r="F16" s="56" t="e">
        <f>VLOOKUP($B16,#REF!,COLUMNS($B16:F16),0)</f>
        <v>#REF!</v>
      </c>
      <c r="G16" s="57" t="e">
        <f>VLOOKUP($B16,#REF!,COLUMNS($B16:G16),0)</f>
        <v>#REF!</v>
      </c>
      <c r="H16" s="58" t="e">
        <f>VLOOKUP($B16,#REF!,COLUMNS($B16:H16),0)</f>
        <v>#REF!</v>
      </c>
      <c r="I16" s="59" t="e">
        <f>VLOOKUP($B16,#REF!,COLUMNS($B16:I16),0)</f>
        <v>#REF!</v>
      </c>
      <c r="J16" s="60" t="e">
        <f>VLOOKUP($B16,#REF!,COLUMNS($B16:J16),0)</f>
        <v>#REF!</v>
      </c>
      <c r="K16" s="60" t="e">
        <f>VLOOKUP($B16,#REF!,COLUMNS($B16:K16),0)</f>
        <v>#REF!</v>
      </c>
      <c r="L16" s="61" t="e">
        <f>VLOOKUP($B16,#REF!,COLUMNS($B16:L16),0)</f>
        <v>#REF!</v>
      </c>
      <c r="M16" s="61" t="e">
        <f>VLOOKUP($B16,#REF!,COLUMNS($B16:M16),0)</f>
        <v>#REF!</v>
      </c>
      <c r="AD16" s="1" t="s">
        <v>5</v>
      </c>
      <c r="AE16" s="1" t="s">
        <v>6</v>
      </c>
      <c r="AF16" s="36" t="e">
        <f ca="1">_xll.BDP($AD16,AF$10)</f>
        <v>#NAME?</v>
      </c>
      <c r="AG16" s="36" t="e">
        <f ca="1">_xll.BDH($AD16,AG$10,$C$5,$C$5,"EQY_FUND_CRNCY=USD")</f>
        <v>#NAME?</v>
      </c>
      <c r="AH16" s="36" t="e">
        <f ca="1">_xll.BDH($AD16,AH$10,$C$5,$C$5,"EQY_FUND_CRNCY=USD")</f>
        <v>#NAME?</v>
      </c>
      <c r="AI16" s="36" t="e">
        <f ca="1">_xll.BDP($AD16,AI$10,"EQY_FUND_CRNCY=USD","FA_ADJUSTED=Y")</f>
        <v>#NAME?</v>
      </c>
      <c r="AJ16" s="36" t="e">
        <f ca="1">_xll.BDP($AD16,AJ$10,"BEST_FPERIOD_OVERRIDE=1TY","EQY_FUND_CRNCY=USD","FA_ADJUSTED=Y")</f>
        <v>#NAME?</v>
      </c>
      <c r="AK16" s="44" t="e">
        <f t="shared" ca="1" si="3"/>
        <v>#NAME?</v>
      </c>
      <c r="AL16" s="36" t="e">
        <f ca="1">_xll.BDP($AD16,AL$10,"EQY_FUND_CRNCY=USD","FA_ADJUSTED=Y")</f>
        <v>#NAME?</v>
      </c>
      <c r="AM16" s="36" t="e">
        <f ca="1">_xll.BDP($AD16,AM$10,"BEST_FPERIOD_OVERRIDE=1TY","EQY_FUND_CRNCY=USD","FA_ADJUSTED=Y")</f>
        <v>#NAME?</v>
      </c>
      <c r="AN16" s="36" t="e">
        <f ca="1">_xll.BDP($AD16,AN$10,"BEST_FPERIOD_OVERRIDE=1TY","EQY_FUND_CRNCY=USD","FA_ADJUSTED=Y")</f>
        <v>#NAME?</v>
      </c>
      <c r="AO16" s="36" t="e">
        <f ca="1">_xll.BDP($AD16,AO$10,"BEST_FPERIOD_OVERRIDE=1TY","EQY_FUND_CRNCY=USD","FA_ADJUSTED=Y")</f>
        <v>#NAME?</v>
      </c>
      <c r="AP16" s="36" t="e">
        <f ca="1">_xll.BDP($AD16,AP$10,"BEST_FPERIOD_OVERRIDE=1TY","EQY_FUND_CRNCY=USD","FA_ADJUSTED=Y")</f>
        <v>#NAME?</v>
      </c>
      <c r="AQ16" s="36" t="e">
        <f ca="1">_xll.BDP($AD16,AQ$10,"EQY_FUND_CRNCY=USD","FA_ADJUSTED=Y")</f>
        <v>#NAME?</v>
      </c>
      <c r="AR16" s="36" t="e">
        <f ca="1">_xll.BDP($AD16,AR$10,"BEST_FPERIOD_OVERRIDE=1TY","EQY_FUND_CRNCY=USD","FA_ADJUSTED=Y")</f>
        <v>#NAME?</v>
      </c>
      <c r="AS16" s="36" t="e">
        <f ca="1">_xll.BDP($AD16,AS$10,"EQY_FUND_CRNCY=USD","FA_ADJUSTED=Y")</f>
        <v>#NAME?</v>
      </c>
      <c r="AT16" s="36" t="e">
        <f ca="1">_xll.BDP($AD16,AT$10,"BEST_FPERIOD_OVERRIDE=1TY","EQY_FUND_CRNCY=USD","FA_ADJUSTED=Y")</f>
        <v>#NAME?</v>
      </c>
      <c r="AV16" s="1" t="s">
        <v>5</v>
      </c>
      <c r="AW16" s="1" t="s">
        <v>6</v>
      </c>
      <c r="AX16" s="36" t="s">
        <v>506</v>
      </c>
      <c r="AY16" s="36">
        <v>207970.87839999999</v>
      </c>
      <c r="AZ16" s="36">
        <v>204635.87839999999</v>
      </c>
      <c r="BA16" s="36">
        <v>13955</v>
      </c>
      <c r="BB16" s="36">
        <v>15841.675999999999</v>
      </c>
      <c r="BC16" s="44">
        <v>0.13519713364385511</v>
      </c>
      <c r="BD16" s="36" t="s">
        <v>480</v>
      </c>
      <c r="BE16" s="36">
        <v>29.6</v>
      </c>
      <c r="BF16" s="36">
        <v>0</v>
      </c>
      <c r="BG16" s="36">
        <v>898</v>
      </c>
      <c r="BH16" s="36">
        <v>4526</v>
      </c>
      <c r="BI16" s="36">
        <v>8138</v>
      </c>
      <c r="BJ16" s="36">
        <v>9460.01</v>
      </c>
      <c r="BK16" s="36">
        <v>5963</v>
      </c>
      <c r="BL16" s="36">
        <v>7070.2359999999999</v>
      </c>
    </row>
    <row r="17" spans="2:64" ht="15" x14ac:dyDescent="0.2">
      <c r="B17" s="62" t="s">
        <v>466</v>
      </c>
      <c r="C17" s="54" t="e">
        <f>VLOOKUP($B17,#REF!,COLUMNS($B17:C17),0)</f>
        <v>#REF!</v>
      </c>
      <c r="D17" s="55" t="e">
        <f>VLOOKUP($B17,#REF!,COLUMNS($B17:D17),0)</f>
        <v>#REF!</v>
      </c>
      <c r="E17" s="55" t="e">
        <f>VLOOKUP($B17,#REF!,COLUMNS($B17:E17),0)</f>
        <v>#REF!</v>
      </c>
      <c r="F17" s="56" t="e">
        <f>VLOOKUP($B17,#REF!,COLUMNS($B17:F17),0)</f>
        <v>#REF!</v>
      </c>
      <c r="G17" s="57" t="e">
        <f>VLOOKUP($B17,#REF!,COLUMNS($B17:G17),0)</f>
        <v>#REF!</v>
      </c>
      <c r="H17" s="58" t="e">
        <f>VLOOKUP($B17,#REF!,COLUMNS($B17:H17),0)</f>
        <v>#REF!</v>
      </c>
      <c r="I17" s="59" t="e">
        <f>VLOOKUP($B17,#REF!,COLUMNS($B17:I17),0)</f>
        <v>#REF!</v>
      </c>
      <c r="J17" s="60" t="e">
        <f>VLOOKUP($B17,#REF!,COLUMNS($B17:J17),0)</f>
        <v>#REF!</v>
      </c>
      <c r="K17" s="60" t="e">
        <f>VLOOKUP($B17,#REF!,COLUMNS($B17:K17),0)</f>
        <v>#REF!</v>
      </c>
      <c r="L17" s="61" t="e">
        <f>VLOOKUP($B17,#REF!,COLUMNS($B17:L17),0)</f>
        <v>#REF!</v>
      </c>
      <c r="M17" s="61" t="e">
        <f>VLOOKUP($B17,#REF!,COLUMNS($B17:M17),0)</f>
        <v>#REF!</v>
      </c>
      <c r="AD17" s="1" t="s">
        <v>7</v>
      </c>
      <c r="AE17" s="1" t="s">
        <v>8</v>
      </c>
      <c r="AF17" s="36" t="e">
        <f ca="1">_xll.BDP($AD17,AF$10)</f>
        <v>#NAME?</v>
      </c>
      <c r="AG17" s="36" t="e">
        <f ca="1">_xll.BDH($AD17,AG$10,$C$5,$C$5,"EQY_FUND_CRNCY=USD")</f>
        <v>#NAME?</v>
      </c>
      <c r="AH17" s="36" t="e">
        <f ca="1">_xll.BDH($AD17,AH$10,$C$5,$C$5,"EQY_FUND_CRNCY=USD")</f>
        <v>#NAME?</v>
      </c>
      <c r="AI17" s="36" t="e">
        <f ca="1">_xll.BDP($AD17,AI$10,"EQY_FUND_CRNCY=USD","FA_ADJUSTED=Y")</f>
        <v>#NAME?</v>
      </c>
      <c r="AJ17" s="36" t="e">
        <f ca="1">_xll.BDP($AD17,AJ$10,"BEST_FPERIOD_OVERRIDE=1TY","EQY_FUND_CRNCY=USD","FA_ADJUSTED=Y")</f>
        <v>#NAME?</v>
      </c>
      <c r="AK17" s="44" t="e">
        <f t="shared" ca="1" si="3"/>
        <v>#NAME?</v>
      </c>
      <c r="AL17" s="36" t="e">
        <f ca="1">_xll.BDP($AD17,AL$10,"EQY_FUND_CRNCY=USD","FA_ADJUSTED=Y")</f>
        <v>#NAME?</v>
      </c>
      <c r="AM17" s="36" t="e">
        <f ca="1">_xll.BDP($AD17,AM$10,"BEST_FPERIOD_OVERRIDE=1TY","EQY_FUND_CRNCY=USD","FA_ADJUSTED=Y")</f>
        <v>#NAME?</v>
      </c>
      <c r="AN17" s="36" t="e">
        <f ca="1">_xll.BDP($AD17,AN$10,"BEST_FPERIOD_OVERRIDE=1TY","EQY_FUND_CRNCY=USD","FA_ADJUSTED=Y")</f>
        <v>#NAME?</v>
      </c>
      <c r="AO17" s="36" t="e">
        <f ca="1">_xll.BDP($AD17,AO$10,"BEST_FPERIOD_OVERRIDE=1TY","EQY_FUND_CRNCY=USD","FA_ADJUSTED=Y")</f>
        <v>#NAME?</v>
      </c>
      <c r="AP17" s="36" t="e">
        <f ca="1">_xll.BDP($AD17,AP$10,"BEST_FPERIOD_OVERRIDE=1TY","EQY_FUND_CRNCY=USD","FA_ADJUSTED=Y")</f>
        <v>#NAME?</v>
      </c>
      <c r="AQ17" s="36" t="e">
        <f ca="1">_xll.BDP($AD17,AQ$10,"EQY_FUND_CRNCY=USD","FA_ADJUSTED=Y")</f>
        <v>#NAME?</v>
      </c>
      <c r="AR17" s="36" t="e">
        <f ca="1">_xll.BDP($AD17,AR$10,"BEST_FPERIOD_OVERRIDE=1TY","EQY_FUND_CRNCY=USD","FA_ADJUSTED=Y")</f>
        <v>#NAME?</v>
      </c>
      <c r="AS17" s="36" t="e">
        <f ca="1">_xll.BDP($AD17,AS$10,"EQY_FUND_CRNCY=USD","FA_ADJUSTED=Y")</f>
        <v>#NAME?</v>
      </c>
      <c r="AT17" s="36" t="e">
        <f ca="1">_xll.BDP($AD17,AT$10,"BEST_FPERIOD_OVERRIDE=1TY","EQY_FUND_CRNCY=USD","FA_ADJUSTED=Y")</f>
        <v>#NAME?</v>
      </c>
      <c r="AV17" s="1" t="s">
        <v>7</v>
      </c>
      <c r="AW17" s="1" t="s">
        <v>8</v>
      </c>
      <c r="AX17" s="36" t="s">
        <v>505</v>
      </c>
      <c r="AY17" s="36">
        <v>180301.2904</v>
      </c>
      <c r="AZ17" s="36">
        <v>178833.2904</v>
      </c>
      <c r="BA17" s="36">
        <v>39836</v>
      </c>
      <c r="BB17" s="36">
        <v>40369.717000000004</v>
      </c>
      <c r="BC17" s="44">
        <v>1.3397856210463077E-2</v>
      </c>
      <c r="BD17" s="36">
        <v>31737</v>
      </c>
      <c r="BE17" s="36">
        <v>80.283000000000001</v>
      </c>
      <c r="BF17" s="36">
        <v>6091</v>
      </c>
      <c r="BG17" s="36">
        <v>8431</v>
      </c>
      <c r="BH17" s="36">
        <v>1289</v>
      </c>
      <c r="BI17" s="36">
        <v>17054</v>
      </c>
      <c r="BJ17" s="36">
        <v>18945.600000000002</v>
      </c>
      <c r="BK17" s="36">
        <v>11273.48040882633</v>
      </c>
      <c r="BL17" s="36">
        <v>13494.148999999999</v>
      </c>
    </row>
    <row r="18" spans="2:64" ht="15" x14ac:dyDescent="0.2">
      <c r="B18" s="62" t="s">
        <v>467</v>
      </c>
      <c r="C18" s="54" t="e">
        <f>VLOOKUP($B18,#REF!,COLUMNS($B18:C18),0)</f>
        <v>#REF!</v>
      </c>
      <c r="D18" s="55" t="e">
        <f>VLOOKUP($B18,#REF!,COLUMNS($B18:D18),0)</f>
        <v>#REF!</v>
      </c>
      <c r="E18" s="55" t="e">
        <f>VLOOKUP($B18,#REF!,COLUMNS($B18:E18),0)</f>
        <v>#REF!</v>
      </c>
      <c r="F18" s="56" t="e">
        <f>VLOOKUP($B18,#REF!,COLUMNS($B18:F18),0)</f>
        <v>#REF!</v>
      </c>
      <c r="G18" s="57" t="e">
        <f>VLOOKUP($B18,#REF!,COLUMNS($B18:G18),0)</f>
        <v>#REF!</v>
      </c>
      <c r="H18" s="58" t="e">
        <f>VLOOKUP($B18,#REF!,COLUMNS($B18:H18),0)</f>
        <v>#REF!</v>
      </c>
      <c r="I18" s="59" t="e">
        <f>VLOOKUP($B18,#REF!,COLUMNS($B18:I18),0)</f>
        <v>#REF!</v>
      </c>
      <c r="J18" s="60" t="e">
        <f>VLOOKUP($B18,#REF!,COLUMNS($B18:J18),0)</f>
        <v>#REF!</v>
      </c>
      <c r="K18" s="60" t="e">
        <f>VLOOKUP($B18,#REF!,COLUMNS($B18:K18),0)</f>
        <v>#REF!</v>
      </c>
      <c r="L18" s="61" t="e">
        <f>VLOOKUP($B18,#REF!,COLUMNS($B18:L18),0)</f>
        <v>#REF!</v>
      </c>
      <c r="M18" s="61" t="e">
        <f>VLOOKUP($B18,#REF!,COLUMNS($B18:M18),0)</f>
        <v>#REF!</v>
      </c>
      <c r="AD18" s="1" t="s">
        <v>9</v>
      </c>
      <c r="AE18" s="1" t="s">
        <v>10</v>
      </c>
      <c r="AF18" s="36" t="e">
        <f ca="1">_xll.BDP($AD18,AF$10)</f>
        <v>#NAME?</v>
      </c>
      <c r="AG18" s="36" t="e">
        <f ca="1">_xll.BDH($AD18,AG$10,$C$5,$C$5,"EQY_FUND_CRNCY=USD")</f>
        <v>#NAME?</v>
      </c>
      <c r="AH18" s="36" t="e">
        <f ca="1">_xll.BDH($AD18,AH$10,$C$5,$C$5,"EQY_FUND_CRNCY=USD")</f>
        <v>#NAME?</v>
      </c>
      <c r="AI18" s="36" t="e">
        <f ca="1">_xll.BDP($AD18,AI$10,"EQY_FUND_CRNCY=USD","FA_ADJUSTED=Y")</f>
        <v>#NAME?</v>
      </c>
      <c r="AJ18" s="36" t="e">
        <f ca="1">_xll.BDP($AD18,AJ$10,"BEST_FPERIOD_OVERRIDE=1TY","EQY_FUND_CRNCY=USD","FA_ADJUSTED=Y")</f>
        <v>#NAME?</v>
      </c>
      <c r="AK18" s="44" t="e">
        <f t="shared" ca="1" si="3"/>
        <v>#NAME?</v>
      </c>
      <c r="AL18" s="36" t="e">
        <f ca="1">_xll.BDP($AD18,AL$10,"EQY_FUND_CRNCY=USD","FA_ADJUSTED=Y")</f>
        <v>#NAME?</v>
      </c>
      <c r="AM18" s="36" t="e">
        <f ca="1">_xll.BDP($AD18,AM$10,"BEST_FPERIOD_OVERRIDE=1TY","EQY_FUND_CRNCY=USD","FA_ADJUSTED=Y")</f>
        <v>#NAME?</v>
      </c>
      <c r="AN18" s="36" t="e">
        <f ca="1">_xll.BDP($AD18,AN$10,"BEST_FPERIOD_OVERRIDE=1TY","EQY_FUND_CRNCY=USD","FA_ADJUSTED=Y")</f>
        <v>#NAME?</v>
      </c>
      <c r="AO18" s="36" t="e">
        <f ca="1">_xll.BDP($AD18,AO$10,"BEST_FPERIOD_OVERRIDE=1TY","EQY_FUND_CRNCY=USD","FA_ADJUSTED=Y")</f>
        <v>#NAME?</v>
      </c>
      <c r="AP18" s="36" t="e">
        <f ca="1">_xll.BDP($AD18,AP$10,"BEST_FPERIOD_OVERRIDE=1TY","EQY_FUND_CRNCY=USD","FA_ADJUSTED=Y")</f>
        <v>#NAME?</v>
      </c>
      <c r="AQ18" s="36" t="e">
        <f ca="1">_xll.BDP($AD18,AQ$10,"EQY_FUND_CRNCY=USD","FA_ADJUSTED=Y")</f>
        <v>#NAME?</v>
      </c>
      <c r="AR18" s="36" t="e">
        <f ca="1">_xll.BDP($AD18,AR$10,"BEST_FPERIOD_OVERRIDE=1TY","EQY_FUND_CRNCY=USD","FA_ADJUSTED=Y")</f>
        <v>#NAME?</v>
      </c>
      <c r="AS18" s="36" t="e">
        <f ca="1">_xll.BDP($AD18,AS$10,"EQY_FUND_CRNCY=USD","FA_ADJUSTED=Y")</f>
        <v>#NAME?</v>
      </c>
      <c r="AT18" s="36" t="e">
        <f ca="1">_xll.BDP($AD18,AT$10,"BEST_FPERIOD_OVERRIDE=1TY","EQY_FUND_CRNCY=USD","FA_ADJUSTED=Y")</f>
        <v>#NAME?</v>
      </c>
      <c r="AV18" s="1" t="s">
        <v>9</v>
      </c>
      <c r="AW18" s="1" t="s">
        <v>10</v>
      </c>
      <c r="AX18" s="36" t="s">
        <v>495</v>
      </c>
      <c r="AY18" s="36">
        <v>120471.356</v>
      </c>
      <c r="AZ18" s="36">
        <v>117401.54</v>
      </c>
      <c r="BA18" s="36">
        <v>8571.9779999999992</v>
      </c>
      <c r="BB18" s="36">
        <v>10315.565000000001</v>
      </c>
      <c r="BC18" s="44">
        <v>0.20340544504430613</v>
      </c>
      <c r="BD18" s="36">
        <v>7465.3680576171873</v>
      </c>
      <c r="BE18" s="36">
        <v>88.408000000000001</v>
      </c>
      <c r="BF18" s="36">
        <v>1224.059</v>
      </c>
      <c r="BG18" s="36">
        <v>2197.5920000000001</v>
      </c>
      <c r="BH18" s="36">
        <v>624.70600000000002</v>
      </c>
      <c r="BI18" s="36">
        <v>3089.8100000000004</v>
      </c>
      <c r="BJ18" s="36">
        <v>4722.8</v>
      </c>
      <c r="BK18" s="36">
        <v>2415.5068601730072</v>
      </c>
      <c r="BL18" s="36">
        <v>3792.5219999999999</v>
      </c>
    </row>
    <row r="19" spans="2:64" ht="15" x14ac:dyDescent="0.2">
      <c r="B19" s="62" t="s">
        <v>468</v>
      </c>
      <c r="C19" s="54" t="e">
        <f>VLOOKUP($B19,#REF!,COLUMNS($B19:C19),0)</f>
        <v>#REF!</v>
      </c>
      <c r="D19" s="55" t="e">
        <f>VLOOKUP($B19,#REF!,COLUMNS($B19:D19),0)</f>
        <v>#REF!</v>
      </c>
      <c r="E19" s="55" t="e">
        <f>VLOOKUP($B19,#REF!,COLUMNS($B19:E19),0)</f>
        <v>#REF!</v>
      </c>
      <c r="F19" s="56" t="e">
        <f>VLOOKUP($B19,#REF!,COLUMNS($B19:F19),0)</f>
        <v>#REF!</v>
      </c>
      <c r="G19" s="57" t="e">
        <f>VLOOKUP($B19,#REF!,COLUMNS($B19:G19),0)</f>
        <v>#REF!</v>
      </c>
      <c r="H19" s="58" t="e">
        <f>VLOOKUP($B19,#REF!,COLUMNS($B19:H19),0)</f>
        <v>#REF!</v>
      </c>
      <c r="I19" s="59" t="e">
        <f>VLOOKUP($B19,#REF!,COLUMNS($B19:I19),0)</f>
        <v>#REF!</v>
      </c>
      <c r="J19" s="60" t="e">
        <f>VLOOKUP($B19,#REF!,COLUMNS($B19:J19),0)</f>
        <v>#REF!</v>
      </c>
      <c r="K19" s="60" t="e">
        <f>VLOOKUP($B19,#REF!,COLUMNS($B19:K19),0)</f>
        <v>#REF!</v>
      </c>
      <c r="L19" s="61" t="e">
        <f>VLOOKUP($B19,#REF!,COLUMNS($B19:L19),0)</f>
        <v>#REF!</v>
      </c>
      <c r="M19" s="61" t="e">
        <f>VLOOKUP($B19,#REF!,COLUMNS($B19:M19),0)</f>
        <v>#REF!</v>
      </c>
      <c r="AD19" s="1" t="s">
        <v>11</v>
      </c>
      <c r="AE19" s="1" t="s">
        <v>12</v>
      </c>
      <c r="AF19" s="36" t="e">
        <f ca="1">_xll.BDP($AD19,AF$10)</f>
        <v>#NAME?</v>
      </c>
      <c r="AG19" s="36" t="e">
        <f ca="1">_xll.BDH($AD19,AG$10,$C$5,$C$5,"EQY_FUND_CRNCY=USD")</f>
        <v>#NAME?</v>
      </c>
      <c r="AH19" s="36" t="e">
        <f ca="1">_xll.BDH($AD19,AH$10,$C$5,$C$5,"EQY_FUND_CRNCY=USD")</f>
        <v>#NAME?</v>
      </c>
      <c r="AI19" s="36" t="e">
        <f ca="1">_xll.BDP($AD19,AI$10,"EQY_FUND_CRNCY=USD","FA_ADJUSTED=Y")</f>
        <v>#NAME?</v>
      </c>
      <c r="AJ19" s="36" t="e">
        <f ca="1">_xll.BDP($AD19,AJ$10,"BEST_FPERIOD_OVERRIDE=1TY","EQY_FUND_CRNCY=USD","FA_ADJUSTED=Y")</f>
        <v>#NAME?</v>
      </c>
      <c r="AK19" s="44" t="e">
        <f t="shared" ca="1" si="3"/>
        <v>#NAME?</v>
      </c>
      <c r="AL19" s="36" t="e">
        <f ca="1">_xll.BDP($AD19,AL$10,"EQY_FUND_CRNCY=USD","FA_ADJUSTED=Y")</f>
        <v>#NAME?</v>
      </c>
      <c r="AM19" s="36" t="e">
        <f ca="1">_xll.BDP($AD19,AM$10,"BEST_FPERIOD_OVERRIDE=1TY","EQY_FUND_CRNCY=USD","FA_ADJUSTED=Y")</f>
        <v>#NAME?</v>
      </c>
      <c r="AN19" s="36" t="e">
        <f ca="1">_xll.BDP($AD19,AN$10,"BEST_FPERIOD_OVERRIDE=1TY","EQY_FUND_CRNCY=USD","FA_ADJUSTED=Y")</f>
        <v>#NAME?</v>
      </c>
      <c r="AO19" s="36" t="e">
        <f ca="1">_xll.BDP($AD19,AO$10,"BEST_FPERIOD_OVERRIDE=1TY","EQY_FUND_CRNCY=USD","FA_ADJUSTED=Y")</f>
        <v>#NAME?</v>
      </c>
      <c r="AP19" s="36" t="e">
        <f ca="1">_xll.BDP($AD19,AP$10,"BEST_FPERIOD_OVERRIDE=1TY","EQY_FUND_CRNCY=USD","FA_ADJUSTED=Y")</f>
        <v>#NAME?</v>
      </c>
      <c r="AQ19" s="36" t="e">
        <f ca="1">_xll.BDP($AD19,AQ$10,"EQY_FUND_CRNCY=USD","FA_ADJUSTED=Y")</f>
        <v>#NAME?</v>
      </c>
      <c r="AR19" s="36" t="e">
        <f ca="1">_xll.BDP($AD19,AR$10,"BEST_FPERIOD_OVERRIDE=1TY","EQY_FUND_CRNCY=USD","FA_ADJUSTED=Y")</f>
        <v>#NAME?</v>
      </c>
      <c r="AS19" s="36" t="e">
        <f ca="1">_xll.BDP($AD19,AS$10,"EQY_FUND_CRNCY=USD","FA_ADJUSTED=Y")</f>
        <v>#NAME?</v>
      </c>
      <c r="AT19" s="36" t="e">
        <f ca="1">_xll.BDP($AD19,AT$10,"BEST_FPERIOD_OVERRIDE=1TY","EQY_FUND_CRNCY=USD","FA_ADJUSTED=Y")</f>
        <v>#NAME?</v>
      </c>
      <c r="AV19" s="1" t="s">
        <v>11</v>
      </c>
      <c r="AW19" s="1" t="s">
        <v>12</v>
      </c>
      <c r="AX19" s="36" t="s">
        <v>495</v>
      </c>
      <c r="AY19" s="36">
        <v>103645.19990000001</v>
      </c>
      <c r="AZ19" s="36">
        <v>103894.19990000001</v>
      </c>
      <c r="BA19" s="36">
        <v>11817.844000000001</v>
      </c>
      <c r="BB19" s="36">
        <v>14404.651</v>
      </c>
      <c r="BC19" s="44">
        <v>0.2188899261151187</v>
      </c>
      <c r="BD19" s="36">
        <v>8749.5439453125</v>
      </c>
      <c r="BE19" s="36">
        <v>76.641000000000005</v>
      </c>
      <c r="BF19" s="36">
        <v>1553.0729999999999</v>
      </c>
      <c r="BG19" s="36">
        <v>4829.2910000000002</v>
      </c>
      <c r="BH19" s="36">
        <v>1088.3579999999999</v>
      </c>
      <c r="BI19" s="36">
        <v>1308.0920000000001</v>
      </c>
      <c r="BJ19" s="36">
        <v>3506.19</v>
      </c>
      <c r="BK19" s="36">
        <v>482.47887560000004</v>
      </c>
      <c r="BL19" s="36">
        <v>1884.8969999999999</v>
      </c>
    </row>
    <row r="20" spans="2:64" ht="15" x14ac:dyDescent="0.2">
      <c r="B20" s="62" t="s">
        <v>469</v>
      </c>
      <c r="C20" s="54" t="e">
        <f>VLOOKUP($B20,#REF!,COLUMNS($B20:C20),0)</f>
        <v>#REF!</v>
      </c>
      <c r="D20" s="55" t="e">
        <f>VLOOKUP($B20,#REF!,COLUMNS($B20:D20),0)</f>
        <v>#REF!</v>
      </c>
      <c r="E20" s="55" t="e">
        <f>VLOOKUP($B20,#REF!,COLUMNS($B20:E20),0)</f>
        <v>#REF!</v>
      </c>
      <c r="F20" s="56" t="e">
        <f>VLOOKUP($B20,#REF!,COLUMNS($B20:F20),0)</f>
        <v>#REF!</v>
      </c>
      <c r="G20" s="57" t="e">
        <f>VLOOKUP($B20,#REF!,COLUMNS($B20:G20),0)</f>
        <v>#REF!</v>
      </c>
      <c r="H20" s="58" t="e">
        <f>VLOOKUP($B20,#REF!,COLUMNS($B20:H20),0)</f>
        <v>#REF!</v>
      </c>
      <c r="I20" s="59" t="e">
        <f>VLOOKUP($B20,#REF!,COLUMNS($B20:I20),0)</f>
        <v>#REF!</v>
      </c>
      <c r="J20" s="60" t="e">
        <f>VLOOKUP($B20,#REF!,COLUMNS($B20:J20),0)</f>
        <v>#REF!</v>
      </c>
      <c r="K20" s="60" t="e">
        <f>VLOOKUP($B20,#REF!,COLUMNS($B20:K20),0)</f>
        <v>#REF!</v>
      </c>
      <c r="L20" s="61" t="e">
        <f>VLOOKUP($B20,#REF!,COLUMNS($B20:L20),0)</f>
        <v>#REF!</v>
      </c>
      <c r="M20" s="61" t="e">
        <f>VLOOKUP($B20,#REF!,COLUMNS($B20:M20),0)</f>
        <v>#REF!</v>
      </c>
      <c r="AD20" s="1" t="s">
        <v>13</v>
      </c>
      <c r="AE20" s="1" t="s">
        <v>14</v>
      </c>
      <c r="AF20" s="36" t="e">
        <f ca="1">_xll.BDP($AD20,AF$10)</f>
        <v>#NAME?</v>
      </c>
      <c r="AG20" s="36" t="e">
        <f ca="1">_xll.BDH($AD20,AG$10,$C$5,$C$5,"EQY_FUND_CRNCY=USD")</f>
        <v>#NAME?</v>
      </c>
      <c r="AH20" s="36" t="e">
        <f ca="1">_xll.BDH($AD20,AH$10,$C$5,$C$5,"EQY_FUND_CRNCY=USD")</f>
        <v>#NAME?</v>
      </c>
      <c r="AI20" s="36" t="e">
        <f ca="1">_xll.BDP($AD20,AI$10,"EQY_FUND_CRNCY=USD","FA_ADJUSTED=Y")</f>
        <v>#NAME?</v>
      </c>
      <c r="AJ20" s="36" t="e">
        <f ca="1">_xll.BDP($AD20,AJ$10,"BEST_FPERIOD_OVERRIDE=1TY","EQY_FUND_CRNCY=USD","FA_ADJUSTED=Y")</f>
        <v>#NAME?</v>
      </c>
      <c r="AK20" s="44" t="e">
        <f t="shared" ca="1" si="3"/>
        <v>#NAME?</v>
      </c>
      <c r="AL20" s="36" t="e">
        <f ca="1">_xll.BDP($AD20,AL$10,"EQY_FUND_CRNCY=USD","FA_ADJUSTED=Y")</f>
        <v>#NAME?</v>
      </c>
      <c r="AM20" s="36" t="e">
        <f ca="1">_xll.BDP($AD20,AM$10,"BEST_FPERIOD_OVERRIDE=1TY","EQY_FUND_CRNCY=USD","FA_ADJUSTED=Y")</f>
        <v>#NAME?</v>
      </c>
      <c r="AN20" s="36" t="e">
        <f ca="1">_xll.BDP($AD20,AN$10,"BEST_FPERIOD_OVERRIDE=1TY","EQY_FUND_CRNCY=USD","FA_ADJUSTED=Y")</f>
        <v>#NAME?</v>
      </c>
      <c r="AO20" s="36" t="e">
        <f ca="1">_xll.BDP($AD20,AO$10,"BEST_FPERIOD_OVERRIDE=1TY","EQY_FUND_CRNCY=USD","FA_ADJUSTED=Y")</f>
        <v>#NAME?</v>
      </c>
      <c r="AP20" s="36" t="e">
        <f ca="1">_xll.BDP($AD20,AP$10,"BEST_FPERIOD_OVERRIDE=1TY","EQY_FUND_CRNCY=USD","FA_ADJUSTED=Y")</f>
        <v>#NAME?</v>
      </c>
      <c r="AQ20" s="36" t="e">
        <f ca="1">_xll.BDP($AD20,AQ$10,"EQY_FUND_CRNCY=USD","FA_ADJUSTED=Y")</f>
        <v>#NAME?</v>
      </c>
      <c r="AR20" s="36" t="e">
        <f ca="1">_xll.BDP($AD20,AR$10,"BEST_FPERIOD_OVERRIDE=1TY","EQY_FUND_CRNCY=USD","FA_ADJUSTED=Y")</f>
        <v>#NAME?</v>
      </c>
      <c r="AS20" s="36" t="e">
        <f ca="1">_xll.BDP($AD20,AS$10,"EQY_FUND_CRNCY=USD","FA_ADJUSTED=Y")</f>
        <v>#NAME?</v>
      </c>
      <c r="AT20" s="36" t="e">
        <f ca="1">_xll.BDP($AD20,AT$10,"BEST_FPERIOD_OVERRIDE=1TY","EQY_FUND_CRNCY=USD","FA_ADJUSTED=Y")</f>
        <v>#NAME?</v>
      </c>
      <c r="AV20" s="1" t="s">
        <v>13</v>
      </c>
      <c r="AW20" s="1" t="s">
        <v>14</v>
      </c>
      <c r="AX20" s="36" t="s">
        <v>506</v>
      </c>
      <c r="AY20" s="36">
        <v>100895.7018</v>
      </c>
      <c r="AZ20" s="36">
        <v>93308.701799999995</v>
      </c>
      <c r="BA20" s="36">
        <v>14969</v>
      </c>
      <c r="BB20" s="36">
        <v>17196.618999999999</v>
      </c>
      <c r="BC20" s="44">
        <v>0.14881548533636169</v>
      </c>
      <c r="BD20" s="36" t="s">
        <v>480</v>
      </c>
      <c r="BE20" s="36">
        <v>54.75</v>
      </c>
      <c r="BF20" s="36">
        <v>953</v>
      </c>
      <c r="BG20" s="36">
        <v>1128</v>
      </c>
      <c r="BH20" s="36">
        <v>1155</v>
      </c>
      <c r="BI20" s="36">
        <v>3655</v>
      </c>
      <c r="BJ20" s="36">
        <v>4398.0789999999997</v>
      </c>
      <c r="BK20" s="36">
        <v>2644.91530338353</v>
      </c>
      <c r="BL20" s="36">
        <v>3236.7510000000002</v>
      </c>
    </row>
    <row r="21" spans="2:64" ht="15" x14ac:dyDescent="0.2">
      <c r="B21" s="62" t="s">
        <v>470</v>
      </c>
      <c r="C21" s="54" t="e">
        <f>VLOOKUP($B21,#REF!,COLUMNS($B21:C21),0)</f>
        <v>#REF!</v>
      </c>
      <c r="D21" s="55" t="e">
        <f>VLOOKUP($B21,#REF!,COLUMNS($B21:D21),0)</f>
        <v>#REF!</v>
      </c>
      <c r="E21" s="55" t="e">
        <f>VLOOKUP($B21,#REF!,COLUMNS($B21:E21),0)</f>
        <v>#REF!</v>
      </c>
      <c r="F21" s="56" t="e">
        <f>VLOOKUP($B21,#REF!,COLUMNS($B21:F21),0)</f>
        <v>#REF!</v>
      </c>
      <c r="G21" s="57" t="e">
        <f>VLOOKUP($B21,#REF!,COLUMNS($B21:G21),0)</f>
        <v>#REF!</v>
      </c>
      <c r="H21" s="58" t="e">
        <f>VLOOKUP($B21,#REF!,COLUMNS($B21:H21),0)</f>
        <v>#REF!</v>
      </c>
      <c r="I21" s="59" t="e">
        <f>VLOOKUP($B21,#REF!,COLUMNS($B21:I21),0)</f>
        <v>#REF!</v>
      </c>
      <c r="J21" s="60" t="e">
        <f>VLOOKUP($B21,#REF!,COLUMNS($B21:J21),0)</f>
        <v>#REF!</v>
      </c>
      <c r="K21" s="60" t="e">
        <f>VLOOKUP($B21,#REF!,COLUMNS($B21:K21),0)</f>
        <v>#REF!</v>
      </c>
      <c r="L21" s="61" t="e">
        <f>VLOOKUP($B21,#REF!,COLUMNS($B21:L21),0)</f>
        <v>#REF!</v>
      </c>
      <c r="M21" s="61" t="e">
        <f>VLOOKUP($B21,#REF!,COLUMNS($B21:M21),0)</f>
        <v>#REF!</v>
      </c>
      <c r="AD21" s="1" t="s">
        <v>15</v>
      </c>
      <c r="AE21" s="1" t="s">
        <v>16</v>
      </c>
      <c r="AF21" s="36" t="e">
        <f ca="1">_xll.BDP($AD21,AF$10)</f>
        <v>#NAME?</v>
      </c>
      <c r="AG21" s="36" t="e">
        <f ca="1">_xll.BDH($AD21,AG$10,$C$5,$C$5,"EQY_FUND_CRNCY=USD")</f>
        <v>#NAME?</v>
      </c>
      <c r="AH21" s="36" t="e">
        <f ca="1">_xll.BDH($AD21,AH$10,$C$5,$C$5,"EQY_FUND_CRNCY=USD")</f>
        <v>#NAME?</v>
      </c>
      <c r="AI21" s="36" t="e">
        <f ca="1">_xll.BDP($AD21,AI$10,"EQY_FUND_CRNCY=USD","FA_ADJUSTED=Y")</f>
        <v>#NAME?</v>
      </c>
      <c r="AJ21" s="36" t="e">
        <f ca="1">_xll.BDP($AD21,AJ$10,"BEST_FPERIOD_OVERRIDE=1TY","EQY_FUND_CRNCY=USD","FA_ADJUSTED=Y")</f>
        <v>#NAME?</v>
      </c>
      <c r="AK21" s="44" t="e">
        <f t="shared" ca="1" si="3"/>
        <v>#NAME?</v>
      </c>
      <c r="AL21" s="36" t="e">
        <f ca="1">_xll.BDP($AD21,AL$10,"EQY_FUND_CRNCY=USD","FA_ADJUSTED=Y")</f>
        <v>#NAME?</v>
      </c>
      <c r="AM21" s="36" t="e">
        <f ca="1">_xll.BDP($AD21,AM$10,"BEST_FPERIOD_OVERRIDE=1TY","EQY_FUND_CRNCY=USD","FA_ADJUSTED=Y")</f>
        <v>#NAME?</v>
      </c>
      <c r="AN21" s="36" t="e">
        <f ca="1">_xll.BDP($AD21,AN$10,"BEST_FPERIOD_OVERRIDE=1TY","EQY_FUND_CRNCY=USD","FA_ADJUSTED=Y")</f>
        <v>#NAME?</v>
      </c>
      <c r="AO21" s="36" t="e">
        <f ca="1">_xll.BDP($AD21,AO$10,"BEST_FPERIOD_OVERRIDE=1TY","EQY_FUND_CRNCY=USD","FA_ADJUSTED=Y")</f>
        <v>#NAME?</v>
      </c>
      <c r="AP21" s="36" t="e">
        <f ca="1">_xll.BDP($AD21,AP$10,"BEST_FPERIOD_OVERRIDE=1TY","EQY_FUND_CRNCY=USD","FA_ADJUSTED=Y")</f>
        <v>#NAME?</v>
      </c>
      <c r="AQ21" s="36" t="e">
        <f ca="1">_xll.BDP($AD21,AQ$10,"EQY_FUND_CRNCY=USD","FA_ADJUSTED=Y")</f>
        <v>#NAME?</v>
      </c>
      <c r="AR21" s="36" t="e">
        <f ca="1">_xll.BDP($AD21,AR$10,"BEST_FPERIOD_OVERRIDE=1TY","EQY_FUND_CRNCY=USD","FA_ADJUSTED=Y")</f>
        <v>#NAME?</v>
      </c>
      <c r="AS21" s="36" t="e">
        <f ca="1">_xll.BDP($AD21,AS$10,"EQY_FUND_CRNCY=USD","FA_ADJUSTED=Y")</f>
        <v>#NAME?</v>
      </c>
      <c r="AT21" s="36" t="e">
        <f ca="1">_xll.BDP($AD21,AT$10,"BEST_FPERIOD_OVERRIDE=1TY","EQY_FUND_CRNCY=USD","FA_ADJUSTED=Y")</f>
        <v>#NAME?</v>
      </c>
      <c r="AV21" s="1" t="s">
        <v>15</v>
      </c>
      <c r="AW21" s="1" t="s">
        <v>16</v>
      </c>
      <c r="AX21" s="36" t="s">
        <v>506</v>
      </c>
      <c r="AY21" s="36">
        <v>61784.005499999999</v>
      </c>
      <c r="AZ21" s="36">
        <v>61613.105499999998</v>
      </c>
      <c r="BA21" s="36">
        <v>13325.8</v>
      </c>
      <c r="BB21" s="36">
        <v>14165.857</v>
      </c>
      <c r="BC21" s="44">
        <v>6.303989253928477E-2</v>
      </c>
      <c r="BD21" s="36">
        <v>5483.0999511718746</v>
      </c>
      <c r="BE21" s="36">
        <v>47.800000000000004</v>
      </c>
      <c r="BF21" s="36">
        <v>0</v>
      </c>
      <c r="BG21" s="36" t="s">
        <v>480</v>
      </c>
      <c r="BH21" s="36" t="s">
        <v>480</v>
      </c>
      <c r="BI21" s="36">
        <v>3327.1</v>
      </c>
      <c r="BJ21" s="36">
        <v>3330.7559999999999</v>
      </c>
      <c r="BK21" s="36">
        <v>1929.6169999999997</v>
      </c>
      <c r="BL21" s="36">
        <v>2265.875</v>
      </c>
    </row>
    <row r="22" spans="2:64" ht="15" x14ac:dyDescent="0.2">
      <c r="B22" s="62" t="s">
        <v>471</v>
      </c>
      <c r="C22" s="54" t="e">
        <f>VLOOKUP($B22,#REF!,COLUMNS($B22:C22),0)</f>
        <v>#REF!</v>
      </c>
      <c r="D22" s="55" t="e">
        <f>VLOOKUP($B22,#REF!,COLUMNS($B22:D22),0)</f>
        <v>#REF!</v>
      </c>
      <c r="E22" s="55" t="e">
        <f>VLOOKUP($B22,#REF!,COLUMNS($B22:E22),0)</f>
        <v>#REF!</v>
      </c>
      <c r="F22" s="56" t="e">
        <f>VLOOKUP($B22,#REF!,COLUMNS($B22:F22),0)</f>
        <v>#REF!</v>
      </c>
      <c r="G22" s="57" t="e">
        <f>VLOOKUP($B22,#REF!,COLUMNS($B22:G22),0)</f>
        <v>#REF!</v>
      </c>
      <c r="H22" s="58" t="e">
        <f>VLOOKUP($B22,#REF!,COLUMNS($B22:H22),0)</f>
        <v>#REF!</v>
      </c>
      <c r="I22" s="59" t="e">
        <f>VLOOKUP($B22,#REF!,COLUMNS($B22:I22),0)</f>
        <v>#REF!</v>
      </c>
      <c r="J22" s="60" t="e">
        <f>VLOOKUP($B22,#REF!,COLUMNS($B22:J22),0)</f>
        <v>#REF!</v>
      </c>
      <c r="K22" s="60" t="e">
        <f>VLOOKUP($B22,#REF!,COLUMNS($B22:K22),0)</f>
        <v>#REF!</v>
      </c>
      <c r="L22" s="61" t="e">
        <f>VLOOKUP($B22,#REF!,COLUMNS($B22:L22),0)</f>
        <v>#REF!</v>
      </c>
      <c r="M22" s="61" t="e">
        <f>VLOOKUP($B22,#REF!,COLUMNS($B22:M22),0)</f>
        <v>#REF!</v>
      </c>
      <c r="AD22" s="1" t="s">
        <v>17</v>
      </c>
      <c r="AE22" s="1" t="s">
        <v>18</v>
      </c>
      <c r="AF22" s="36" t="e">
        <f ca="1">_xll.BDP($AD22,AF$10)</f>
        <v>#NAME?</v>
      </c>
      <c r="AG22" s="36" t="e">
        <f ca="1">_xll.BDH($AD22,AG$10,$C$5,$C$5,"EQY_FUND_CRNCY=USD")</f>
        <v>#NAME?</v>
      </c>
      <c r="AH22" s="36" t="e">
        <f ca="1">_xll.BDH($AD22,AH$10,$C$5,$C$5,"EQY_FUND_CRNCY=USD")</f>
        <v>#NAME?</v>
      </c>
      <c r="AI22" s="36" t="e">
        <f ca="1">_xll.BDP($AD22,AI$10,"EQY_FUND_CRNCY=USD","FA_ADJUSTED=Y")</f>
        <v>#NAME?</v>
      </c>
      <c r="AJ22" s="36" t="e">
        <f ca="1">_xll.BDP($AD22,AJ$10,"BEST_FPERIOD_OVERRIDE=1TY","EQY_FUND_CRNCY=USD","FA_ADJUSTED=Y")</f>
        <v>#NAME?</v>
      </c>
      <c r="AK22" s="44" t="e">
        <f t="shared" ca="1" si="3"/>
        <v>#NAME?</v>
      </c>
      <c r="AL22" s="36" t="e">
        <f ca="1">_xll.BDP($AD22,AL$10,"EQY_FUND_CRNCY=USD","FA_ADJUSTED=Y")</f>
        <v>#NAME?</v>
      </c>
      <c r="AM22" s="36" t="e">
        <f ca="1">_xll.BDP($AD22,AM$10,"BEST_FPERIOD_OVERRIDE=1TY","EQY_FUND_CRNCY=USD","FA_ADJUSTED=Y")</f>
        <v>#NAME?</v>
      </c>
      <c r="AN22" s="36" t="e">
        <f ca="1">_xll.BDP($AD22,AN$10,"BEST_FPERIOD_OVERRIDE=1TY","EQY_FUND_CRNCY=USD","FA_ADJUSTED=Y")</f>
        <v>#NAME?</v>
      </c>
      <c r="AO22" s="36" t="e">
        <f ca="1">_xll.BDP($AD22,AO$10,"BEST_FPERIOD_OVERRIDE=1TY","EQY_FUND_CRNCY=USD","FA_ADJUSTED=Y")</f>
        <v>#NAME?</v>
      </c>
      <c r="AP22" s="36" t="e">
        <f ca="1">_xll.BDP($AD22,AP$10,"BEST_FPERIOD_OVERRIDE=1TY","EQY_FUND_CRNCY=USD","FA_ADJUSTED=Y")</f>
        <v>#NAME?</v>
      </c>
      <c r="AQ22" s="36" t="e">
        <f ca="1">_xll.BDP($AD22,AQ$10,"EQY_FUND_CRNCY=USD","FA_ADJUSTED=Y")</f>
        <v>#NAME?</v>
      </c>
      <c r="AR22" s="36" t="e">
        <f ca="1">_xll.BDP($AD22,AR$10,"BEST_FPERIOD_OVERRIDE=1TY","EQY_FUND_CRNCY=USD","FA_ADJUSTED=Y")</f>
        <v>#NAME?</v>
      </c>
      <c r="AS22" s="36" t="e">
        <f ca="1">_xll.BDP($AD22,AS$10,"EQY_FUND_CRNCY=USD","FA_ADJUSTED=Y")</f>
        <v>#NAME?</v>
      </c>
      <c r="AT22" s="36" t="e">
        <f ca="1">_xll.BDP($AD22,AT$10,"BEST_FPERIOD_OVERRIDE=1TY","EQY_FUND_CRNCY=USD","FA_ADJUSTED=Y")</f>
        <v>#NAME?</v>
      </c>
      <c r="AV22" s="1" t="s">
        <v>17</v>
      </c>
      <c r="AW22" s="1" t="s">
        <v>18</v>
      </c>
      <c r="AX22" s="36" t="s">
        <v>505</v>
      </c>
      <c r="AY22" s="36">
        <v>58334.508399999999</v>
      </c>
      <c r="AZ22" s="36">
        <v>49272.508399999999</v>
      </c>
      <c r="BA22" s="36">
        <v>8467</v>
      </c>
      <c r="BB22" s="36">
        <v>9081.755000000001</v>
      </c>
      <c r="BC22" s="44">
        <v>7.2605999763788898E-2</v>
      </c>
      <c r="BD22" s="36">
        <v>7285</v>
      </c>
      <c r="BE22" s="36">
        <v>87.66</v>
      </c>
      <c r="BF22" s="36">
        <v>1755</v>
      </c>
      <c r="BG22" s="36">
        <v>2593</v>
      </c>
      <c r="BH22" s="36">
        <v>654</v>
      </c>
      <c r="BI22" s="36">
        <v>2515</v>
      </c>
      <c r="BJ22" s="36">
        <v>3697</v>
      </c>
      <c r="BK22" s="36">
        <v>3395.5353242424239</v>
      </c>
      <c r="BL22" s="36">
        <v>2533.7220000000002</v>
      </c>
    </row>
    <row r="23" spans="2:64" ht="15" x14ac:dyDescent="0.2">
      <c r="B23" s="62" t="s">
        <v>472</v>
      </c>
      <c r="C23" s="54" t="e">
        <f>VLOOKUP($B23,#REF!,COLUMNS($B23:C23),0)</f>
        <v>#REF!</v>
      </c>
      <c r="D23" s="55" t="e">
        <f>VLOOKUP($B23,#REF!,COLUMNS($B23:D23),0)</f>
        <v>#REF!</v>
      </c>
      <c r="E23" s="55" t="e">
        <f>VLOOKUP($B23,#REF!,COLUMNS($B23:E23),0)</f>
        <v>#REF!</v>
      </c>
      <c r="F23" s="56" t="e">
        <f>VLOOKUP($B23,#REF!,COLUMNS($B23:F23),0)</f>
        <v>#REF!</v>
      </c>
      <c r="G23" s="57" t="e">
        <f>VLOOKUP($B23,#REF!,COLUMNS($B23:G23),0)</f>
        <v>#REF!</v>
      </c>
      <c r="H23" s="58" t="e">
        <f>VLOOKUP($B23,#REF!,COLUMNS($B23:H23),0)</f>
        <v>#REF!</v>
      </c>
      <c r="I23" s="59" t="e">
        <f>VLOOKUP($B23,#REF!,COLUMNS($B23:I23),0)</f>
        <v>#REF!</v>
      </c>
      <c r="J23" s="60" t="e">
        <f>VLOOKUP($B23,#REF!,COLUMNS($B23:J23),0)</f>
        <v>#REF!</v>
      </c>
      <c r="K23" s="60" t="e">
        <f>VLOOKUP($B23,#REF!,COLUMNS($B23:K23),0)</f>
        <v>#REF!</v>
      </c>
      <c r="L23" s="61" t="e">
        <f>VLOOKUP($B23,#REF!,COLUMNS($B23:L23),0)</f>
        <v>#REF!</v>
      </c>
      <c r="M23" s="61" t="e">
        <f>VLOOKUP($B23,#REF!,COLUMNS($B23:M23),0)</f>
        <v>#REF!</v>
      </c>
      <c r="AD23" s="1" t="s">
        <v>19</v>
      </c>
      <c r="AE23" s="1" t="s">
        <v>20</v>
      </c>
      <c r="AF23" s="36" t="e">
        <f ca="1">_xll.BDP($AD23,AF$10)</f>
        <v>#NAME?</v>
      </c>
      <c r="AG23" s="36" t="e">
        <f ca="1">_xll.BDH($AD23,AG$10,$C$5,$C$5,"EQY_FUND_CRNCY=USD")</f>
        <v>#NAME?</v>
      </c>
      <c r="AH23" s="36" t="e">
        <f ca="1">_xll.BDH($AD23,AH$10,$C$5,$C$5,"EQY_FUND_CRNCY=USD")</f>
        <v>#NAME?</v>
      </c>
      <c r="AI23" s="36" t="e">
        <f ca="1">_xll.BDP($AD23,AI$10,"EQY_FUND_CRNCY=USD","FA_ADJUSTED=Y")</f>
        <v>#NAME?</v>
      </c>
      <c r="AJ23" s="36" t="e">
        <f ca="1">_xll.BDP($AD23,AJ$10,"BEST_FPERIOD_OVERRIDE=1TY","EQY_FUND_CRNCY=USD","FA_ADJUSTED=Y")</f>
        <v>#NAME?</v>
      </c>
      <c r="AK23" s="44" t="e">
        <f t="shared" ca="1" si="3"/>
        <v>#NAME?</v>
      </c>
      <c r="AL23" s="36" t="e">
        <f ca="1">_xll.BDP($AD23,AL$10,"EQY_FUND_CRNCY=USD","FA_ADJUSTED=Y")</f>
        <v>#NAME?</v>
      </c>
      <c r="AM23" s="36" t="e">
        <f ca="1">_xll.BDP($AD23,AM$10,"BEST_FPERIOD_OVERRIDE=1TY","EQY_FUND_CRNCY=USD","FA_ADJUSTED=Y")</f>
        <v>#NAME?</v>
      </c>
      <c r="AN23" s="36" t="e">
        <f ca="1">_xll.BDP($AD23,AN$10,"BEST_FPERIOD_OVERRIDE=1TY","EQY_FUND_CRNCY=USD","FA_ADJUSTED=Y")</f>
        <v>#NAME?</v>
      </c>
      <c r="AO23" s="36" t="e">
        <f ca="1">_xll.BDP($AD23,AO$10,"BEST_FPERIOD_OVERRIDE=1TY","EQY_FUND_CRNCY=USD","FA_ADJUSTED=Y")</f>
        <v>#NAME?</v>
      </c>
      <c r="AP23" s="36" t="e">
        <f ca="1">_xll.BDP($AD23,AP$10,"BEST_FPERIOD_OVERRIDE=1TY","EQY_FUND_CRNCY=USD","FA_ADJUSTED=Y")</f>
        <v>#NAME?</v>
      </c>
      <c r="AQ23" s="36" t="e">
        <f ca="1">_xll.BDP($AD23,AQ$10,"EQY_FUND_CRNCY=USD","FA_ADJUSTED=Y")</f>
        <v>#NAME?</v>
      </c>
      <c r="AR23" s="36" t="e">
        <f ca="1">_xll.BDP($AD23,AR$10,"BEST_FPERIOD_OVERRIDE=1TY","EQY_FUND_CRNCY=USD","FA_ADJUSTED=Y")</f>
        <v>#NAME?</v>
      </c>
      <c r="AS23" s="36" t="e">
        <f ca="1">_xll.BDP($AD23,AS$10,"EQY_FUND_CRNCY=USD","FA_ADJUSTED=Y")</f>
        <v>#NAME?</v>
      </c>
      <c r="AT23" s="36" t="e">
        <f ca="1">_xll.BDP($AD23,AT$10,"BEST_FPERIOD_OVERRIDE=1TY","EQY_FUND_CRNCY=USD","FA_ADJUSTED=Y")</f>
        <v>#NAME?</v>
      </c>
      <c r="AV23" s="1" t="s">
        <v>19</v>
      </c>
      <c r="AW23" s="1" t="s">
        <v>20</v>
      </c>
      <c r="AX23" s="36" t="s">
        <v>495</v>
      </c>
      <c r="AY23" s="36">
        <v>53751.963400000001</v>
      </c>
      <c r="AZ23" s="36">
        <v>52287.719499999999</v>
      </c>
      <c r="BA23" s="36">
        <v>5964</v>
      </c>
      <c r="BB23" s="36">
        <v>6610.5380000000005</v>
      </c>
      <c r="BC23" s="44">
        <v>0.10840677397719656</v>
      </c>
      <c r="BD23" s="36">
        <v>4992</v>
      </c>
      <c r="BE23" s="36">
        <v>77.832999999999998</v>
      </c>
      <c r="BF23" s="36">
        <v>1186</v>
      </c>
      <c r="BG23" s="36">
        <v>1634</v>
      </c>
      <c r="BH23" s="36">
        <v>664</v>
      </c>
      <c r="BI23" s="36">
        <v>1823</v>
      </c>
      <c r="BJ23" s="36">
        <v>2438</v>
      </c>
      <c r="BK23" s="36">
        <v>1268.9562790151069</v>
      </c>
      <c r="BL23" s="36">
        <v>1695.9180000000001</v>
      </c>
    </row>
    <row r="24" spans="2:64" ht="15" x14ac:dyDescent="0.2">
      <c r="B24" s="62" t="s">
        <v>473</v>
      </c>
      <c r="C24" s="54" t="e">
        <f>VLOOKUP($B24,#REF!,COLUMNS($B24:C24),0)</f>
        <v>#REF!</v>
      </c>
      <c r="D24" s="55" t="e">
        <f>VLOOKUP($B24,#REF!,COLUMNS($B24:D24),0)</f>
        <v>#REF!</v>
      </c>
      <c r="E24" s="55" t="e">
        <f>VLOOKUP($B24,#REF!,COLUMNS($B24:E24),0)</f>
        <v>#REF!</v>
      </c>
      <c r="F24" s="56" t="e">
        <f>VLOOKUP($B24,#REF!,COLUMNS($B24:F24),0)</f>
        <v>#REF!</v>
      </c>
      <c r="G24" s="57" t="e">
        <f>VLOOKUP($B24,#REF!,COLUMNS($B24:G24),0)</f>
        <v>#REF!</v>
      </c>
      <c r="H24" s="58" t="e">
        <f>VLOOKUP($B24,#REF!,COLUMNS($B24:H24),0)</f>
        <v>#REF!</v>
      </c>
      <c r="I24" s="59" t="e">
        <f>VLOOKUP($B24,#REF!,COLUMNS($B24:I24),0)</f>
        <v>#REF!</v>
      </c>
      <c r="J24" s="60" t="e">
        <f>VLOOKUP($B24,#REF!,COLUMNS($B24:J24),0)</f>
        <v>#REF!</v>
      </c>
      <c r="K24" s="60" t="e">
        <f>VLOOKUP($B24,#REF!,COLUMNS($B24:K24),0)</f>
        <v>#REF!</v>
      </c>
      <c r="L24" s="61" t="e">
        <f>VLOOKUP($B24,#REF!,COLUMNS($B24:L24),0)</f>
        <v>#REF!</v>
      </c>
      <c r="M24" s="61" t="e">
        <f>VLOOKUP($B24,#REF!,COLUMNS($B24:M24),0)</f>
        <v>#REF!</v>
      </c>
      <c r="AD24" s="1" t="s">
        <v>21</v>
      </c>
      <c r="AE24" s="1" t="s">
        <v>22</v>
      </c>
      <c r="AF24" s="36" t="e">
        <f ca="1">_xll.BDP($AD24,AF$10)</f>
        <v>#NAME?</v>
      </c>
      <c r="AG24" s="36" t="e">
        <f ca="1">_xll.BDH($AD24,AG$10,$C$5,$C$5,"EQY_FUND_CRNCY=USD")</f>
        <v>#NAME?</v>
      </c>
      <c r="AH24" s="36" t="e">
        <f ca="1">_xll.BDH($AD24,AH$10,$C$5,$C$5,"EQY_FUND_CRNCY=USD")</f>
        <v>#NAME?</v>
      </c>
      <c r="AI24" s="36" t="e">
        <f ca="1">_xll.BDP($AD24,AI$10,"EQY_FUND_CRNCY=USD","FA_ADJUSTED=Y")</f>
        <v>#NAME?</v>
      </c>
      <c r="AJ24" s="36" t="e">
        <f ca="1">_xll.BDP($AD24,AJ$10,"BEST_FPERIOD_OVERRIDE=1TY","EQY_FUND_CRNCY=USD","FA_ADJUSTED=Y")</f>
        <v>#NAME?</v>
      </c>
      <c r="AK24" s="44" t="e">
        <f t="shared" ca="1" si="3"/>
        <v>#NAME?</v>
      </c>
      <c r="AL24" s="36" t="e">
        <f ca="1">_xll.BDP($AD24,AL$10,"EQY_FUND_CRNCY=USD","FA_ADJUSTED=Y")</f>
        <v>#NAME?</v>
      </c>
      <c r="AM24" s="36" t="e">
        <f ca="1">_xll.BDP($AD24,AM$10,"BEST_FPERIOD_OVERRIDE=1TY","EQY_FUND_CRNCY=USD","FA_ADJUSTED=Y")</f>
        <v>#NAME?</v>
      </c>
      <c r="AN24" s="36" t="e">
        <f ca="1">_xll.BDP($AD24,AN$10,"BEST_FPERIOD_OVERRIDE=1TY","EQY_FUND_CRNCY=USD","FA_ADJUSTED=Y")</f>
        <v>#NAME?</v>
      </c>
      <c r="AO24" s="36" t="e">
        <f ca="1">_xll.BDP($AD24,AO$10,"BEST_FPERIOD_OVERRIDE=1TY","EQY_FUND_CRNCY=USD","FA_ADJUSTED=Y")</f>
        <v>#NAME?</v>
      </c>
      <c r="AP24" s="36" t="e">
        <f ca="1">_xll.BDP($AD24,AP$10,"BEST_FPERIOD_OVERRIDE=1TY","EQY_FUND_CRNCY=USD","FA_ADJUSTED=Y")</f>
        <v>#NAME?</v>
      </c>
      <c r="AQ24" s="36" t="e">
        <f ca="1">_xll.BDP($AD24,AQ$10,"EQY_FUND_CRNCY=USD","FA_ADJUSTED=Y")</f>
        <v>#NAME?</v>
      </c>
      <c r="AR24" s="36" t="e">
        <f ca="1">_xll.BDP($AD24,AR$10,"BEST_FPERIOD_OVERRIDE=1TY","EQY_FUND_CRNCY=USD","FA_ADJUSTED=Y")</f>
        <v>#NAME?</v>
      </c>
      <c r="AS24" s="36" t="e">
        <f ca="1">_xll.BDP($AD24,AS$10,"EQY_FUND_CRNCY=USD","FA_ADJUSTED=Y")</f>
        <v>#NAME?</v>
      </c>
      <c r="AT24" s="36" t="e">
        <f ca="1">_xll.BDP($AD24,AT$10,"BEST_FPERIOD_OVERRIDE=1TY","EQY_FUND_CRNCY=USD","FA_ADJUSTED=Y")</f>
        <v>#NAME?</v>
      </c>
      <c r="AV24" s="1" t="s">
        <v>21</v>
      </c>
      <c r="AW24" s="1" t="s">
        <v>22</v>
      </c>
      <c r="AX24" s="36" t="s">
        <v>506</v>
      </c>
      <c r="AY24" s="36">
        <v>33871.818299999999</v>
      </c>
      <c r="AZ24" s="36">
        <v>42185.818299999999</v>
      </c>
      <c r="BA24" s="36">
        <v>8699</v>
      </c>
      <c r="BB24" s="36">
        <v>8625.7090000000007</v>
      </c>
      <c r="BC24" s="44">
        <v>-8.4252212898033862E-3</v>
      </c>
      <c r="BD24" s="36">
        <v>2884</v>
      </c>
      <c r="BE24" s="36">
        <v>42.35</v>
      </c>
      <c r="BF24" s="36">
        <v>0</v>
      </c>
      <c r="BG24" s="36" t="s">
        <v>480</v>
      </c>
      <c r="BH24" s="36" t="s">
        <v>480</v>
      </c>
      <c r="BI24" s="36">
        <v>3112</v>
      </c>
      <c r="BJ24" s="36">
        <v>3245.0219999999999</v>
      </c>
      <c r="BK24" s="36">
        <v>970.36009354648309</v>
      </c>
      <c r="BL24" s="36">
        <v>1801.5989999999999</v>
      </c>
    </row>
    <row r="25" spans="2:64" ht="15" x14ac:dyDescent="0.2">
      <c r="B25" s="62" t="s">
        <v>474</v>
      </c>
      <c r="C25" s="54" t="e">
        <f>VLOOKUP($B25,#REF!,COLUMNS($B25:C25),0)</f>
        <v>#REF!</v>
      </c>
      <c r="D25" s="55" t="e">
        <f>VLOOKUP($B25,#REF!,COLUMNS($B25:D25),0)</f>
        <v>#REF!</v>
      </c>
      <c r="E25" s="55" t="e">
        <f>VLOOKUP($B25,#REF!,COLUMNS($B25:E25),0)</f>
        <v>#REF!</v>
      </c>
      <c r="F25" s="56" t="e">
        <f>VLOOKUP($B25,#REF!,COLUMNS($B25:F25),0)</f>
        <v>#REF!</v>
      </c>
      <c r="G25" s="57" t="e">
        <f>VLOOKUP($B25,#REF!,COLUMNS($B25:G25),0)</f>
        <v>#REF!</v>
      </c>
      <c r="H25" s="58" t="e">
        <f>VLOOKUP($B25,#REF!,COLUMNS($B25:H25),0)</f>
        <v>#REF!</v>
      </c>
      <c r="I25" s="59" t="e">
        <f>VLOOKUP($B25,#REF!,COLUMNS($B25:I25),0)</f>
        <v>#REF!</v>
      </c>
      <c r="J25" s="60" t="e">
        <f>VLOOKUP($B25,#REF!,COLUMNS($B25:J25),0)</f>
        <v>#REF!</v>
      </c>
      <c r="K25" s="60" t="e">
        <f>VLOOKUP($B25,#REF!,COLUMNS($B25:K25),0)</f>
        <v>#REF!</v>
      </c>
      <c r="L25" s="61" t="e">
        <f>VLOOKUP($B25,#REF!,COLUMNS($B25:L25),0)</f>
        <v>#REF!</v>
      </c>
      <c r="M25" s="61" t="e">
        <f>VLOOKUP($B25,#REF!,COLUMNS($B25:M25),0)</f>
        <v>#REF!</v>
      </c>
      <c r="AD25" s="1" t="s">
        <v>23</v>
      </c>
      <c r="AE25" s="1" t="s">
        <v>24</v>
      </c>
      <c r="AF25" s="36" t="e">
        <f ca="1">_xll.BDP($AD25,AF$10)</f>
        <v>#NAME?</v>
      </c>
      <c r="AG25" s="36" t="e">
        <f ca="1">_xll.BDH($AD25,AG$10,$C$5,$C$5,"EQY_FUND_CRNCY=USD")</f>
        <v>#NAME?</v>
      </c>
      <c r="AH25" s="36" t="e">
        <f ca="1">_xll.BDH($AD25,AH$10,$C$5,$C$5,"EQY_FUND_CRNCY=USD")</f>
        <v>#NAME?</v>
      </c>
      <c r="AI25" s="36" t="e">
        <f ca="1">_xll.BDP($AD25,AI$10,"EQY_FUND_CRNCY=USD","FA_ADJUSTED=Y")</f>
        <v>#NAME?</v>
      </c>
      <c r="AJ25" s="36" t="e">
        <f ca="1">_xll.BDP($AD25,AJ$10,"BEST_FPERIOD_OVERRIDE=1TY","EQY_FUND_CRNCY=USD","FA_ADJUSTED=Y")</f>
        <v>#NAME?</v>
      </c>
      <c r="AK25" s="44" t="e">
        <f t="shared" ca="1" si="3"/>
        <v>#NAME?</v>
      </c>
      <c r="AL25" s="36" t="e">
        <f ca="1">_xll.BDP($AD25,AL$10,"EQY_FUND_CRNCY=USD","FA_ADJUSTED=Y")</f>
        <v>#NAME?</v>
      </c>
      <c r="AM25" s="36" t="e">
        <f ca="1">_xll.BDP($AD25,AM$10,"BEST_FPERIOD_OVERRIDE=1TY","EQY_FUND_CRNCY=USD","FA_ADJUSTED=Y")</f>
        <v>#NAME?</v>
      </c>
      <c r="AN25" s="36" t="e">
        <f ca="1">_xll.BDP($AD25,AN$10,"BEST_FPERIOD_OVERRIDE=1TY","EQY_FUND_CRNCY=USD","FA_ADJUSTED=Y")</f>
        <v>#NAME?</v>
      </c>
      <c r="AO25" s="36" t="e">
        <f ca="1">_xll.BDP($AD25,AO$10,"BEST_FPERIOD_OVERRIDE=1TY","EQY_FUND_CRNCY=USD","FA_ADJUSTED=Y")</f>
        <v>#NAME?</v>
      </c>
      <c r="AP25" s="36" t="e">
        <f ca="1">_xll.BDP($AD25,AP$10,"BEST_FPERIOD_OVERRIDE=1TY","EQY_FUND_CRNCY=USD","FA_ADJUSTED=Y")</f>
        <v>#NAME?</v>
      </c>
      <c r="AQ25" s="36" t="e">
        <f ca="1">_xll.BDP($AD25,AQ$10,"EQY_FUND_CRNCY=USD","FA_ADJUSTED=Y")</f>
        <v>#NAME?</v>
      </c>
      <c r="AR25" s="36" t="e">
        <f ca="1">_xll.BDP($AD25,AR$10,"BEST_FPERIOD_OVERRIDE=1TY","EQY_FUND_CRNCY=USD","FA_ADJUSTED=Y")</f>
        <v>#NAME?</v>
      </c>
      <c r="AS25" s="36" t="e">
        <f ca="1">_xll.BDP($AD25,AS$10,"EQY_FUND_CRNCY=USD","FA_ADJUSTED=Y")</f>
        <v>#NAME?</v>
      </c>
      <c r="AT25" s="36" t="e">
        <f ca="1">_xll.BDP($AD25,AT$10,"BEST_FPERIOD_OVERRIDE=1TY","EQY_FUND_CRNCY=USD","FA_ADJUSTED=Y")</f>
        <v>#NAME?</v>
      </c>
      <c r="AV25" s="1" t="s">
        <v>23</v>
      </c>
      <c r="AW25" s="1" t="s">
        <v>24</v>
      </c>
      <c r="AX25" s="36" t="s">
        <v>505</v>
      </c>
      <c r="AY25" s="36">
        <v>30961.627899999999</v>
      </c>
      <c r="AZ25" s="36">
        <v>30069.100900000001</v>
      </c>
      <c r="BA25" s="36">
        <v>2264.8180000000002</v>
      </c>
      <c r="BB25" s="36">
        <v>2957.73</v>
      </c>
      <c r="BC25" s="44">
        <v>0.30594599654365151</v>
      </c>
      <c r="BD25" s="36">
        <v>1706.5400173339845</v>
      </c>
      <c r="BE25" s="36">
        <v>79.881</v>
      </c>
      <c r="BF25" s="36">
        <v>377.51799999999997</v>
      </c>
      <c r="BG25" s="36">
        <v>946.61699999999996</v>
      </c>
      <c r="BH25" s="36">
        <v>210.53299999999999</v>
      </c>
      <c r="BI25" s="36">
        <v>59.362000000000002</v>
      </c>
      <c r="BJ25" s="36">
        <v>778.80000000000007</v>
      </c>
      <c r="BK25" s="36">
        <v>-89.498374022804001</v>
      </c>
      <c r="BL25" s="36">
        <v>496.71600000000001</v>
      </c>
    </row>
    <row r="26" spans="2:64" ht="15" x14ac:dyDescent="0.2">
      <c r="B26" s="62" t="s">
        <v>475</v>
      </c>
      <c r="C26" s="54" t="e">
        <f>VLOOKUP($B26,#REF!,COLUMNS($B26:C26),0)</f>
        <v>#REF!</v>
      </c>
      <c r="D26" s="55" t="e">
        <f>VLOOKUP($B26,#REF!,COLUMNS($B26:D26),0)</f>
        <v>#REF!</v>
      </c>
      <c r="E26" s="55" t="e">
        <f>VLOOKUP($B26,#REF!,COLUMNS($B26:E26),0)</f>
        <v>#REF!</v>
      </c>
      <c r="F26" s="56" t="e">
        <f>VLOOKUP($B26,#REF!,COLUMNS($B26:F26),0)</f>
        <v>#REF!</v>
      </c>
      <c r="G26" s="57" t="e">
        <f>VLOOKUP($B26,#REF!,COLUMNS($B26:G26),0)</f>
        <v>#REF!</v>
      </c>
      <c r="H26" s="58" t="e">
        <f>VLOOKUP($B26,#REF!,COLUMNS($B26:H26),0)</f>
        <v>#REF!</v>
      </c>
      <c r="I26" s="59" t="e">
        <f>VLOOKUP($B26,#REF!,COLUMNS($B26:I26),0)</f>
        <v>#REF!</v>
      </c>
      <c r="J26" s="60" t="e">
        <f>VLOOKUP($B26,#REF!,COLUMNS($B26:J26),0)</f>
        <v>#REF!</v>
      </c>
      <c r="K26" s="60" t="e">
        <f>VLOOKUP($B26,#REF!,COLUMNS($B26:K26),0)</f>
        <v>#REF!</v>
      </c>
      <c r="L26" s="61" t="e">
        <f>VLOOKUP($B26,#REF!,COLUMNS($B26:L26),0)</f>
        <v>#REF!</v>
      </c>
      <c r="M26" s="61" t="e">
        <f>VLOOKUP($B26,#REF!,COLUMNS($B26:M26),0)</f>
        <v>#REF!</v>
      </c>
      <c r="AD26" s="1" t="s">
        <v>25</v>
      </c>
      <c r="AE26" s="1" t="s">
        <v>26</v>
      </c>
      <c r="AF26" s="36" t="e">
        <f ca="1">_xll.BDP($AD26,AF$10)</f>
        <v>#NAME?</v>
      </c>
      <c r="AG26" s="36" t="e">
        <f ca="1">_xll.BDH($AD26,AG$10,$C$5,$C$5,"EQY_FUND_CRNCY=USD")</f>
        <v>#NAME?</v>
      </c>
      <c r="AH26" s="36" t="e">
        <f ca="1">_xll.BDH($AD26,AH$10,$C$5,$C$5,"EQY_FUND_CRNCY=USD")</f>
        <v>#NAME?</v>
      </c>
      <c r="AI26" s="36" t="e">
        <f ca="1">_xll.BDP($AD26,AI$10,"EQY_FUND_CRNCY=USD","FA_ADJUSTED=Y")</f>
        <v>#NAME?</v>
      </c>
      <c r="AJ26" s="36" t="e">
        <f ca="1">_xll.BDP($AD26,AJ$10,"BEST_FPERIOD_OVERRIDE=1TY","EQY_FUND_CRNCY=USD","FA_ADJUSTED=Y")</f>
        <v>#NAME?</v>
      </c>
      <c r="AK26" s="44" t="e">
        <f t="shared" ca="1" si="3"/>
        <v>#NAME?</v>
      </c>
      <c r="AL26" s="36" t="e">
        <f ca="1">_xll.BDP($AD26,AL$10,"EQY_FUND_CRNCY=USD","FA_ADJUSTED=Y")</f>
        <v>#NAME?</v>
      </c>
      <c r="AM26" s="36" t="e">
        <f ca="1">_xll.BDP($AD26,AM$10,"BEST_FPERIOD_OVERRIDE=1TY","EQY_FUND_CRNCY=USD","FA_ADJUSTED=Y")</f>
        <v>#NAME?</v>
      </c>
      <c r="AN26" s="36" t="e">
        <f ca="1">_xll.BDP($AD26,AN$10,"BEST_FPERIOD_OVERRIDE=1TY","EQY_FUND_CRNCY=USD","FA_ADJUSTED=Y")</f>
        <v>#NAME?</v>
      </c>
      <c r="AO26" s="36" t="e">
        <f ca="1">_xll.BDP($AD26,AO$10,"BEST_FPERIOD_OVERRIDE=1TY","EQY_FUND_CRNCY=USD","FA_ADJUSTED=Y")</f>
        <v>#NAME?</v>
      </c>
      <c r="AP26" s="36" t="e">
        <f ca="1">_xll.BDP($AD26,AP$10,"BEST_FPERIOD_OVERRIDE=1TY","EQY_FUND_CRNCY=USD","FA_ADJUSTED=Y")</f>
        <v>#NAME?</v>
      </c>
      <c r="AQ26" s="36" t="e">
        <f ca="1">_xll.BDP($AD26,AQ$10,"EQY_FUND_CRNCY=USD","FA_ADJUSTED=Y")</f>
        <v>#NAME?</v>
      </c>
      <c r="AR26" s="36" t="e">
        <f ca="1">_xll.BDP($AD26,AR$10,"BEST_FPERIOD_OVERRIDE=1TY","EQY_FUND_CRNCY=USD","FA_ADJUSTED=Y")</f>
        <v>#NAME?</v>
      </c>
      <c r="AS26" s="36" t="e">
        <f ca="1">_xll.BDP($AD26,AS$10,"EQY_FUND_CRNCY=USD","FA_ADJUSTED=Y")</f>
        <v>#NAME?</v>
      </c>
      <c r="AT26" s="36" t="e">
        <f ca="1">_xll.BDP($AD26,AT$10,"BEST_FPERIOD_OVERRIDE=1TY","EQY_FUND_CRNCY=USD","FA_ADJUSTED=Y")</f>
        <v>#NAME?</v>
      </c>
      <c r="AV26" s="1" t="s">
        <v>25</v>
      </c>
      <c r="AW26" s="1" t="s">
        <v>26</v>
      </c>
      <c r="AX26" s="36" t="s">
        <v>506</v>
      </c>
      <c r="AY26" s="36">
        <v>31940.648099999999</v>
      </c>
      <c r="AZ26" s="36">
        <v>36398.648099999999</v>
      </c>
      <c r="BA26" s="36">
        <v>5776</v>
      </c>
      <c r="BB26" s="36">
        <v>5945.6530000000002</v>
      </c>
      <c r="BC26" s="44">
        <v>2.9372056786703737E-2</v>
      </c>
      <c r="BD26" s="36">
        <v>2754</v>
      </c>
      <c r="BE26" s="36">
        <v>47.800000000000004</v>
      </c>
      <c r="BF26" s="36">
        <v>0</v>
      </c>
      <c r="BG26" s="36" t="s">
        <v>480</v>
      </c>
      <c r="BH26" s="36" t="s">
        <v>480</v>
      </c>
      <c r="BI26" s="36">
        <v>2127</v>
      </c>
      <c r="BJ26" s="36">
        <v>2229.2269999999999</v>
      </c>
      <c r="BK26" s="36">
        <v>1089.5375644994851</v>
      </c>
      <c r="BL26" s="36">
        <v>1344.9670000000001</v>
      </c>
    </row>
    <row r="27" spans="2:64" ht="15" x14ac:dyDescent="0.2">
      <c r="B27" s="62" t="s">
        <v>476</v>
      </c>
      <c r="C27" s="54" t="e">
        <f>VLOOKUP($B27,#REF!,COLUMNS($B27:C27),0)</f>
        <v>#REF!</v>
      </c>
      <c r="D27" s="55" t="e">
        <f>VLOOKUP($B27,#REF!,COLUMNS($B27:D27),0)</f>
        <v>#REF!</v>
      </c>
      <c r="E27" s="55" t="e">
        <f>VLOOKUP($B27,#REF!,COLUMNS($B27:E27),0)</f>
        <v>#REF!</v>
      </c>
      <c r="F27" s="56" t="e">
        <f>VLOOKUP($B27,#REF!,COLUMNS($B27:F27),0)</f>
        <v>#REF!</v>
      </c>
      <c r="G27" s="57" t="e">
        <f>VLOOKUP($B27,#REF!,COLUMNS($B27:G27),0)</f>
        <v>#REF!</v>
      </c>
      <c r="H27" s="58" t="e">
        <f>VLOOKUP($B27,#REF!,COLUMNS($B27:H27),0)</f>
        <v>#REF!</v>
      </c>
      <c r="I27" s="59" t="e">
        <f>VLOOKUP($B27,#REF!,COLUMNS($B27:I27),0)</f>
        <v>#REF!</v>
      </c>
      <c r="J27" s="60" t="e">
        <f>VLOOKUP($B27,#REF!,COLUMNS($B27:J27),0)</f>
        <v>#REF!</v>
      </c>
      <c r="K27" s="60" t="e">
        <f>VLOOKUP($B27,#REF!,COLUMNS($B27:K27),0)</f>
        <v>#REF!</v>
      </c>
      <c r="L27" s="61" t="e">
        <f>VLOOKUP($B27,#REF!,COLUMNS($B27:L27),0)</f>
        <v>#REF!</v>
      </c>
      <c r="M27" s="61" t="e">
        <f>VLOOKUP($B27,#REF!,COLUMNS($B27:M27),0)</f>
        <v>#REF!</v>
      </c>
      <c r="AD27" s="1" t="s">
        <v>27</v>
      </c>
      <c r="AE27" s="1" t="s">
        <v>28</v>
      </c>
      <c r="AF27" s="36" t="e">
        <f ca="1">_xll.BDP($AD27,AF$10)</f>
        <v>#NAME?</v>
      </c>
      <c r="AG27" s="36" t="e">
        <f ca="1">_xll.BDH($AD27,AG$10,$C$5,$C$5,"EQY_FUND_CRNCY=USD")</f>
        <v>#NAME?</v>
      </c>
      <c r="AH27" s="36" t="e">
        <f ca="1">_xll.BDH($AD27,AH$10,$C$5,$C$5,"EQY_FUND_CRNCY=USD")</f>
        <v>#NAME?</v>
      </c>
      <c r="AI27" s="36" t="e">
        <f ca="1">_xll.BDP($AD27,AI$10,"EQY_FUND_CRNCY=USD","FA_ADJUSTED=Y")</f>
        <v>#NAME?</v>
      </c>
      <c r="AJ27" s="36" t="e">
        <f ca="1">_xll.BDP($AD27,AJ$10,"BEST_FPERIOD_OVERRIDE=1TY","EQY_FUND_CRNCY=USD","FA_ADJUSTED=Y")</f>
        <v>#NAME?</v>
      </c>
      <c r="AK27" s="44" t="e">
        <f t="shared" ca="1" si="3"/>
        <v>#NAME?</v>
      </c>
      <c r="AL27" s="36" t="e">
        <f ca="1">_xll.BDP($AD27,AL$10,"EQY_FUND_CRNCY=USD","FA_ADJUSTED=Y")</f>
        <v>#NAME?</v>
      </c>
      <c r="AM27" s="36" t="e">
        <f ca="1">_xll.BDP($AD27,AM$10,"BEST_FPERIOD_OVERRIDE=1TY","EQY_FUND_CRNCY=USD","FA_ADJUSTED=Y")</f>
        <v>#NAME?</v>
      </c>
      <c r="AN27" s="36" t="e">
        <f ca="1">_xll.BDP($AD27,AN$10,"BEST_FPERIOD_OVERRIDE=1TY","EQY_FUND_CRNCY=USD","FA_ADJUSTED=Y")</f>
        <v>#NAME?</v>
      </c>
      <c r="AO27" s="36" t="e">
        <f ca="1">_xll.BDP($AD27,AO$10,"BEST_FPERIOD_OVERRIDE=1TY","EQY_FUND_CRNCY=USD","FA_ADJUSTED=Y")</f>
        <v>#NAME?</v>
      </c>
      <c r="AP27" s="36" t="e">
        <f ca="1">_xll.BDP($AD27,AP$10,"BEST_FPERIOD_OVERRIDE=1TY","EQY_FUND_CRNCY=USD","FA_ADJUSTED=Y")</f>
        <v>#NAME?</v>
      </c>
      <c r="AQ27" s="36" t="e">
        <f ca="1">_xll.BDP($AD27,AQ$10,"EQY_FUND_CRNCY=USD","FA_ADJUSTED=Y")</f>
        <v>#NAME?</v>
      </c>
      <c r="AR27" s="36" t="e">
        <f ca="1">_xll.BDP($AD27,AR$10,"BEST_FPERIOD_OVERRIDE=1TY","EQY_FUND_CRNCY=USD","FA_ADJUSTED=Y")</f>
        <v>#NAME?</v>
      </c>
      <c r="AS27" s="36" t="e">
        <f ca="1">_xll.BDP($AD27,AS$10,"EQY_FUND_CRNCY=USD","FA_ADJUSTED=Y")</f>
        <v>#NAME?</v>
      </c>
      <c r="AT27" s="36" t="e">
        <f ca="1">_xll.BDP($AD27,AT$10,"BEST_FPERIOD_OVERRIDE=1TY","EQY_FUND_CRNCY=USD","FA_ADJUSTED=Y")</f>
        <v>#NAME?</v>
      </c>
      <c r="AV27" s="1" t="s">
        <v>27</v>
      </c>
      <c r="AW27" s="1" t="s">
        <v>28</v>
      </c>
      <c r="AX27" s="36" t="s">
        <v>506</v>
      </c>
      <c r="AY27" s="36">
        <v>29531.164400000001</v>
      </c>
      <c r="AZ27" s="36">
        <v>28950.8534</v>
      </c>
      <c r="BA27" s="36">
        <v>2684.7350000000001</v>
      </c>
      <c r="BB27" s="36">
        <v>1858.0640000000001</v>
      </c>
      <c r="BC27" s="44">
        <v>-0.30791530635239606</v>
      </c>
      <c r="BD27" s="36">
        <v>1029.4319973144532</v>
      </c>
      <c r="BE27" s="36">
        <v>75.245000000000005</v>
      </c>
      <c r="BF27" s="36">
        <v>321.88799999999998</v>
      </c>
      <c r="BG27" s="36">
        <v>253.17</v>
      </c>
      <c r="BH27" s="36">
        <v>250.553</v>
      </c>
      <c r="BI27" s="36">
        <v>-3.8120000000000012</v>
      </c>
      <c r="BJ27" s="36">
        <v>303.834</v>
      </c>
      <c r="BK27" s="36">
        <v>-55.131</v>
      </c>
      <c r="BL27" s="36">
        <v>298.54700000000003</v>
      </c>
    </row>
    <row r="28" spans="2:64" ht="15" x14ac:dyDescent="0.2">
      <c r="B28" s="62" t="s">
        <v>477</v>
      </c>
      <c r="C28" s="54" t="e">
        <f>VLOOKUP($B28,#REF!,COLUMNS($B28:C28),0)</f>
        <v>#REF!</v>
      </c>
      <c r="D28" s="55" t="e">
        <f>VLOOKUP($B28,#REF!,COLUMNS($B28:D28),0)</f>
        <v>#REF!</v>
      </c>
      <c r="E28" s="55" t="e">
        <f>VLOOKUP($B28,#REF!,COLUMNS($B28:E28),0)</f>
        <v>#REF!</v>
      </c>
      <c r="F28" s="56" t="e">
        <f>VLOOKUP($B28,#REF!,COLUMNS($B28:F28),0)</f>
        <v>#REF!</v>
      </c>
      <c r="G28" s="57" t="e">
        <f>VLOOKUP($B28,#REF!,COLUMNS($B28:G28),0)</f>
        <v>#REF!</v>
      </c>
      <c r="H28" s="58" t="e">
        <f>VLOOKUP($B28,#REF!,COLUMNS($B28:H28),0)</f>
        <v>#REF!</v>
      </c>
      <c r="I28" s="59" t="e">
        <f>VLOOKUP($B28,#REF!,COLUMNS($B28:I28),0)</f>
        <v>#REF!</v>
      </c>
      <c r="J28" s="60" t="e">
        <f>VLOOKUP($B28,#REF!,COLUMNS($B28:J28),0)</f>
        <v>#REF!</v>
      </c>
      <c r="K28" s="60" t="e">
        <f>VLOOKUP($B28,#REF!,COLUMNS($B28:K28),0)</f>
        <v>#REF!</v>
      </c>
      <c r="L28" s="61" t="e">
        <f>VLOOKUP($B28,#REF!,COLUMNS($B28:L28),0)</f>
        <v>#REF!</v>
      </c>
      <c r="M28" s="61" t="e">
        <f>VLOOKUP($B28,#REF!,COLUMNS($B28:M28),0)</f>
        <v>#REF!</v>
      </c>
      <c r="AD28" s="1" t="s">
        <v>29</v>
      </c>
      <c r="AE28" s="1" t="s">
        <v>30</v>
      </c>
      <c r="AF28" s="36" t="e">
        <f ca="1">_xll.BDP($AD28,AF$10)</f>
        <v>#NAME?</v>
      </c>
      <c r="AG28" s="36" t="e">
        <f ca="1">_xll.BDH($AD28,AG$10,$C$5,$C$5,"EQY_FUND_CRNCY=USD")</f>
        <v>#NAME?</v>
      </c>
      <c r="AH28" s="36" t="e">
        <f ca="1">_xll.BDH($AD28,AH$10,$C$5,$C$5,"EQY_FUND_CRNCY=USD")</f>
        <v>#NAME?</v>
      </c>
      <c r="AI28" s="36" t="e">
        <f ca="1">_xll.BDP($AD28,AI$10,"EQY_FUND_CRNCY=USD","FA_ADJUSTED=Y")</f>
        <v>#NAME?</v>
      </c>
      <c r="AJ28" s="36" t="e">
        <f ca="1">_xll.BDP($AD28,AJ$10,"BEST_FPERIOD_OVERRIDE=1TY","EQY_FUND_CRNCY=USD","FA_ADJUSTED=Y")</f>
        <v>#NAME?</v>
      </c>
      <c r="AK28" s="44" t="e">
        <f t="shared" ca="1" si="3"/>
        <v>#NAME?</v>
      </c>
      <c r="AL28" s="36" t="e">
        <f ca="1">_xll.BDP($AD28,AL$10,"EQY_FUND_CRNCY=USD","FA_ADJUSTED=Y")</f>
        <v>#NAME?</v>
      </c>
      <c r="AM28" s="36" t="e">
        <f ca="1">_xll.BDP($AD28,AM$10,"BEST_FPERIOD_OVERRIDE=1TY","EQY_FUND_CRNCY=USD","FA_ADJUSTED=Y")</f>
        <v>#NAME?</v>
      </c>
      <c r="AN28" s="36" t="e">
        <f ca="1">_xll.BDP($AD28,AN$10,"BEST_FPERIOD_OVERRIDE=1TY","EQY_FUND_CRNCY=USD","FA_ADJUSTED=Y")</f>
        <v>#NAME?</v>
      </c>
      <c r="AO28" s="36" t="e">
        <f ca="1">_xll.BDP($AD28,AO$10,"BEST_FPERIOD_OVERRIDE=1TY","EQY_FUND_CRNCY=USD","FA_ADJUSTED=Y")</f>
        <v>#NAME?</v>
      </c>
      <c r="AP28" s="36" t="e">
        <f ca="1">_xll.BDP($AD28,AP$10,"BEST_FPERIOD_OVERRIDE=1TY","EQY_FUND_CRNCY=USD","FA_ADJUSTED=Y")</f>
        <v>#NAME?</v>
      </c>
      <c r="AQ28" s="36" t="e">
        <f ca="1">_xll.BDP($AD28,AQ$10,"EQY_FUND_CRNCY=USD","FA_ADJUSTED=Y")</f>
        <v>#NAME?</v>
      </c>
      <c r="AR28" s="36" t="e">
        <f ca="1">_xll.BDP($AD28,AR$10,"BEST_FPERIOD_OVERRIDE=1TY","EQY_FUND_CRNCY=USD","FA_ADJUSTED=Y")</f>
        <v>#NAME?</v>
      </c>
      <c r="AS28" s="36" t="e">
        <f ca="1">_xll.BDP($AD28,AS$10,"EQY_FUND_CRNCY=USD","FA_ADJUSTED=Y")</f>
        <v>#NAME?</v>
      </c>
      <c r="AT28" s="36" t="e">
        <f ca="1">_xll.BDP($AD28,AT$10,"BEST_FPERIOD_OVERRIDE=1TY","EQY_FUND_CRNCY=USD","FA_ADJUSTED=Y")</f>
        <v>#NAME?</v>
      </c>
      <c r="AV28" s="1" t="s">
        <v>29</v>
      </c>
      <c r="AW28" s="1" t="s">
        <v>30</v>
      </c>
      <c r="AX28" s="36" t="s">
        <v>506</v>
      </c>
      <c r="AY28" s="36">
        <v>29089.448</v>
      </c>
      <c r="AZ28" s="36">
        <v>37238.548000000003</v>
      </c>
      <c r="BA28" s="36">
        <v>3957.0110000000004</v>
      </c>
      <c r="BB28" s="36">
        <v>4123.2660000000005</v>
      </c>
      <c r="BC28" s="44">
        <v>4.2015298921332267E-2</v>
      </c>
      <c r="BD28" s="36">
        <v>2980.6710327148439</v>
      </c>
      <c r="BE28" s="36" t="s">
        <v>480</v>
      </c>
      <c r="BF28" s="36">
        <v>0</v>
      </c>
      <c r="BG28" s="36">
        <v>669.50599999999997</v>
      </c>
      <c r="BH28" s="36">
        <v>295.101</v>
      </c>
      <c r="BI28" s="36">
        <v>1336.268</v>
      </c>
      <c r="BJ28" s="36">
        <v>2025.325</v>
      </c>
      <c r="BK28" s="36">
        <v>93.840450000000004</v>
      </c>
      <c r="BL28" s="36">
        <v>1334.0820000000001</v>
      </c>
    </row>
    <row r="29" spans="2:64" ht="15" x14ac:dyDescent="0.2">
      <c r="B29" s="62" t="s">
        <v>478</v>
      </c>
      <c r="C29" s="54" t="e">
        <f>VLOOKUP($B29,#REF!,COLUMNS($B29:C29),0)</f>
        <v>#REF!</v>
      </c>
      <c r="D29" s="55" t="e">
        <f>VLOOKUP($B29,#REF!,COLUMNS($B29:D29),0)</f>
        <v>#REF!</v>
      </c>
      <c r="E29" s="55" t="e">
        <f>VLOOKUP($B29,#REF!,COLUMNS($B29:E29),0)</f>
        <v>#REF!</v>
      </c>
      <c r="F29" s="56" t="e">
        <f>VLOOKUP($B29,#REF!,COLUMNS($B29:F29),0)</f>
        <v>#REF!</v>
      </c>
      <c r="G29" s="57" t="e">
        <f>VLOOKUP($B29,#REF!,COLUMNS($B29:G29),0)</f>
        <v>#REF!</v>
      </c>
      <c r="H29" s="58" t="e">
        <f>VLOOKUP($B29,#REF!,COLUMNS($B29:H29),0)</f>
        <v>#REF!</v>
      </c>
      <c r="I29" s="59" t="e">
        <f>VLOOKUP($B29,#REF!,COLUMNS($B29:I29),0)</f>
        <v>#REF!</v>
      </c>
      <c r="J29" s="60" t="e">
        <f>VLOOKUP($B29,#REF!,COLUMNS($B29:J29),0)</f>
        <v>#REF!</v>
      </c>
      <c r="K29" s="60" t="e">
        <f>VLOOKUP($B29,#REF!,COLUMNS($B29:K29),0)</f>
        <v>#REF!</v>
      </c>
      <c r="L29" s="61" t="e">
        <f>VLOOKUP($B29,#REF!,COLUMNS($B29:L29),0)</f>
        <v>#REF!</v>
      </c>
      <c r="M29" s="61" t="e">
        <f>VLOOKUP($B29,#REF!,COLUMNS($B29:M29),0)</f>
        <v>#REF!</v>
      </c>
      <c r="AD29" s="1" t="s">
        <v>31</v>
      </c>
      <c r="AE29" s="1" t="s">
        <v>32</v>
      </c>
      <c r="AF29" s="36" t="e">
        <f ca="1">_xll.BDP($AD29,AF$10)</f>
        <v>#NAME?</v>
      </c>
      <c r="AG29" s="36" t="e">
        <f ca="1">_xll.BDH($AD29,AG$10,$C$5,$C$5,"EQY_FUND_CRNCY=USD")</f>
        <v>#NAME?</v>
      </c>
      <c r="AH29" s="36" t="e">
        <f ca="1">_xll.BDH($AD29,AH$10,$C$5,$C$5,"EQY_FUND_CRNCY=USD")</f>
        <v>#NAME?</v>
      </c>
      <c r="AI29" s="36" t="e">
        <f ca="1">_xll.BDP($AD29,AI$10,"EQY_FUND_CRNCY=USD","FA_ADJUSTED=Y")</f>
        <v>#NAME?</v>
      </c>
      <c r="AJ29" s="36" t="e">
        <f ca="1">_xll.BDP($AD29,AJ$10,"BEST_FPERIOD_OVERRIDE=1TY","EQY_FUND_CRNCY=USD","FA_ADJUSTED=Y")</f>
        <v>#NAME?</v>
      </c>
      <c r="AK29" s="44" t="e">
        <f t="shared" ca="1" si="3"/>
        <v>#NAME?</v>
      </c>
      <c r="AL29" s="36" t="e">
        <f ca="1">_xll.BDP($AD29,AL$10,"EQY_FUND_CRNCY=USD","FA_ADJUSTED=Y")</f>
        <v>#NAME?</v>
      </c>
      <c r="AM29" s="36" t="e">
        <f ca="1">_xll.BDP($AD29,AM$10,"BEST_FPERIOD_OVERRIDE=1TY","EQY_FUND_CRNCY=USD","FA_ADJUSTED=Y")</f>
        <v>#NAME?</v>
      </c>
      <c r="AN29" s="36" t="e">
        <f ca="1">_xll.BDP($AD29,AN$10,"BEST_FPERIOD_OVERRIDE=1TY","EQY_FUND_CRNCY=USD","FA_ADJUSTED=Y")</f>
        <v>#NAME?</v>
      </c>
      <c r="AO29" s="36" t="e">
        <f ca="1">_xll.BDP($AD29,AO$10,"BEST_FPERIOD_OVERRIDE=1TY","EQY_FUND_CRNCY=USD","FA_ADJUSTED=Y")</f>
        <v>#NAME?</v>
      </c>
      <c r="AP29" s="36" t="e">
        <f ca="1">_xll.BDP($AD29,AP$10,"BEST_FPERIOD_OVERRIDE=1TY","EQY_FUND_CRNCY=USD","FA_ADJUSTED=Y")</f>
        <v>#NAME?</v>
      </c>
      <c r="AQ29" s="36" t="e">
        <f ca="1">_xll.BDP($AD29,AQ$10,"EQY_FUND_CRNCY=USD","FA_ADJUSTED=Y")</f>
        <v>#NAME?</v>
      </c>
      <c r="AR29" s="36" t="e">
        <f ca="1">_xll.BDP($AD29,AR$10,"BEST_FPERIOD_OVERRIDE=1TY","EQY_FUND_CRNCY=USD","FA_ADJUSTED=Y")</f>
        <v>#NAME?</v>
      </c>
      <c r="AS29" s="36" t="e">
        <f ca="1">_xll.BDP($AD29,AS$10,"EQY_FUND_CRNCY=USD","FA_ADJUSTED=Y")</f>
        <v>#NAME?</v>
      </c>
      <c r="AT29" s="36" t="e">
        <f ca="1">_xll.BDP($AD29,AT$10,"BEST_FPERIOD_OVERRIDE=1TY","EQY_FUND_CRNCY=USD","FA_ADJUSTED=Y")</f>
        <v>#NAME?</v>
      </c>
      <c r="AV29" s="1" t="s">
        <v>31</v>
      </c>
      <c r="AW29" s="1" t="s">
        <v>32</v>
      </c>
      <c r="AX29" s="36" t="s">
        <v>495</v>
      </c>
      <c r="AY29" s="36">
        <v>28194.987400000002</v>
      </c>
      <c r="AZ29" s="36">
        <v>28484.287400000001</v>
      </c>
      <c r="BA29" s="36">
        <v>2240.6999999999998</v>
      </c>
      <c r="BB29" s="36">
        <v>2807.2000000000003</v>
      </c>
      <c r="BC29" s="44">
        <v>0.25282277859597468</v>
      </c>
      <c r="BD29" s="36">
        <v>1953.5000061035157</v>
      </c>
      <c r="BE29" s="36">
        <v>89.308000000000007</v>
      </c>
      <c r="BF29" s="36">
        <v>755.5</v>
      </c>
      <c r="BG29" s="36">
        <v>1087.3</v>
      </c>
      <c r="BH29" s="36">
        <v>305.2</v>
      </c>
      <c r="BI29" s="36">
        <v>-131.1</v>
      </c>
      <c r="BJ29" s="36">
        <v>635.5</v>
      </c>
      <c r="BK29" s="36">
        <v>-301.367196788814</v>
      </c>
      <c r="BL29" s="36">
        <v>429.976</v>
      </c>
    </row>
    <row r="30" spans="2:64" ht="15" x14ac:dyDescent="0.2">
      <c r="B30" s="62" t="s">
        <v>479</v>
      </c>
      <c r="C30" s="54" t="e">
        <f>VLOOKUP($B30,#REF!,COLUMNS($B30:C30),0)</f>
        <v>#REF!</v>
      </c>
      <c r="D30" s="55" t="e">
        <f>VLOOKUP($B30,#REF!,COLUMNS($B30:D30),0)</f>
        <v>#REF!</v>
      </c>
      <c r="E30" s="55" t="e">
        <f>VLOOKUP($B30,#REF!,COLUMNS($B30:E30),0)</f>
        <v>#REF!</v>
      </c>
      <c r="F30" s="56" t="e">
        <f>VLOOKUP($B30,#REF!,COLUMNS($B30:F30),0)</f>
        <v>#REF!</v>
      </c>
      <c r="G30" s="57" t="e">
        <f>VLOOKUP($B30,#REF!,COLUMNS($B30:G30),0)</f>
        <v>#REF!</v>
      </c>
      <c r="H30" s="58" t="e">
        <f>VLOOKUP($B30,#REF!,COLUMNS($B30:H30),0)</f>
        <v>#REF!</v>
      </c>
      <c r="I30" s="59" t="e">
        <f>VLOOKUP($B30,#REF!,COLUMNS($B30:I30),0)</f>
        <v>#REF!</v>
      </c>
      <c r="J30" s="60" t="e">
        <f>VLOOKUP($B30,#REF!,COLUMNS($B30:J30),0)</f>
        <v>#REF!</v>
      </c>
      <c r="K30" s="60" t="e">
        <f>VLOOKUP($B30,#REF!,COLUMNS($B30:K30),0)</f>
        <v>#REF!</v>
      </c>
      <c r="L30" s="61" t="e">
        <f>VLOOKUP($B30,#REF!,COLUMNS($B30:L30),0)</f>
        <v>#REF!</v>
      </c>
      <c r="M30" s="61" t="e">
        <f>VLOOKUP($B30,#REF!,COLUMNS($B30:M30),0)</f>
        <v>#REF!</v>
      </c>
      <c r="AD30" s="1" t="s">
        <v>33</v>
      </c>
      <c r="AE30" s="1" t="s">
        <v>34</v>
      </c>
      <c r="AF30" s="36" t="e">
        <f ca="1">_xll.BDP($AD30,AF$10)</f>
        <v>#NAME?</v>
      </c>
      <c r="AG30" s="36" t="e">
        <f ca="1">_xll.BDH($AD30,AG$10,$C$5,$C$5,"EQY_FUND_CRNCY=USD")</f>
        <v>#NAME?</v>
      </c>
      <c r="AH30" s="36" t="e">
        <f ca="1">_xll.BDH($AD30,AH$10,$C$5,$C$5,"EQY_FUND_CRNCY=USD")</f>
        <v>#NAME?</v>
      </c>
      <c r="AI30" s="36" t="e">
        <f ca="1">_xll.BDP($AD30,AI$10,"EQY_FUND_CRNCY=USD","FA_ADJUSTED=Y")</f>
        <v>#NAME?</v>
      </c>
      <c r="AJ30" s="36" t="e">
        <f ca="1">_xll.BDP($AD30,AJ$10,"BEST_FPERIOD_OVERRIDE=1TY","EQY_FUND_CRNCY=USD","FA_ADJUSTED=Y")</f>
        <v>#NAME?</v>
      </c>
      <c r="AK30" s="44" t="e">
        <f t="shared" ca="1" si="3"/>
        <v>#NAME?</v>
      </c>
      <c r="AL30" s="36" t="e">
        <f ca="1">_xll.BDP($AD30,AL$10,"EQY_FUND_CRNCY=USD","FA_ADJUSTED=Y")</f>
        <v>#NAME?</v>
      </c>
      <c r="AM30" s="36" t="e">
        <f ca="1">_xll.BDP($AD30,AM$10,"BEST_FPERIOD_OVERRIDE=1TY","EQY_FUND_CRNCY=USD","FA_ADJUSTED=Y")</f>
        <v>#NAME?</v>
      </c>
      <c r="AN30" s="36" t="e">
        <f ca="1">_xll.BDP($AD30,AN$10,"BEST_FPERIOD_OVERRIDE=1TY","EQY_FUND_CRNCY=USD","FA_ADJUSTED=Y")</f>
        <v>#NAME?</v>
      </c>
      <c r="AO30" s="36" t="e">
        <f ca="1">_xll.BDP($AD30,AO$10,"BEST_FPERIOD_OVERRIDE=1TY","EQY_FUND_CRNCY=USD","FA_ADJUSTED=Y")</f>
        <v>#NAME?</v>
      </c>
      <c r="AP30" s="36" t="e">
        <f ca="1">_xll.BDP($AD30,AP$10,"BEST_FPERIOD_OVERRIDE=1TY","EQY_FUND_CRNCY=USD","FA_ADJUSTED=Y")</f>
        <v>#NAME?</v>
      </c>
      <c r="AQ30" s="36" t="e">
        <f ca="1">_xll.BDP($AD30,AQ$10,"EQY_FUND_CRNCY=USD","FA_ADJUSTED=Y")</f>
        <v>#NAME?</v>
      </c>
      <c r="AR30" s="36" t="e">
        <f ca="1">_xll.BDP($AD30,AR$10,"BEST_FPERIOD_OVERRIDE=1TY","EQY_FUND_CRNCY=USD","FA_ADJUSTED=Y")</f>
        <v>#NAME?</v>
      </c>
      <c r="AS30" s="36" t="e">
        <f ca="1">_xll.BDP($AD30,AS$10,"EQY_FUND_CRNCY=USD","FA_ADJUSTED=Y")</f>
        <v>#NAME?</v>
      </c>
      <c r="AT30" s="36" t="e">
        <f ca="1">_xll.BDP($AD30,AT$10,"BEST_FPERIOD_OVERRIDE=1TY","EQY_FUND_CRNCY=USD","FA_ADJUSTED=Y")</f>
        <v>#NAME?</v>
      </c>
      <c r="AV30" s="1" t="s">
        <v>33</v>
      </c>
      <c r="AW30" s="1" t="s">
        <v>34</v>
      </c>
      <c r="AX30" s="36" t="s">
        <v>495</v>
      </c>
      <c r="AY30" s="36">
        <v>27264.9643</v>
      </c>
      <c r="AZ30" s="36">
        <v>25456.8783</v>
      </c>
      <c r="BA30" s="36">
        <v>2428.232</v>
      </c>
      <c r="BB30" s="36">
        <v>3119.846</v>
      </c>
      <c r="BC30" s="44">
        <v>0.28482204336323713</v>
      </c>
      <c r="BD30" s="36">
        <v>1715.5240270996094</v>
      </c>
      <c r="BE30" s="36">
        <v>73.817999999999998</v>
      </c>
      <c r="BF30" s="36">
        <v>910.58399999999995</v>
      </c>
      <c r="BG30" s="36">
        <v>683.36699999999996</v>
      </c>
      <c r="BH30" s="36">
        <v>222.90899999999999</v>
      </c>
      <c r="BI30" s="36">
        <v>-107.83699999999999</v>
      </c>
      <c r="BJ30" s="36">
        <v>502.2</v>
      </c>
      <c r="BK30" s="36">
        <v>-334.86065359999998</v>
      </c>
      <c r="BL30" s="36">
        <v>272.8</v>
      </c>
    </row>
    <row r="31" spans="2:64" ht="15" x14ac:dyDescent="0.2">
      <c r="B31" s="62" t="s">
        <v>481</v>
      </c>
      <c r="C31" s="54" t="e">
        <f>VLOOKUP($B31,#REF!,COLUMNS($B31:C31),0)</f>
        <v>#REF!</v>
      </c>
      <c r="D31" s="55" t="e">
        <f>VLOOKUP($B31,#REF!,COLUMNS($B31:D31),0)</f>
        <v>#REF!</v>
      </c>
      <c r="E31" s="55" t="e">
        <f>VLOOKUP($B31,#REF!,COLUMNS($B31:E31),0)</f>
        <v>#REF!</v>
      </c>
      <c r="F31" s="56" t="e">
        <f>VLOOKUP($B31,#REF!,COLUMNS($B31:F31),0)</f>
        <v>#REF!</v>
      </c>
      <c r="G31" s="57" t="e">
        <f>VLOOKUP($B31,#REF!,COLUMNS($B31:G31),0)</f>
        <v>#REF!</v>
      </c>
      <c r="H31" s="58" t="e">
        <f>VLOOKUP($B31,#REF!,COLUMNS($B31:H31),0)</f>
        <v>#REF!</v>
      </c>
      <c r="I31" s="59" t="e">
        <f>VLOOKUP($B31,#REF!,COLUMNS($B31:I31),0)</f>
        <v>#REF!</v>
      </c>
      <c r="J31" s="60" t="e">
        <f>VLOOKUP($B31,#REF!,COLUMNS($B31:J31),0)</f>
        <v>#REF!</v>
      </c>
      <c r="K31" s="60" t="e">
        <f>VLOOKUP($B31,#REF!,COLUMNS($B31:K31),0)</f>
        <v>#REF!</v>
      </c>
      <c r="L31" s="61" t="e">
        <f>VLOOKUP($B31,#REF!,COLUMNS($B31:L31),0)</f>
        <v>#REF!</v>
      </c>
      <c r="M31" s="61" t="e">
        <f>VLOOKUP($B31,#REF!,COLUMNS($B31:M31),0)</f>
        <v>#REF!</v>
      </c>
      <c r="AD31" s="1" t="s">
        <v>35</v>
      </c>
      <c r="AE31" s="1" t="s">
        <v>36</v>
      </c>
      <c r="AF31" s="36" t="e">
        <f ca="1">_xll.BDP($AD31,AF$10)</f>
        <v>#NAME?</v>
      </c>
      <c r="AG31" s="36" t="e">
        <f ca="1">_xll.BDH($AD31,AG$10,$C$5,$C$5,"EQY_FUND_CRNCY=USD")</f>
        <v>#NAME?</v>
      </c>
      <c r="AH31" s="36" t="e">
        <f ca="1">_xll.BDH($AD31,AH$10,$C$5,$C$5,"EQY_FUND_CRNCY=USD")</f>
        <v>#NAME?</v>
      </c>
      <c r="AI31" s="36" t="e">
        <f ca="1">_xll.BDP($AD31,AI$10,"EQY_FUND_CRNCY=USD","FA_ADJUSTED=Y")</f>
        <v>#NAME?</v>
      </c>
      <c r="AJ31" s="36" t="e">
        <f ca="1">_xll.BDP($AD31,AJ$10,"BEST_FPERIOD_OVERRIDE=1TY","EQY_FUND_CRNCY=USD","FA_ADJUSTED=Y")</f>
        <v>#NAME?</v>
      </c>
      <c r="AK31" s="44" t="e">
        <f t="shared" ca="1" si="3"/>
        <v>#NAME?</v>
      </c>
      <c r="AL31" s="36" t="e">
        <f ca="1">_xll.BDP($AD31,AL$10,"EQY_FUND_CRNCY=USD","FA_ADJUSTED=Y")</f>
        <v>#NAME?</v>
      </c>
      <c r="AM31" s="36" t="e">
        <f ca="1">_xll.BDP($AD31,AM$10,"BEST_FPERIOD_OVERRIDE=1TY","EQY_FUND_CRNCY=USD","FA_ADJUSTED=Y")</f>
        <v>#NAME?</v>
      </c>
      <c r="AN31" s="36" t="e">
        <f ca="1">_xll.BDP($AD31,AN$10,"BEST_FPERIOD_OVERRIDE=1TY","EQY_FUND_CRNCY=USD","FA_ADJUSTED=Y")</f>
        <v>#NAME?</v>
      </c>
      <c r="AO31" s="36" t="e">
        <f ca="1">_xll.BDP($AD31,AO$10,"BEST_FPERIOD_OVERRIDE=1TY","EQY_FUND_CRNCY=USD","FA_ADJUSTED=Y")</f>
        <v>#NAME?</v>
      </c>
      <c r="AP31" s="36" t="e">
        <f ca="1">_xll.BDP($AD31,AP$10,"BEST_FPERIOD_OVERRIDE=1TY","EQY_FUND_CRNCY=USD","FA_ADJUSTED=Y")</f>
        <v>#NAME?</v>
      </c>
      <c r="AQ31" s="36" t="e">
        <f ca="1">_xll.BDP($AD31,AQ$10,"EQY_FUND_CRNCY=USD","FA_ADJUSTED=Y")</f>
        <v>#NAME?</v>
      </c>
      <c r="AR31" s="36" t="e">
        <f ca="1">_xll.BDP($AD31,AR$10,"BEST_FPERIOD_OVERRIDE=1TY","EQY_FUND_CRNCY=USD","FA_ADJUSTED=Y")</f>
        <v>#NAME?</v>
      </c>
      <c r="AS31" s="36" t="e">
        <f ca="1">_xll.BDP($AD31,AS$10,"EQY_FUND_CRNCY=USD","FA_ADJUSTED=Y")</f>
        <v>#NAME?</v>
      </c>
      <c r="AT31" s="36" t="e">
        <f ca="1">_xll.BDP($AD31,AT$10,"BEST_FPERIOD_OVERRIDE=1TY","EQY_FUND_CRNCY=USD","FA_ADJUSTED=Y")</f>
        <v>#NAME?</v>
      </c>
      <c r="AV31" s="1" t="s">
        <v>35</v>
      </c>
      <c r="AW31" s="1" t="s">
        <v>36</v>
      </c>
      <c r="AX31" s="36" t="s">
        <v>506</v>
      </c>
      <c r="AY31" s="36">
        <v>23584.501899999999</v>
      </c>
      <c r="AZ31" s="36">
        <v>23118.2019</v>
      </c>
      <c r="BA31" s="36">
        <v>3426.9</v>
      </c>
      <c r="BB31" s="36">
        <v>3662.9560000000001</v>
      </c>
      <c r="BC31" s="44">
        <v>6.8883247249700963E-2</v>
      </c>
      <c r="BD31" s="36">
        <v>2375.6999633789064</v>
      </c>
      <c r="BE31" s="36">
        <v>67.775000000000006</v>
      </c>
      <c r="BF31" s="36">
        <v>0</v>
      </c>
      <c r="BG31" s="36" t="s">
        <v>480</v>
      </c>
      <c r="BH31" s="36" t="s">
        <v>480</v>
      </c>
      <c r="BI31" s="36">
        <v>1437.8257196663981</v>
      </c>
      <c r="BJ31" s="36">
        <v>1504.6000000000001</v>
      </c>
      <c r="BK31" s="36">
        <v>914.04665999999997</v>
      </c>
      <c r="BL31" s="36">
        <v>1049.039</v>
      </c>
    </row>
    <row r="32" spans="2:64" ht="15" x14ac:dyDescent="0.2">
      <c r="B32" s="62" t="s">
        <v>482</v>
      </c>
      <c r="C32" s="54" t="e">
        <f>VLOOKUP($B32,#REF!,COLUMNS($B32:C32),0)</f>
        <v>#REF!</v>
      </c>
      <c r="D32" s="55" t="e">
        <f>VLOOKUP($B32,#REF!,COLUMNS($B32:D32),0)</f>
        <v>#REF!</v>
      </c>
      <c r="E32" s="55" t="e">
        <f>VLOOKUP($B32,#REF!,COLUMNS($B32:E32),0)</f>
        <v>#REF!</v>
      </c>
      <c r="F32" s="56" t="e">
        <f>VLOOKUP($B32,#REF!,COLUMNS($B32:F32),0)</f>
        <v>#REF!</v>
      </c>
      <c r="G32" s="57" t="e">
        <f>VLOOKUP($B32,#REF!,COLUMNS($B32:G32),0)</f>
        <v>#REF!</v>
      </c>
      <c r="H32" s="58" t="e">
        <f>VLOOKUP($B32,#REF!,COLUMNS($B32:H32),0)</f>
        <v>#REF!</v>
      </c>
      <c r="I32" s="59" t="e">
        <f>VLOOKUP($B32,#REF!,COLUMNS($B32:I32),0)</f>
        <v>#REF!</v>
      </c>
      <c r="J32" s="60" t="e">
        <f>VLOOKUP($B32,#REF!,COLUMNS($B32:J32),0)</f>
        <v>#REF!</v>
      </c>
      <c r="K32" s="60" t="e">
        <f>VLOOKUP($B32,#REF!,COLUMNS($B32:K32),0)</f>
        <v>#REF!</v>
      </c>
      <c r="L32" s="61" t="e">
        <f>VLOOKUP($B32,#REF!,COLUMNS($B32:L32),0)</f>
        <v>#REF!</v>
      </c>
      <c r="M32" s="61" t="e">
        <f>VLOOKUP($B32,#REF!,COLUMNS($B32:M32),0)</f>
        <v>#REF!</v>
      </c>
      <c r="AD32" s="1" t="s">
        <v>37</v>
      </c>
      <c r="AE32" s="1" t="s">
        <v>38</v>
      </c>
      <c r="AF32" s="36" t="e">
        <f ca="1">_xll.BDP($AD32,AF$10)</f>
        <v>#NAME?</v>
      </c>
      <c r="AG32" s="36" t="e">
        <f ca="1">_xll.BDH($AD32,AG$10,$C$5,$C$5,"EQY_FUND_CRNCY=USD")</f>
        <v>#NAME?</v>
      </c>
      <c r="AH32" s="36" t="e">
        <f ca="1">_xll.BDH($AD32,AH$10,$C$5,$C$5,"EQY_FUND_CRNCY=USD")</f>
        <v>#NAME?</v>
      </c>
      <c r="AI32" s="36" t="e">
        <f ca="1">_xll.BDP($AD32,AI$10,"EQY_FUND_CRNCY=USD","FA_ADJUSTED=Y")</f>
        <v>#NAME?</v>
      </c>
      <c r="AJ32" s="36" t="e">
        <f ca="1">_xll.BDP($AD32,AJ$10,"BEST_FPERIOD_OVERRIDE=1TY","EQY_FUND_CRNCY=USD","FA_ADJUSTED=Y")</f>
        <v>#NAME?</v>
      </c>
      <c r="AK32" s="44" t="e">
        <f t="shared" ca="1" si="3"/>
        <v>#NAME?</v>
      </c>
      <c r="AL32" s="36" t="e">
        <f ca="1">_xll.BDP($AD32,AL$10,"EQY_FUND_CRNCY=USD","FA_ADJUSTED=Y")</f>
        <v>#NAME?</v>
      </c>
      <c r="AM32" s="36" t="e">
        <f ca="1">_xll.BDP($AD32,AM$10,"BEST_FPERIOD_OVERRIDE=1TY","EQY_FUND_CRNCY=USD","FA_ADJUSTED=Y")</f>
        <v>#NAME?</v>
      </c>
      <c r="AN32" s="36" t="e">
        <f ca="1">_xll.BDP($AD32,AN$10,"BEST_FPERIOD_OVERRIDE=1TY","EQY_FUND_CRNCY=USD","FA_ADJUSTED=Y")</f>
        <v>#NAME?</v>
      </c>
      <c r="AO32" s="36" t="e">
        <f ca="1">_xll.BDP($AD32,AO$10,"BEST_FPERIOD_OVERRIDE=1TY","EQY_FUND_CRNCY=USD","FA_ADJUSTED=Y")</f>
        <v>#NAME?</v>
      </c>
      <c r="AP32" s="36" t="e">
        <f ca="1">_xll.BDP($AD32,AP$10,"BEST_FPERIOD_OVERRIDE=1TY","EQY_FUND_CRNCY=USD","FA_ADJUSTED=Y")</f>
        <v>#NAME?</v>
      </c>
      <c r="AQ32" s="36" t="e">
        <f ca="1">_xll.BDP($AD32,AQ$10,"EQY_FUND_CRNCY=USD","FA_ADJUSTED=Y")</f>
        <v>#NAME?</v>
      </c>
      <c r="AR32" s="36" t="e">
        <f ca="1">_xll.BDP($AD32,AR$10,"BEST_FPERIOD_OVERRIDE=1TY","EQY_FUND_CRNCY=USD","FA_ADJUSTED=Y")</f>
        <v>#NAME?</v>
      </c>
      <c r="AS32" s="36" t="e">
        <f ca="1">_xll.BDP($AD32,AS$10,"EQY_FUND_CRNCY=USD","FA_ADJUSTED=Y")</f>
        <v>#NAME?</v>
      </c>
      <c r="AT32" s="36" t="e">
        <f ca="1">_xll.BDP($AD32,AT$10,"BEST_FPERIOD_OVERRIDE=1TY","EQY_FUND_CRNCY=USD","FA_ADJUSTED=Y")</f>
        <v>#NAME?</v>
      </c>
      <c r="AV32" s="1" t="s">
        <v>37</v>
      </c>
      <c r="AW32" s="1" t="s">
        <v>38</v>
      </c>
      <c r="AX32" s="36" t="s">
        <v>505</v>
      </c>
      <c r="AY32" s="36">
        <v>20800.9689</v>
      </c>
      <c r="AZ32" s="36">
        <v>19172.8344</v>
      </c>
      <c r="BA32" s="36">
        <v>3156.587</v>
      </c>
      <c r="BB32" s="36">
        <v>3599.1820000000002</v>
      </c>
      <c r="BC32" s="44">
        <v>0.14021314793477901</v>
      </c>
      <c r="BD32" s="36">
        <v>2690.5739580078125</v>
      </c>
      <c r="BE32" s="36">
        <v>86.289000000000001</v>
      </c>
      <c r="BF32" s="36">
        <v>578.32999999999993</v>
      </c>
      <c r="BG32" s="36">
        <v>1198.576</v>
      </c>
      <c r="BH32" s="36">
        <v>239.316</v>
      </c>
      <c r="BI32" s="36">
        <v>602.68600000000004</v>
      </c>
      <c r="BJ32" s="36">
        <v>1001.4</v>
      </c>
      <c r="BK32" s="36">
        <v>417.021865536652</v>
      </c>
      <c r="BL32" s="36">
        <v>679.60699999999997</v>
      </c>
    </row>
    <row r="33" spans="1:64" ht="15" x14ac:dyDescent="0.2">
      <c r="B33" s="63"/>
      <c r="C33" s="63"/>
      <c r="D33" s="63"/>
      <c r="E33" s="63"/>
      <c r="F33" s="63"/>
      <c r="G33" s="64" t="s">
        <v>483</v>
      </c>
      <c r="H33" s="29" t="e">
        <f t="shared" ref="H33:M33" si="4">AVERAGE(H16:H32)</f>
        <v>#REF!</v>
      </c>
      <c r="I33" s="30" t="e">
        <f t="shared" si="4"/>
        <v>#REF!</v>
      </c>
      <c r="J33" s="32" t="e">
        <f t="shared" si="4"/>
        <v>#REF!</v>
      </c>
      <c r="K33" s="32" t="e">
        <f t="shared" si="4"/>
        <v>#REF!</v>
      </c>
      <c r="L33" s="33" t="e">
        <f t="shared" si="4"/>
        <v>#REF!</v>
      </c>
      <c r="M33" s="33" t="e">
        <f t="shared" si="4"/>
        <v>#REF!</v>
      </c>
      <c r="AD33" s="1" t="s">
        <v>39</v>
      </c>
      <c r="AE33" s="1" t="s">
        <v>40</v>
      </c>
      <c r="AF33" s="36" t="e">
        <f ca="1">_xll.BDP($AD33,AF$10)</f>
        <v>#NAME?</v>
      </c>
      <c r="AG33" s="36" t="e">
        <f ca="1">_xll.BDH($AD33,AG$10,$C$5,$C$5,"EQY_FUND_CRNCY=USD")</f>
        <v>#NAME?</v>
      </c>
      <c r="AH33" s="36" t="e">
        <f ca="1">_xll.BDH($AD33,AH$10,$C$5,$C$5,"EQY_FUND_CRNCY=USD")</f>
        <v>#NAME?</v>
      </c>
      <c r="AI33" s="36" t="e">
        <f ca="1">_xll.BDP($AD33,AI$10,"EQY_FUND_CRNCY=USD","FA_ADJUSTED=Y")</f>
        <v>#NAME?</v>
      </c>
      <c r="AJ33" s="36" t="e">
        <f ca="1">_xll.BDP($AD33,AJ$10,"BEST_FPERIOD_OVERRIDE=1TY","EQY_FUND_CRNCY=USD","FA_ADJUSTED=Y")</f>
        <v>#NAME?</v>
      </c>
      <c r="AK33" s="44" t="e">
        <f t="shared" ca="1" si="3"/>
        <v>#NAME?</v>
      </c>
      <c r="AL33" s="36" t="e">
        <f ca="1">_xll.BDP($AD33,AL$10,"EQY_FUND_CRNCY=USD","FA_ADJUSTED=Y")</f>
        <v>#NAME?</v>
      </c>
      <c r="AM33" s="36" t="e">
        <f ca="1">_xll.BDP($AD33,AM$10,"BEST_FPERIOD_OVERRIDE=1TY","EQY_FUND_CRNCY=USD","FA_ADJUSTED=Y")</f>
        <v>#NAME?</v>
      </c>
      <c r="AN33" s="36" t="e">
        <f ca="1">_xll.BDP($AD33,AN$10,"BEST_FPERIOD_OVERRIDE=1TY","EQY_FUND_CRNCY=USD","FA_ADJUSTED=Y")</f>
        <v>#NAME?</v>
      </c>
      <c r="AO33" s="36" t="e">
        <f ca="1">_xll.BDP($AD33,AO$10,"BEST_FPERIOD_OVERRIDE=1TY","EQY_FUND_CRNCY=USD","FA_ADJUSTED=Y")</f>
        <v>#NAME?</v>
      </c>
      <c r="AP33" s="36" t="e">
        <f ca="1">_xll.BDP($AD33,AP$10,"BEST_FPERIOD_OVERRIDE=1TY","EQY_FUND_CRNCY=USD","FA_ADJUSTED=Y")</f>
        <v>#NAME?</v>
      </c>
      <c r="AQ33" s="36" t="e">
        <f ca="1">_xll.BDP($AD33,AQ$10,"EQY_FUND_CRNCY=USD","FA_ADJUSTED=Y")</f>
        <v>#NAME?</v>
      </c>
      <c r="AR33" s="36" t="e">
        <f ca="1">_xll.BDP($AD33,AR$10,"BEST_FPERIOD_OVERRIDE=1TY","EQY_FUND_CRNCY=USD","FA_ADJUSTED=Y")</f>
        <v>#NAME?</v>
      </c>
      <c r="AS33" s="36" t="e">
        <f ca="1">_xll.BDP($AD33,AS$10,"EQY_FUND_CRNCY=USD","FA_ADJUSTED=Y")</f>
        <v>#NAME?</v>
      </c>
      <c r="AT33" s="36" t="e">
        <f ca="1">_xll.BDP($AD33,AT$10,"BEST_FPERIOD_OVERRIDE=1TY","EQY_FUND_CRNCY=USD","FA_ADJUSTED=Y")</f>
        <v>#NAME?</v>
      </c>
      <c r="AV33" s="1" t="s">
        <v>39</v>
      </c>
      <c r="AW33" s="1" t="s">
        <v>40</v>
      </c>
      <c r="AX33" s="36" t="s">
        <v>506</v>
      </c>
      <c r="AY33" s="36">
        <v>20486.037899999999</v>
      </c>
      <c r="AZ33" s="36">
        <v>38637.037900000003</v>
      </c>
      <c r="BA33" s="36">
        <v>10956</v>
      </c>
      <c r="BB33" s="36">
        <v>8994.0679999999993</v>
      </c>
      <c r="BC33" s="44">
        <v>-0.17907374954362909</v>
      </c>
      <c r="BD33" s="36">
        <v>5450</v>
      </c>
      <c r="BE33" s="36">
        <v>65</v>
      </c>
      <c r="BF33" s="36">
        <v>0</v>
      </c>
      <c r="BG33" s="36" t="s">
        <v>480</v>
      </c>
      <c r="BH33" s="36" t="s">
        <v>480</v>
      </c>
      <c r="BI33" s="36">
        <v>3054</v>
      </c>
      <c r="BJ33" s="36">
        <v>3430.4389999999999</v>
      </c>
      <c r="BK33" s="36">
        <v>958.78000000000009</v>
      </c>
      <c r="BL33" s="36">
        <v>1452.2719999999999</v>
      </c>
    </row>
    <row r="34" spans="1:64" ht="15" x14ac:dyDescent="0.2">
      <c r="B34" s="63"/>
      <c r="C34" s="63"/>
      <c r="D34" s="63"/>
      <c r="E34" s="63"/>
      <c r="F34" s="63"/>
      <c r="G34" s="64" t="s">
        <v>484</v>
      </c>
      <c r="H34" s="29" t="e">
        <f t="shared" ref="H34:M34" si="5">MEDIAN(H16:H32)</f>
        <v>#REF!</v>
      </c>
      <c r="I34" s="30" t="e">
        <f t="shared" si="5"/>
        <v>#REF!</v>
      </c>
      <c r="J34" s="32" t="e">
        <f t="shared" si="5"/>
        <v>#REF!</v>
      </c>
      <c r="K34" s="32" t="e">
        <f t="shared" si="5"/>
        <v>#REF!</v>
      </c>
      <c r="L34" s="33" t="e">
        <f t="shared" si="5"/>
        <v>#REF!</v>
      </c>
      <c r="M34" s="33" t="e">
        <f t="shared" si="5"/>
        <v>#REF!</v>
      </c>
      <c r="AD34" s="1" t="s">
        <v>41</v>
      </c>
      <c r="AE34" s="1" t="s">
        <v>42</v>
      </c>
      <c r="AF34" s="36" t="e">
        <f ca="1">_xll.BDP($AD34,AF$10)</f>
        <v>#NAME?</v>
      </c>
      <c r="AG34" s="36" t="e">
        <f ca="1">_xll.BDH($AD34,AG$10,$C$5,$C$5,"EQY_FUND_CRNCY=USD")</f>
        <v>#NAME?</v>
      </c>
      <c r="AH34" s="36" t="e">
        <f ca="1">_xll.BDH($AD34,AH$10,$C$5,$C$5,"EQY_FUND_CRNCY=USD")</f>
        <v>#NAME?</v>
      </c>
      <c r="AI34" s="36" t="e">
        <f ca="1">_xll.BDP($AD34,AI$10,"EQY_FUND_CRNCY=USD","FA_ADJUSTED=Y")</f>
        <v>#NAME?</v>
      </c>
      <c r="AJ34" s="36" t="e">
        <f ca="1">_xll.BDP($AD34,AJ$10,"BEST_FPERIOD_OVERRIDE=1TY","EQY_FUND_CRNCY=USD","FA_ADJUSTED=Y")</f>
        <v>#NAME?</v>
      </c>
      <c r="AK34" s="44" t="e">
        <f t="shared" ca="1" si="3"/>
        <v>#NAME?</v>
      </c>
      <c r="AL34" s="36" t="e">
        <f ca="1">_xll.BDP($AD34,AL$10,"EQY_FUND_CRNCY=USD","FA_ADJUSTED=Y")</f>
        <v>#NAME?</v>
      </c>
      <c r="AM34" s="36" t="e">
        <f ca="1">_xll.BDP($AD34,AM$10,"BEST_FPERIOD_OVERRIDE=1TY","EQY_FUND_CRNCY=USD","FA_ADJUSTED=Y")</f>
        <v>#NAME?</v>
      </c>
      <c r="AN34" s="36" t="e">
        <f ca="1">_xll.BDP($AD34,AN$10,"BEST_FPERIOD_OVERRIDE=1TY","EQY_FUND_CRNCY=USD","FA_ADJUSTED=Y")</f>
        <v>#NAME?</v>
      </c>
      <c r="AO34" s="36" t="e">
        <f ca="1">_xll.BDP($AD34,AO$10,"BEST_FPERIOD_OVERRIDE=1TY","EQY_FUND_CRNCY=USD","FA_ADJUSTED=Y")</f>
        <v>#NAME?</v>
      </c>
      <c r="AP34" s="36" t="e">
        <f ca="1">_xll.BDP($AD34,AP$10,"BEST_FPERIOD_OVERRIDE=1TY","EQY_FUND_CRNCY=USD","FA_ADJUSTED=Y")</f>
        <v>#NAME?</v>
      </c>
      <c r="AQ34" s="36" t="e">
        <f ca="1">_xll.BDP($AD34,AQ$10,"EQY_FUND_CRNCY=USD","FA_ADJUSTED=Y")</f>
        <v>#NAME?</v>
      </c>
      <c r="AR34" s="36" t="e">
        <f ca="1">_xll.BDP($AD34,AR$10,"BEST_FPERIOD_OVERRIDE=1TY","EQY_FUND_CRNCY=USD","FA_ADJUSTED=Y")</f>
        <v>#NAME?</v>
      </c>
      <c r="AS34" s="36" t="e">
        <f ca="1">_xll.BDP($AD34,AS$10,"EQY_FUND_CRNCY=USD","FA_ADJUSTED=Y")</f>
        <v>#NAME?</v>
      </c>
      <c r="AT34" s="36" t="e">
        <f ca="1">_xll.BDP($AD34,AT$10,"BEST_FPERIOD_OVERRIDE=1TY","EQY_FUND_CRNCY=USD","FA_ADJUSTED=Y")</f>
        <v>#NAME?</v>
      </c>
      <c r="AV34" s="1" t="s">
        <v>41</v>
      </c>
      <c r="AW34" s="1" t="s">
        <v>42</v>
      </c>
      <c r="AX34" s="36" t="s">
        <v>505</v>
      </c>
      <c r="AY34" s="36">
        <v>18215.062300000001</v>
      </c>
      <c r="AZ34" s="36" t="s">
        <v>480</v>
      </c>
      <c r="BA34" s="36">
        <v>8504</v>
      </c>
      <c r="BB34" s="36">
        <v>8837</v>
      </c>
      <c r="BC34" s="44">
        <v>3.9158043273753496E-2</v>
      </c>
      <c r="BD34" s="36">
        <v>7479</v>
      </c>
      <c r="BE34" s="36" t="s">
        <v>480</v>
      </c>
      <c r="BF34" s="36">
        <v>1394</v>
      </c>
      <c r="BG34" s="36" t="s">
        <v>480</v>
      </c>
      <c r="BH34" s="36" t="s">
        <v>480</v>
      </c>
      <c r="BI34" s="36" t="s">
        <v>480</v>
      </c>
      <c r="BJ34" s="36" t="s">
        <v>480</v>
      </c>
      <c r="BK34" s="36" t="s">
        <v>480</v>
      </c>
      <c r="BL34" s="36" t="s">
        <v>480</v>
      </c>
    </row>
    <row r="35" spans="1:64" ht="15" x14ac:dyDescent="0.2">
      <c r="B35" s="65"/>
      <c r="C35" s="65"/>
      <c r="D35" s="65"/>
      <c r="E35" s="65"/>
      <c r="F35" s="65"/>
      <c r="G35" s="64" t="s">
        <v>485</v>
      </c>
      <c r="H35" s="29" t="e">
        <f t="shared" ref="H35:M35" si="6">MAX(H16:H32)</f>
        <v>#REF!</v>
      </c>
      <c r="I35" s="30" t="e">
        <f t="shared" si="6"/>
        <v>#REF!</v>
      </c>
      <c r="J35" s="32" t="e">
        <f t="shared" si="6"/>
        <v>#REF!</v>
      </c>
      <c r="K35" s="32" t="e">
        <f t="shared" si="6"/>
        <v>#REF!</v>
      </c>
      <c r="L35" s="33" t="e">
        <f t="shared" si="6"/>
        <v>#REF!</v>
      </c>
      <c r="M35" s="33" t="e">
        <f t="shared" si="6"/>
        <v>#REF!</v>
      </c>
      <c r="AD35" s="1" t="s">
        <v>43</v>
      </c>
      <c r="AE35" s="1" t="s">
        <v>44</v>
      </c>
      <c r="AF35" s="36" t="e">
        <f ca="1">_xll.BDP($AD35,AF$10)</f>
        <v>#NAME?</v>
      </c>
      <c r="AG35" s="36" t="e">
        <f ca="1">_xll.BDH($AD35,AG$10,$C$5,$C$5,"EQY_FUND_CRNCY=USD")</f>
        <v>#NAME?</v>
      </c>
      <c r="AH35" s="36" t="e">
        <f ca="1">_xll.BDH($AD35,AH$10,$C$5,$C$5,"EQY_FUND_CRNCY=USD")</f>
        <v>#NAME?</v>
      </c>
      <c r="AI35" s="36" t="e">
        <f ca="1">_xll.BDP($AD35,AI$10,"EQY_FUND_CRNCY=USD","FA_ADJUSTED=Y")</f>
        <v>#NAME?</v>
      </c>
      <c r="AJ35" s="36" t="e">
        <f ca="1">_xll.BDP($AD35,AJ$10,"BEST_FPERIOD_OVERRIDE=1TY","EQY_FUND_CRNCY=USD","FA_ADJUSTED=Y")</f>
        <v>#NAME?</v>
      </c>
      <c r="AK35" s="44" t="e">
        <f t="shared" ca="1" si="3"/>
        <v>#NAME?</v>
      </c>
      <c r="AL35" s="36" t="e">
        <f ca="1">_xll.BDP($AD35,AL$10,"EQY_FUND_CRNCY=USD","FA_ADJUSTED=Y")</f>
        <v>#NAME?</v>
      </c>
      <c r="AM35" s="36" t="e">
        <f ca="1">_xll.BDP($AD35,AM$10,"BEST_FPERIOD_OVERRIDE=1TY","EQY_FUND_CRNCY=USD","FA_ADJUSTED=Y")</f>
        <v>#NAME?</v>
      </c>
      <c r="AN35" s="36" t="e">
        <f ca="1">_xll.BDP($AD35,AN$10,"BEST_FPERIOD_OVERRIDE=1TY","EQY_FUND_CRNCY=USD","FA_ADJUSTED=Y")</f>
        <v>#NAME?</v>
      </c>
      <c r="AO35" s="36" t="e">
        <f ca="1">_xll.BDP($AD35,AO$10,"BEST_FPERIOD_OVERRIDE=1TY","EQY_FUND_CRNCY=USD","FA_ADJUSTED=Y")</f>
        <v>#NAME?</v>
      </c>
      <c r="AP35" s="36" t="e">
        <f ca="1">_xll.BDP($AD35,AP$10,"BEST_FPERIOD_OVERRIDE=1TY","EQY_FUND_CRNCY=USD","FA_ADJUSTED=Y")</f>
        <v>#NAME?</v>
      </c>
      <c r="AQ35" s="36" t="e">
        <f ca="1">_xll.BDP($AD35,AQ$10,"EQY_FUND_CRNCY=USD","FA_ADJUSTED=Y")</f>
        <v>#NAME?</v>
      </c>
      <c r="AR35" s="36" t="e">
        <f ca="1">_xll.BDP($AD35,AR$10,"BEST_FPERIOD_OVERRIDE=1TY","EQY_FUND_CRNCY=USD","FA_ADJUSTED=Y")</f>
        <v>#NAME?</v>
      </c>
      <c r="AS35" s="36" t="e">
        <f ca="1">_xll.BDP($AD35,AS$10,"EQY_FUND_CRNCY=USD","FA_ADJUSTED=Y")</f>
        <v>#NAME?</v>
      </c>
      <c r="AT35" s="36" t="e">
        <f ca="1">_xll.BDP($AD35,AT$10,"BEST_FPERIOD_OVERRIDE=1TY","EQY_FUND_CRNCY=USD","FA_ADJUSTED=Y")</f>
        <v>#NAME?</v>
      </c>
      <c r="AV35" s="1" t="s">
        <v>43</v>
      </c>
      <c r="AW35" s="1" t="s">
        <v>44</v>
      </c>
      <c r="AX35" s="36" t="s">
        <v>505</v>
      </c>
      <c r="AY35" s="36">
        <v>18309.393199999999</v>
      </c>
      <c r="AZ35" s="36">
        <v>17761.393199999999</v>
      </c>
      <c r="BA35" s="36">
        <v>4148</v>
      </c>
      <c r="BB35" s="36">
        <v>4285.5</v>
      </c>
      <c r="BC35" s="44">
        <v>3.3148505303760789E-2</v>
      </c>
      <c r="BD35" s="36">
        <v>3546</v>
      </c>
      <c r="BE35" s="36">
        <v>86.100000000000009</v>
      </c>
      <c r="BF35" s="36">
        <v>642</v>
      </c>
      <c r="BG35" s="36">
        <v>1061</v>
      </c>
      <c r="BH35" s="36">
        <v>406</v>
      </c>
      <c r="BI35" s="36">
        <v>1440</v>
      </c>
      <c r="BJ35" s="36" t="s">
        <v>480</v>
      </c>
      <c r="BK35" s="36">
        <v>788.04512350394702</v>
      </c>
      <c r="BL35" s="36">
        <v>1167.5</v>
      </c>
    </row>
    <row r="36" spans="1:64" ht="15" x14ac:dyDescent="0.2">
      <c r="B36" s="65"/>
      <c r="C36" s="65"/>
      <c r="D36" s="65"/>
      <c r="E36" s="65"/>
      <c r="F36" s="65"/>
      <c r="G36" s="64" t="s">
        <v>486</v>
      </c>
      <c r="H36" s="29" t="e">
        <f t="shared" ref="H36:M36" si="7">MIN(H16:H32)</f>
        <v>#REF!</v>
      </c>
      <c r="I36" s="30" t="e">
        <f t="shared" si="7"/>
        <v>#REF!</v>
      </c>
      <c r="J36" s="32" t="e">
        <f t="shared" si="7"/>
        <v>#REF!</v>
      </c>
      <c r="K36" s="32" t="e">
        <f t="shared" si="7"/>
        <v>#REF!</v>
      </c>
      <c r="L36" s="33" t="e">
        <f t="shared" si="7"/>
        <v>#REF!</v>
      </c>
      <c r="M36" s="33" t="e">
        <f t="shared" si="7"/>
        <v>#REF!</v>
      </c>
      <c r="AD36" s="1" t="s">
        <v>45</v>
      </c>
      <c r="AE36" s="1" t="s">
        <v>46</v>
      </c>
      <c r="AF36" s="36" t="e">
        <f ca="1">_xll.BDP($AD36,AF$10)</f>
        <v>#NAME?</v>
      </c>
      <c r="AG36" s="36" t="e">
        <f ca="1">_xll.BDH($AD36,AG$10,$C$5,$C$5,"EQY_FUND_CRNCY=USD")</f>
        <v>#NAME?</v>
      </c>
      <c r="AH36" s="36" t="e">
        <f ca="1">_xll.BDH($AD36,AH$10,$C$5,$C$5,"EQY_FUND_CRNCY=USD")</f>
        <v>#NAME?</v>
      </c>
      <c r="AI36" s="36" t="e">
        <f ca="1">_xll.BDP($AD36,AI$10,"EQY_FUND_CRNCY=USD","FA_ADJUSTED=Y")</f>
        <v>#NAME?</v>
      </c>
      <c r="AJ36" s="36" t="e">
        <f ca="1">_xll.BDP($AD36,AJ$10,"BEST_FPERIOD_OVERRIDE=1TY","EQY_FUND_CRNCY=USD","FA_ADJUSTED=Y")</f>
        <v>#NAME?</v>
      </c>
      <c r="AK36" s="44" t="e">
        <f t="shared" ca="1" si="3"/>
        <v>#NAME?</v>
      </c>
      <c r="AL36" s="36" t="e">
        <f ca="1">_xll.BDP($AD36,AL$10,"EQY_FUND_CRNCY=USD","FA_ADJUSTED=Y")</f>
        <v>#NAME?</v>
      </c>
      <c r="AM36" s="36" t="e">
        <f ca="1">_xll.BDP($AD36,AM$10,"BEST_FPERIOD_OVERRIDE=1TY","EQY_FUND_CRNCY=USD","FA_ADJUSTED=Y")</f>
        <v>#NAME?</v>
      </c>
      <c r="AN36" s="36" t="e">
        <f ca="1">_xll.BDP($AD36,AN$10,"BEST_FPERIOD_OVERRIDE=1TY","EQY_FUND_CRNCY=USD","FA_ADJUSTED=Y")</f>
        <v>#NAME?</v>
      </c>
      <c r="AO36" s="36" t="e">
        <f ca="1">_xll.BDP($AD36,AO$10,"BEST_FPERIOD_OVERRIDE=1TY","EQY_FUND_CRNCY=USD","FA_ADJUSTED=Y")</f>
        <v>#NAME?</v>
      </c>
      <c r="AP36" s="36" t="e">
        <f ca="1">_xll.BDP($AD36,AP$10,"BEST_FPERIOD_OVERRIDE=1TY","EQY_FUND_CRNCY=USD","FA_ADJUSTED=Y")</f>
        <v>#NAME?</v>
      </c>
      <c r="AQ36" s="36" t="e">
        <f ca="1">_xll.BDP($AD36,AQ$10,"EQY_FUND_CRNCY=USD","FA_ADJUSTED=Y")</f>
        <v>#NAME?</v>
      </c>
      <c r="AR36" s="36" t="e">
        <f ca="1">_xll.BDP($AD36,AR$10,"BEST_FPERIOD_OVERRIDE=1TY","EQY_FUND_CRNCY=USD","FA_ADJUSTED=Y")</f>
        <v>#NAME?</v>
      </c>
      <c r="AS36" s="36" t="e">
        <f ca="1">_xll.BDP($AD36,AS$10,"EQY_FUND_CRNCY=USD","FA_ADJUSTED=Y")</f>
        <v>#NAME?</v>
      </c>
      <c r="AT36" s="36" t="e">
        <f ca="1">_xll.BDP($AD36,AT$10,"BEST_FPERIOD_OVERRIDE=1TY","EQY_FUND_CRNCY=USD","FA_ADJUSTED=Y")</f>
        <v>#NAME?</v>
      </c>
      <c r="AV36" s="1" t="s">
        <v>45</v>
      </c>
      <c r="AW36" s="1" t="s">
        <v>46</v>
      </c>
      <c r="AX36" s="36" t="s">
        <v>506</v>
      </c>
      <c r="AY36" s="36">
        <v>17794.284</v>
      </c>
      <c r="AZ36" s="36">
        <v>21757.589</v>
      </c>
      <c r="BA36" s="36">
        <v>3721.3010000000004</v>
      </c>
      <c r="BB36" s="36">
        <v>4117.8980000000001</v>
      </c>
      <c r="BC36" s="44">
        <v>0.10657482423485765</v>
      </c>
      <c r="BD36" s="36">
        <v>2202.0189868164061</v>
      </c>
      <c r="BE36" s="36">
        <v>59.4</v>
      </c>
      <c r="BF36" s="36">
        <v>0</v>
      </c>
      <c r="BG36" s="36" t="s">
        <v>480</v>
      </c>
      <c r="BH36" s="36" t="s">
        <v>480</v>
      </c>
      <c r="BI36" s="36">
        <v>1229.5550000000001</v>
      </c>
      <c r="BJ36" s="36">
        <v>1462.3140000000001</v>
      </c>
      <c r="BK36" s="36">
        <v>446.25907235741499</v>
      </c>
      <c r="BL36" s="36">
        <v>872.38800000000003</v>
      </c>
    </row>
    <row r="37" spans="1:64" x14ac:dyDescent="0.2">
      <c r="AD37" s="1" t="s">
        <v>47</v>
      </c>
      <c r="AE37" s="1" t="s">
        <v>48</v>
      </c>
      <c r="AF37" s="36" t="e">
        <f ca="1">_xll.BDP($AD37,AF$10)</f>
        <v>#NAME?</v>
      </c>
      <c r="AG37" s="36" t="e">
        <f ca="1">_xll.BDH($AD37,AG$10,$C$5,$C$5,"EQY_FUND_CRNCY=USD")</f>
        <v>#NAME?</v>
      </c>
      <c r="AH37" s="36" t="e">
        <f ca="1">_xll.BDH($AD37,AH$10,$C$5,$C$5,"EQY_FUND_CRNCY=USD")</f>
        <v>#NAME?</v>
      </c>
      <c r="AI37" s="36" t="e">
        <f ca="1">_xll.BDP($AD37,AI$10,"EQY_FUND_CRNCY=USD","FA_ADJUSTED=Y")</f>
        <v>#NAME?</v>
      </c>
      <c r="AJ37" s="36" t="e">
        <f ca="1">_xll.BDP($AD37,AJ$10,"BEST_FPERIOD_OVERRIDE=1TY","EQY_FUND_CRNCY=USD","FA_ADJUSTED=Y")</f>
        <v>#NAME?</v>
      </c>
      <c r="AK37" s="44" t="e">
        <f t="shared" ca="1" si="3"/>
        <v>#NAME?</v>
      </c>
      <c r="AL37" s="36" t="e">
        <f ca="1">_xll.BDP($AD37,AL$10,"EQY_FUND_CRNCY=USD","FA_ADJUSTED=Y")</f>
        <v>#NAME?</v>
      </c>
      <c r="AM37" s="36" t="e">
        <f ca="1">_xll.BDP($AD37,AM$10,"BEST_FPERIOD_OVERRIDE=1TY","EQY_FUND_CRNCY=USD","FA_ADJUSTED=Y")</f>
        <v>#NAME?</v>
      </c>
      <c r="AN37" s="36" t="e">
        <f ca="1">_xll.BDP($AD37,AN$10,"BEST_FPERIOD_OVERRIDE=1TY","EQY_FUND_CRNCY=USD","FA_ADJUSTED=Y")</f>
        <v>#NAME?</v>
      </c>
      <c r="AO37" s="36" t="e">
        <f ca="1">_xll.BDP($AD37,AO$10,"BEST_FPERIOD_OVERRIDE=1TY","EQY_FUND_CRNCY=USD","FA_ADJUSTED=Y")</f>
        <v>#NAME?</v>
      </c>
      <c r="AP37" s="36" t="e">
        <f ca="1">_xll.BDP($AD37,AP$10,"BEST_FPERIOD_OVERRIDE=1TY","EQY_FUND_CRNCY=USD","FA_ADJUSTED=Y")</f>
        <v>#NAME?</v>
      </c>
      <c r="AQ37" s="36" t="e">
        <f ca="1">_xll.BDP($AD37,AQ$10,"EQY_FUND_CRNCY=USD","FA_ADJUSTED=Y")</f>
        <v>#NAME?</v>
      </c>
      <c r="AR37" s="36" t="e">
        <f ca="1">_xll.BDP($AD37,AR$10,"BEST_FPERIOD_OVERRIDE=1TY","EQY_FUND_CRNCY=USD","FA_ADJUSTED=Y")</f>
        <v>#NAME?</v>
      </c>
      <c r="AS37" s="36" t="e">
        <f ca="1">_xll.BDP($AD37,AS$10,"EQY_FUND_CRNCY=USD","FA_ADJUSTED=Y")</f>
        <v>#NAME?</v>
      </c>
      <c r="AT37" s="36" t="e">
        <f ca="1">_xll.BDP($AD37,AT$10,"BEST_FPERIOD_OVERRIDE=1TY","EQY_FUND_CRNCY=USD","FA_ADJUSTED=Y")</f>
        <v>#NAME?</v>
      </c>
      <c r="AV37" s="1" t="s">
        <v>47</v>
      </c>
      <c r="AW37" s="1" t="s">
        <v>48</v>
      </c>
      <c r="AX37" s="36" t="s">
        <v>506</v>
      </c>
      <c r="AY37" s="36">
        <v>17422.266199999998</v>
      </c>
      <c r="AZ37" s="36">
        <v>20984.8292</v>
      </c>
      <c r="BA37" s="36">
        <v>2358.3530000000001</v>
      </c>
      <c r="BB37" s="36">
        <v>2483.0259999999998</v>
      </c>
      <c r="BC37" s="44">
        <v>5.2864435476792426E-2</v>
      </c>
      <c r="BD37" s="36" t="s">
        <v>480</v>
      </c>
      <c r="BE37" s="36">
        <v>100</v>
      </c>
      <c r="BF37" s="36">
        <v>0</v>
      </c>
      <c r="BG37" s="36">
        <v>170.71700000000001</v>
      </c>
      <c r="BH37" s="36">
        <v>387.69400000000002</v>
      </c>
      <c r="BI37" s="36">
        <v>1154.1590000000001</v>
      </c>
      <c r="BJ37" s="36">
        <v>1419.7329999999999</v>
      </c>
      <c r="BK37" s="36">
        <v>652.66741866715699</v>
      </c>
      <c r="BL37" s="36">
        <v>1018.2</v>
      </c>
    </row>
    <row r="38" spans="1:64" ht="15.75" x14ac:dyDescent="0.2">
      <c r="A38" s="2" t="s">
        <v>457</v>
      </c>
      <c r="B38" s="45" t="s">
        <v>487</v>
      </c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2" t="s">
        <v>457</v>
      </c>
      <c r="AD38" s="1" t="s">
        <v>49</v>
      </c>
      <c r="AE38" s="1" t="s">
        <v>50</v>
      </c>
      <c r="AF38" s="36" t="e">
        <f ca="1">_xll.BDP($AD38,AF$10)</f>
        <v>#NAME?</v>
      </c>
      <c r="AG38" s="36" t="e">
        <f ca="1">_xll.BDH($AD38,AG$10,$C$5,$C$5,"EQY_FUND_CRNCY=USD")</f>
        <v>#NAME?</v>
      </c>
      <c r="AH38" s="36" t="e">
        <f ca="1">_xll.BDH($AD38,AH$10,$C$5,$C$5,"EQY_FUND_CRNCY=USD")</f>
        <v>#NAME?</v>
      </c>
      <c r="AI38" s="36" t="e">
        <f ca="1">_xll.BDP($AD38,AI$10,"EQY_FUND_CRNCY=USD","FA_ADJUSTED=Y")</f>
        <v>#NAME?</v>
      </c>
      <c r="AJ38" s="36" t="e">
        <f ca="1">_xll.BDP($AD38,AJ$10,"BEST_FPERIOD_OVERRIDE=1TY","EQY_FUND_CRNCY=USD","FA_ADJUSTED=Y")</f>
        <v>#NAME?</v>
      </c>
      <c r="AK38" s="44" t="e">
        <f t="shared" ca="1" si="3"/>
        <v>#NAME?</v>
      </c>
      <c r="AL38" s="36" t="e">
        <f ca="1">_xll.BDP($AD38,AL$10,"EQY_FUND_CRNCY=USD","FA_ADJUSTED=Y")</f>
        <v>#NAME?</v>
      </c>
      <c r="AM38" s="36" t="e">
        <f ca="1">_xll.BDP($AD38,AM$10,"BEST_FPERIOD_OVERRIDE=1TY","EQY_FUND_CRNCY=USD","FA_ADJUSTED=Y")</f>
        <v>#NAME?</v>
      </c>
      <c r="AN38" s="36" t="e">
        <f ca="1">_xll.BDP($AD38,AN$10,"BEST_FPERIOD_OVERRIDE=1TY","EQY_FUND_CRNCY=USD","FA_ADJUSTED=Y")</f>
        <v>#NAME?</v>
      </c>
      <c r="AO38" s="36" t="e">
        <f ca="1">_xll.BDP($AD38,AO$10,"BEST_FPERIOD_OVERRIDE=1TY","EQY_FUND_CRNCY=USD","FA_ADJUSTED=Y")</f>
        <v>#NAME?</v>
      </c>
      <c r="AP38" s="36" t="e">
        <f ca="1">_xll.BDP($AD38,AP$10,"BEST_FPERIOD_OVERRIDE=1TY","EQY_FUND_CRNCY=USD","FA_ADJUSTED=Y")</f>
        <v>#NAME?</v>
      </c>
      <c r="AQ38" s="36" t="e">
        <f ca="1">_xll.BDP($AD38,AQ$10,"EQY_FUND_CRNCY=USD","FA_ADJUSTED=Y")</f>
        <v>#NAME?</v>
      </c>
      <c r="AR38" s="36" t="e">
        <f ca="1">_xll.BDP($AD38,AR$10,"BEST_FPERIOD_OVERRIDE=1TY","EQY_FUND_CRNCY=USD","FA_ADJUSTED=Y")</f>
        <v>#NAME?</v>
      </c>
      <c r="AS38" s="36" t="e">
        <f ca="1">_xll.BDP($AD38,AS$10,"EQY_FUND_CRNCY=USD","FA_ADJUSTED=Y")</f>
        <v>#NAME?</v>
      </c>
      <c r="AT38" s="36" t="e">
        <f ca="1">_xll.BDP($AD38,AT$10,"BEST_FPERIOD_OVERRIDE=1TY","EQY_FUND_CRNCY=USD","FA_ADJUSTED=Y")</f>
        <v>#NAME?</v>
      </c>
      <c r="AV38" s="1" t="s">
        <v>49</v>
      </c>
      <c r="AW38" s="1" t="s">
        <v>50</v>
      </c>
      <c r="AX38" s="36" t="s">
        <v>505</v>
      </c>
      <c r="AY38" s="36">
        <v>17063.220099999999</v>
      </c>
      <c r="AZ38" s="36">
        <v>12991.4501</v>
      </c>
      <c r="BA38" s="36">
        <v>1896.9269999999999</v>
      </c>
      <c r="BB38" s="36">
        <v>1960.394</v>
      </c>
      <c r="BC38" s="44">
        <v>3.3457797796119682E-2</v>
      </c>
      <c r="BD38" s="36">
        <v>1698.6110100097656</v>
      </c>
      <c r="BE38" s="36">
        <v>89.072000000000003</v>
      </c>
      <c r="BF38" s="36">
        <v>192.386</v>
      </c>
      <c r="BG38" s="36">
        <v>433.42700000000002</v>
      </c>
      <c r="BH38" s="36">
        <v>91.965000000000003</v>
      </c>
      <c r="BI38" s="36">
        <v>949.65100000000007</v>
      </c>
      <c r="BJ38" s="36">
        <v>1030.3389999999999</v>
      </c>
      <c r="BK38" s="36">
        <v>822.62414000000001</v>
      </c>
      <c r="BL38" s="36">
        <v>920.476</v>
      </c>
    </row>
    <row r="39" spans="1:64" ht="47.25" x14ac:dyDescent="0.2">
      <c r="B39" s="10" t="s">
        <v>424</v>
      </c>
      <c r="C39" s="10" t="s">
        <v>425</v>
      </c>
      <c r="D39" s="11" t="s">
        <v>426</v>
      </c>
      <c r="E39" s="11" t="s">
        <v>427</v>
      </c>
      <c r="F39" s="12" t="s">
        <v>428</v>
      </c>
      <c r="G39" s="13"/>
      <c r="H39" s="14" t="s">
        <v>429</v>
      </c>
      <c r="I39" s="13"/>
      <c r="J39" s="12" t="s">
        <v>430</v>
      </c>
      <c r="K39" s="12" t="s">
        <v>431</v>
      </c>
      <c r="L39" s="15" t="s">
        <v>432</v>
      </c>
      <c r="M39" s="15" t="s">
        <v>433</v>
      </c>
      <c r="AD39" s="1" t="s">
        <v>51</v>
      </c>
      <c r="AE39" s="1" t="s">
        <v>52</v>
      </c>
      <c r="AF39" s="36" t="e">
        <f ca="1">_xll.BDP($AD39,AF$10)</f>
        <v>#NAME?</v>
      </c>
      <c r="AG39" s="36" t="e">
        <f ca="1">_xll.BDH($AD39,AG$10,$C$5,$C$5,"EQY_FUND_CRNCY=USD")</f>
        <v>#NAME?</v>
      </c>
      <c r="AH39" s="36" t="e">
        <f ca="1">_xll.BDH($AD39,AH$10,$C$5,$C$5,"EQY_FUND_CRNCY=USD")</f>
        <v>#NAME?</v>
      </c>
      <c r="AI39" s="36" t="e">
        <f ca="1">_xll.BDP($AD39,AI$10,"EQY_FUND_CRNCY=USD","FA_ADJUSTED=Y")</f>
        <v>#NAME?</v>
      </c>
      <c r="AJ39" s="36" t="e">
        <f ca="1">_xll.BDP($AD39,AJ$10,"BEST_FPERIOD_OVERRIDE=1TY","EQY_FUND_CRNCY=USD","FA_ADJUSTED=Y")</f>
        <v>#NAME?</v>
      </c>
      <c r="AK39" s="44" t="e">
        <f t="shared" ca="1" si="3"/>
        <v>#NAME?</v>
      </c>
      <c r="AL39" s="36" t="e">
        <f ca="1">_xll.BDP($AD39,AL$10,"EQY_FUND_CRNCY=USD","FA_ADJUSTED=Y")</f>
        <v>#NAME?</v>
      </c>
      <c r="AM39" s="36" t="e">
        <f ca="1">_xll.BDP($AD39,AM$10,"BEST_FPERIOD_OVERRIDE=1TY","EQY_FUND_CRNCY=USD","FA_ADJUSTED=Y")</f>
        <v>#NAME?</v>
      </c>
      <c r="AN39" s="36" t="e">
        <f ca="1">_xll.BDP($AD39,AN$10,"BEST_FPERIOD_OVERRIDE=1TY","EQY_FUND_CRNCY=USD","FA_ADJUSTED=Y")</f>
        <v>#NAME?</v>
      </c>
      <c r="AO39" s="36" t="e">
        <f ca="1">_xll.BDP($AD39,AO$10,"BEST_FPERIOD_OVERRIDE=1TY","EQY_FUND_CRNCY=USD","FA_ADJUSTED=Y")</f>
        <v>#NAME?</v>
      </c>
      <c r="AP39" s="36" t="e">
        <f ca="1">_xll.BDP($AD39,AP$10,"BEST_FPERIOD_OVERRIDE=1TY","EQY_FUND_CRNCY=USD","FA_ADJUSTED=Y")</f>
        <v>#NAME?</v>
      </c>
      <c r="AQ39" s="36" t="e">
        <f ca="1">_xll.BDP($AD39,AQ$10,"EQY_FUND_CRNCY=USD","FA_ADJUSTED=Y")</f>
        <v>#NAME?</v>
      </c>
      <c r="AR39" s="36" t="e">
        <f ca="1">_xll.BDP($AD39,AR$10,"BEST_FPERIOD_OVERRIDE=1TY","EQY_FUND_CRNCY=USD","FA_ADJUSTED=Y")</f>
        <v>#NAME?</v>
      </c>
      <c r="AS39" s="36" t="e">
        <f ca="1">_xll.BDP($AD39,AS$10,"EQY_FUND_CRNCY=USD","FA_ADJUSTED=Y")</f>
        <v>#NAME?</v>
      </c>
      <c r="AT39" s="36" t="e">
        <f ca="1">_xll.BDP($AD39,AT$10,"BEST_FPERIOD_OVERRIDE=1TY","EQY_FUND_CRNCY=USD","FA_ADJUSTED=Y")</f>
        <v>#NAME?</v>
      </c>
      <c r="AV39" s="1" t="s">
        <v>51</v>
      </c>
      <c r="AW39" s="1" t="s">
        <v>52</v>
      </c>
      <c r="AX39" s="36" t="s">
        <v>495</v>
      </c>
      <c r="AY39" s="36">
        <v>16357.567800000001</v>
      </c>
      <c r="AZ39" s="36">
        <v>15390.5118</v>
      </c>
      <c r="BA39" s="36">
        <v>947.42399999999998</v>
      </c>
      <c r="BB39" s="36">
        <v>1254.6490000000001</v>
      </c>
      <c r="BC39" s="44">
        <v>0.32427403147904221</v>
      </c>
      <c r="BD39" s="36">
        <v>769.6390129394531</v>
      </c>
      <c r="BE39" s="36">
        <v>85.930999999999997</v>
      </c>
      <c r="BF39" s="36">
        <v>415.77599999999995</v>
      </c>
      <c r="BG39" s="36">
        <v>187.99</v>
      </c>
      <c r="BH39" s="36">
        <v>151.24199999999999</v>
      </c>
      <c r="BI39" s="36">
        <v>43.517999999999994</v>
      </c>
      <c r="BJ39" s="36">
        <v>323.28500000000003</v>
      </c>
      <c r="BK39" s="36">
        <v>-301.38798999999995</v>
      </c>
      <c r="BL39" s="36">
        <v>205.11199999999999</v>
      </c>
    </row>
    <row r="40" spans="1:64" ht="15.75" x14ac:dyDescent="0.2">
      <c r="B40" s="18"/>
      <c r="C40" s="18"/>
      <c r="D40" s="18"/>
      <c r="E40" s="18"/>
      <c r="F40" s="19" t="s">
        <v>440</v>
      </c>
      <c r="G40" s="20" t="s">
        <v>441</v>
      </c>
      <c r="H40" s="19" t="s">
        <v>440</v>
      </c>
      <c r="I40" s="20" t="s">
        <v>441</v>
      </c>
      <c r="J40" s="19" t="s">
        <v>441</v>
      </c>
      <c r="K40" s="19" t="s">
        <v>440</v>
      </c>
      <c r="L40" s="20" t="s">
        <v>440</v>
      </c>
      <c r="M40" s="20" t="s">
        <v>440</v>
      </c>
      <c r="AD40" s="1" t="s">
        <v>53</v>
      </c>
      <c r="AE40" s="1" t="s">
        <v>54</v>
      </c>
      <c r="AF40" s="36" t="e">
        <f ca="1">_xll.BDP($AD40,AF$10)</f>
        <v>#NAME?</v>
      </c>
      <c r="AG40" s="36" t="e">
        <f ca="1">_xll.BDH($AD40,AG$10,$C$5,$C$5,"EQY_FUND_CRNCY=USD")</f>
        <v>#NAME?</v>
      </c>
      <c r="AH40" s="36" t="e">
        <f ca="1">_xll.BDH($AD40,AH$10,$C$5,$C$5,"EQY_FUND_CRNCY=USD")</f>
        <v>#NAME?</v>
      </c>
      <c r="AI40" s="36" t="e">
        <f ca="1">_xll.BDP($AD40,AI$10,"EQY_FUND_CRNCY=USD","FA_ADJUSTED=Y")</f>
        <v>#NAME?</v>
      </c>
      <c r="AJ40" s="36" t="e">
        <f ca="1">_xll.BDP($AD40,AJ$10,"BEST_FPERIOD_OVERRIDE=1TY","EQY_FUND_CRNCY=USD","FA_ADJUSTED=Y")</f>
        <v>#NAME?</v>
      </c>
      <c r="AK40" s="44" t="e">
        <f t="shared" ca="1" si="3"/>
        <v>#NAME?</v>
      </c>
      <c r="AL40" s="36" t="e">
        <f ca="1">_xll.BDP($AD40,AL$10,"EQY_FUND_CRNCY=USD","FA_ADJUSTED=Y")</f>
        <v>#NAME?</v>
      </c>
      <c r="AM40" s="36" t="e">
        <f ca="1">_xll.BDP($AD40,AM$10,"BEST_FPERIOD_OVERRIDE=1TY","EQY_FUND_CRNCY=USD","FA_ADJUSTED=Y")</f>
        <v>#NAME?</v>
      </c>
      <c r="AN40" s="36" t="e">
        <f ca="1">_xll.BDP($AD40,AN$10,"BEST_FPERIOD_OVERRIDE=1TY","EQY_FUND_CRNCY=USD","FA_ADJUSTED=Y")</f>
        <v>#NAME?</v>
      </c>
      <c r="AO40" s="36" t="e">
        <f ca="1">_xll.BDP($AD40,AO$10,"BEST_FPERIOD_OVERRIDE=1TY","EQY_FUND_CRNCY=USD","FA_ADJUSTED=Y")</f>
        <v>#NAME?</v>
      </c>
      <c r="AP40" s="36" t="e">
        <f ca="1">_xll.BDP($AD40,AP$10,"BEST_FPERIOD_OVERRIDE=1TY","EQY_FUND_CRNCY=USD","FA_ADJUSTED=Y")</f>
        <v>#NAME?</v>
      </c>
      <c r="AQ40" s="36" t="e">
        <f ca="1">_xll.BDP($AD40,AQ$10,"EQY_FUND_CRNCY=USD","FA_ADJUSTED=Y")</f>
        <v>#NAME?</v>
      </c>
      <c r="AR40" s="36" t="e">
        <f ca="1">_xll.BDP($AD40,AR$10,"BEST_FPERIOD_OVERRIDE=1TY","EQY_FUND_CRNCY=USD","FA_ADJUSTED=Y")</f>
        <v>#NAME?</v>
      </c>
      <c r="AS40" s="36" t="e">
        <f ca="1">_xll.BDP($AD40,AS$10,"EQY_FUND_CRNCY=USD","FA_ADJUSTED=Y")</f>
        <v>#NAME?</v>
      </c>
      <c r="AT40" s="36" t="e">
        <f ca="1">_xll.BDP($AD40,AT$10,"BEST_FPERIOD_OVERRIDE=1TY","EQY_FUND_CRNCY=USD","FA_ADJUSTED=Y")</f>
        <v>#NAME?</v>
      </c>
      <c r="AV40" s="1" t="s">
        <v>53</v>
      </c>
      <c r="AW40" s="1" t="s">
        <v>54</v>
      </c>
      <c r="AX40" s="36" t="s">
        <v>506</v>
      </c>
      <c r="AY40" s="36">
        <v>16949.372200000002</v>
      </c>
      <c r="AZ40" s="36">
        <v>20360.7772</v>
      </c>
      <c r="BA40" s="36">
        <v>4283.41</v>
      </c>
      <c r="BB40" s="36">
        <v>4236.25</v>
      </c>
      <c r="BC40" s="44">
        <v>-1.1009919666807533E-2</v>
      </c>
      <c r="BD40" s="36">
        <v>1488.7579999999998</v>
      </c>
      <c r="BE40" s="36">
        <v>32.700000000000003</v>
      </c>
      <c r="BF40" s="36">
        <v>0</v>
      </c>
      <c r="BG40" s="36" t="s">
        <v>480</v>
      </c>
      <c r="BH40" s="36" t="s">
        <v>480</v>
      </c>
      <c r="BI40" s="36">
        <v>1222.1279999999999</v>
      </c>
      <c r="BJ40" s="36">
        <v>1425.299</v>
      </c>
      <c r="BK40" s="36">
        <v>562.78363790922901</v>
      </c>
      <c r="BL40" s="36">
        <v>866.24</v>
      </c>
    </row>
    <row r="41" spans="1:64" ht="30" customHeight="1" x14ac:dyDescent="0.2">
      <c r="B41" s="46" t="str">
        <f t="shared" ref="B41:M41" si="8">B$9</f>
        <v>Databricks</v>
      </c>
      <c r="C41" s="46" t="str">
        <f t="shared" si="8"/>
        <v>Advanced big data processing company.</v>
      </c>
      <c r="D41" s="47">
        <f t="shared" si="8"/>
        <v>0</v>
      </c>
      <c r="E41" s="47">
        <f t="shared" si="8"/>
        <v>0</v>
      </c>
      <c r="F41" s="48">
        <f t="shared" si="8"/>
        <v>0</v>
      </c>
      <c r="G41" s="49">
        <f t="shared" si="8"/>
        <v>0</v>
      </c>
      <c r="H41" s="50" t="e">
        <f t="shared" si="8"/>
        <v>#DIV/0!</v>
      </c>
      <c r="I41" s="51" t="e">
        <f t="shared" si="8"/>
        <v>#DIV/0!</v>
      </c>
      <c r="J41" s="52" t="e">
        <f t="shared" si="8"/>
        <v>#DIV/0!</v>
      </c>
      <c r="K41" s="52" t="e">
        <f t="shared" si="8"/>
        <v>#DIV/0!</v>
      </c>
      <c r="L41" s="53" t="e">
        <f t="shared" si="8"/>
        <v>#DIV/0!</v>
      </c>
      <c r="M41" s="53" t="e">
        <f t="shared" si="8"/>
        <v>#DIV/0!</v>
      </c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  <c r="AA41" s="65"/>
      <c r="AB41" s="65"/>
      <c r="AC41" s="65"/>
      <c r="AD41" s="1" t="s">
        <v>55</v>
      </c>
      <c r="AE41" s="1" t="s">
        <v>56</v>
      </c>
      <c r="AF41" s="36" t="e">
        <f ca="1">_xll.BDP($AD41,AF$10)</f>
        <v>#NAME?</v>
      </c>
      <c r="AG41" s="36" t="e">
        <f ca="1">_xll.BDH($AD41,AG$10,$C$5,$C$5,"EQY_FUND_CRNCY=USD")</f>
        <v>#NAME?</v>
      </c>
      <c r="AH41" s="36" t="e">
        <f ca="1">_xll.BDH($AD41,AH$10,$C$5,$C$5,"EQY_FUND_CRNCY=USD")</f>
        <v>#NAME?</v>
      </c>
      <c r="AI41" s="36" t="e">
        <f ca="1">_xll.BDP($AD41,AI$10,"EQY_FUND_CRNCY=USD","FA_ADJUSTED=Y")</f>
        <v>#NAME?</v>
      </c>
      <c r="AJ41" s="36" t="e">
        <f ca="1">_xll.BDP($AD41,AJ$10,"BEST_FPERIOD_OVERRIDE=1TY","EQY_FUND_CRNCY=USD","FA_ADJUSTED=Y")</f>
        <v>#NAME?</v>
      </c>
      <c r="AK41" s="44" t="e">
        <f t="shared" ca="1" si="3"/>
        <v>#NAME?</v>
      </c>
      <c r="AL41" s="36" t="e">
        <f ca="1">_xll.BDP($AD41,AL$10,"EQY_FUND_CRNCY=USD","FA_ADJUSTED=Y")</f>
        <v>#NAME?</v>
      </c>
      <c r="AM41" s="36" t="e">
        <f ca="1">_xll.BDP($AD41,AM$10,"BEST_FPERIOD_OVERRIDE=1TY","EQY_FUND_CRNCY=USD","FA_ADJUSTED=Y")</f>
        <v>#NAME?</v>
      </c>
      <c r="AN41" s="36" t="e">
        <f ca="1">_xll.BDP($AD41,AN$10,"BEST_FPERIOD_OVERRIDE=1TY","EQY_FUND_CRNCY=USD","FA_ADJUSTED=Y")</f>
        <v>#NAME?</v>
      </c>
      <c r="AO41" s="36" t="e">
        <f ca="1">_xll.BDP($AD41,AO$10,"BEST_FPERIOD_OVERRIDE=1TY","EQY_FUND_CRNCY=USD","FA_ADJUSTED=Y")</f>
        <v>#NAME?</v>
      </c>
      <c r="AP41" s="36" t="e">
        <f ca="1">_xll.BDP($AD41,AP$10,"BEST_FPERIOD_OVERRIDE=1TY","EQY_FUND_CRNCY=USD","FA_ADJUSTED=Y")</f>
        <v>#NAME?</v>
      </c>
      <c r="AQ41" s="36" t="e">
        <f ca="1">_xll.BDP($AD41,AQ$10,"EQY_FUND_CRNCY=USD","FA_ADJUSTED=Y")</f>
        <v>#NAME?</v>
      </c>
      <c r="AR41" s="36" t="e">
        <f ca="1">_xll.BDP($AD41,AR$10,"BEST_FPERIOD_OVERRIDE=1TY","EQY_FUND_CRNCY=USD","FA_ADJUSTED=Y")</f>
        <v>#NAME?</v>
      </c>
      <c r="AS41" s="36" t="e">
        <f ca="1">_xll.BDP($AD41,AS$10,"EQY_FUND_CRNCY=USD","FA_ADJUSTED=Y")</f>
        <v>#NAME?</v>
      </c>
      <c r="AT41" s="36" t="e">
        <f ca="1">_xll.BDP($AD41,AT$10,"BEST_FPERIOD_OVERRIDE=1TY","EQY_FUND_CRNCY=USD","FA_ADJUSTED=Y")</f>
        <v>#NAME?</v>
      </c>
      <c r="AV41" s="1" t="s">
        <v>55</v>
      </c>
      <c r="AW41" s="1" t="s">
        <v>56</v>
      </c>
      <c r="AX41" s="36" t="s">
        <v>495</v>
      </c>
      <c r="AY41" s="36">
        <v>14142.858</v>
      </c>
      <c r="AZ41" s="36">
        <v>14085.412700000001</v>
      </c>
      <c r="BA41" s="36">
        <v>2794.5149999999999</v>
      </c>
      <c r="BB41" s="36">
        <v>3253.5360000000001</v>
      </c>
      <c r="BC41" s="44">
        <v>0.16425784080600758</v>
      </c>
      <c r="BD41" s="36">
        <v>2459.358009765625</v>
      </c>
      <c r="BE41" s="36">
        <v>66.7</v>
      </c>
      <c r="BF41" s="36">
        <v>341.4</v>
      </c>
      <c r="BG41" s="36">
        <v>180.9</v>
      </c>
      <c r="BH41" s="36">
        <v>193.1</v>
      </c>
      <c r="BI41" s="36">
        <v>707.22400000000005</v>
      </c>
      <c r="BJ41" s="36">
        <v>838.06700000000001</v>
      </c>
      <c r="BK41" s="36">
        <v>288.48589500000003</v>
      </c>
      <c r="BL41" s="36">
        <v>622.91700000000003</v>
      </c>
    </row>
    <row r="42" spans="1:64" ht="30" customHeight="1" x14ac:dyDescent="0.2">
      <c r="B42" s="54" t="s">
        <v>465</v>
      </c>
      <c r="C42" s="54" t="e">
        <f>VLOOKUP($B42,#REF!,COLUMNS($B42:C42),0)</f>
        <v>#REF!</v>
      </c>
      <c r="D42" s="55" t="e">
        <f>VLOOKUP($B42,#REF!,COLUMNS($B42:D42),0)</f>
        <v>#REF!</v>
      </c>
      <c r="E42" s="55" t="e">
        <f>VLOOKUP($B42,#REF!,COLUMNS($B42:E42),0)</f>
        <v>#REF!</v>
      </c>
      <c r="F42" s="56" t="e">
        <f>VLOOKUP($B42,#REF!,COLUMNS($B42:F42),0)</f>
        <v>#REF!</v>
      </c>
      <c r="G42" s="57" t="e">
        <f>VLOOKUP($B42,#REF!,COLUMNS($B42:G42),0)</f>
        <v>#REF!</v>
      </c>
      <c r="H42" s="58" t="e">
        <f>VLOOKUP($B42,#REF!,COLUMNS($B42:H42),0)</f>
        <v>#REF!</v>
      </c>
      <c r="I42" s="59" t="e">
        <f>VLOOKUP($B42,#REF!,COLUMNS($B42:I42),0)</f>
        <v>#REF!</v>
      </c>
      <c r="J42" s="60" t="e">
        <f>VLOOKUP($B42,#REF!,COLUMNS($B42:J42),0)</f>
        <v>#REF!</v>
      </c>
      <c r="K42" s="60" t="e">
        <f>VLOOKUP($B42,#REF!,COLUMNS($B42:K42),0)</f>
        <v>#REF!</v>
      </c>
      <c r="L42" s="61" t="e">
        <f>VLOOKUP($B42,#REF!,COLUMNS($B42:L42),0)</f>
        <v>#REF!</v>
      </c>
      <c r="M42" s="61" t="e">
        <f>VLOOKUP($B42,#REF!,COLUMNS($B42:M42),0)</f>
        <v>#REF!</v>
      </c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  <c r="AA42" s="65"/>
      <c r="AB42" s="65"/>
      <c r="AC42" s="65"/>
      <c r="AD42" s="1" t="s">
        <v>57</v>
      </c>
      <c r="AE42" s="1" t="s">
        <v>58</v>
      </c>
      <c r="AF42" s="36" t="e">
        <f ca="1">_xll.BDP($AD42,AF$10)</f>
        <v>#NAME?</v>
      </c>
      <c r="AG42" s="36" t="e">
        <f ca="1">_xll.BDH($AD42,AG$10,$C$5,$C$5,"EQY_FUND_CRNCY=USD")</f>
        <v>#NAME?</v>
      </c>
      <c r="AH42" s="36" t="e">
        <f ca="1">_xll.BDH($AD42,AH$10,$C$5,$C$5,"EQY_FUND_CRNCY=USD")</f>
        <v>#NAME?</v>
      </c>
      <c r="AI42" s="36" t="e">
        <f ca="1">_xll.BDP($AD42,AI$10,"EQY_FUND_CRNCY=USD","FA_ADJUSTED=Y")</f>
        <v>#NAME?</v>
      </c>
      <c r="AJ42" s="36" t="e">
        <f ca="1">_xll.BDP($AD42,AJ$10,"BEST_FPERIOD_OVERRIDE=1TY","EQY_FUND_CRNCY=USD","FA_ADJUSTED=Y")</f>
        <v>#NAME?</v>
      </c>
      <c r="AK42" s="44" t="e">
        <f t="shared" ca="1" si="3"/>
        <v>#NAME?</v>
      </c>
      <c r="AL42" s="36" t="e">
        <f ca="1">_xll.BDP($AD42,AL$10,"EQY_FUND_CRNCY=USD","FA_ADJUSTED=Y")</f>
        <v>#NAME?</v>
      </c>
      <c r="AM42" s="36" t="e">
        <f ca="1">_xll.BDP($AD42,AM$10,"BEST_FPERIOD_OVERRIDE=1TY","EQY_FUND_CRNCY=USD","FA_ADJUSTED=Y")</f>
        <v>#NAME?</v>
      </c>
      <c r="AN42" s="36" t="e">
        <f ca="1">_xll.BDP($AD42,AN$10,"BEST_FPERIOD_OVERRIDE=1TY","EQY_FUND_CRNCY=USD","FA_ADJUSTED=Y")</f>
        <v>#NAME?</v>
      </c>
      <c r="AO42" s="36" t="e">
        <f ca="1">_xll.BDP($AD42,AO$10,"BEST_FPERIOD_OVERRIDE=1TY","EQY_FUND_CRNCY=USD","FA_ADJUSTED=Y")</f>
        <v>#NAME?</v>
      </c>
      <c r="AP42" s="36" t="e">
        <f ca="1">_xll.BDP($AD42,AP$10,"BEST_FPERIOD_OVERRIDE=1TY","EQY_FUND_CRNCY=USD","FA_ADJUSTED=Y")</f>
        <v>#NAME?</v>
      </c>
      <c r="AQ42" s="36" t="e">
        <f ca="1">_xll.BDP($AD42,AQ$10,"EQY_FUND_CRNCY=USD","FA_ADJUSTED=Y")</f>
        <v>#NAME?</v>
      </c>
      <c r="AR42" s="36" t="e">
        <f ca="1">_xll.BDP($AD42,AR$10,"BEST_FPERIOD_OVERRIDE=1TY","EQY_FUND_CRNCY=USD","FA_ADJUSTED=Y")</f>
        <v>#NAME?</v>
      </c>
      <c r="AS42" s="36" t="e">
        <f ca="1">_xll.BDP($AD42,AS$10,"EQY_FUND_CRNCY=USD","FA_ADJUSTED=Y")</f>
        <v>#NAME?</v>
      </c>
      <c r="AT42" s="36" t="e">
        <f ca="1">_xll.BDP($AD42,AT$10,"BEST_FPERIOD_OVERRIDE=1TY","EQY_FUND_CRNCY=USD","FA_ADJUSTED=Y")</f>
        <v>#NAME?</v>
      </c>
      <c r="AV42" s="1" t="s">
        <v>57</v>
      </c>
      <c r="AW42" s="1" t="s">
        <v>58</v>
      </c>
      <c r="AX42" s="36" t="s">
        <v>495</v>
      </c>
      <c r="AY42" s="36">
        <v>13669.9229</v>
      </c>
      <c r="AZ42" s="36">
        <v>12778.339900000001</v>
      </c>
      <c r="BA42" s="36">
        <v>1448.318</v>
      </c>
      <c r="BB42" s="36">
        <v>1866.8810000000001</v>
      </c>
      <c r="BC42" s="44">
        <v>0.28899937720859659</v>
      </c>
      <c r="BD42" s="36">
        <v>1148.2299877929688</v>
      </c>
      <c r="BE42" s="36">
        <v>83.668000000000006</v>
      </c>
      <c r="BF42" s="36">
        <v>301.11399999999998</v>
      </c>
      <c r="BG42" s="36">
        <v>808.41700000000003</v>
      </c>
      <c r="BH42" s="36">
        <v>159.143</v>
      </c>
      <c r="BI42" s="36">
        <v>-257.30799999999999</v>
      </c>
      <c r="BJ42" s="36">
        <v>294.62</v>
      </c>
      <c r="BK42" s="36">
        <v>-319.97310999999996</v>
      </c>
      <c r="BL42" s="36">
        <v>199.589</v>
      </c>
    </row>
    <row r="43" spans="1:64" ht="30" customHeight="1" x14ac:dyDescent="0.2">
      <c r="B43" s="62" t="s">
        <v>470</v>
      </c>
      <c r="C43" s="54" t="e">
        <f>VLOOKUP($B43,#REF!,COLUMNS($B43:C43),0)</f>
        <v>#REF!</v>
      </c>
      <c r="D43" s="66" t="e">
        <f>VLOOKUP($B43,#REF!,COLUMNS($B43:D43),0)</f>
        <v>#REF!</v>
      </c>
      <c r="E43" s="66" t="e">
        <f>VLOOKUP($B43,#REF!,COLUMNS($B43:E43),0)</f>
        <v>#REF!</v>
      </c>
      <c r="F43" s="67" t="e">
        <f>VLOOKUP($B43,#REF!,COLUMNS($B43:F43),0)</f>
        <v>#REF!</v>
      </c>
      <c r="G43" s="68" t="e">
        <f>VLOOKUP($B43,#REF!,COLUMNS($B43:G43),0)</f>
        <v>#REF!</v>
      </c>
      <c r="H43" s="69" t="e">
        <f>VLOOKUP($B43,#REF!,COLUMNS($B43:H43),0)</f>
        <v>#REF!</v>
      </c>
      <c r="I43" s="70" t="e">
        <f>VLOOKUP($B43,#REF!,COLUMNS($B43:I43),0)</f>
        <v>#REF!</v>
      </c>
      <c r="J43" s="71" t="e">
        <f>VLOOKUP($B43,#REF!,COLUMNS($B43:J43),0)</f>
        <v>#REF!</v>
      </c>
      <c r="K43" s="60" t="e">
        <f>VLOOKUP($B43,#REF!,COLUMNS($B43:K43),0)</f>
        <v>#REF!</v>
      </c>
      <c r="L43" s="61" t="e">
        <f>VLOOKUP($B43,#REF!,COLUMNS($B43:L43),0)</f>
        <v>#REF!</v>
      </c>
      <c r="M43" s="61" t="e">
        <f>VLOOKUP($B43,#REF!,COLUMNS($B43:M43),0)</f>
        <v>#REF!</v>
      </c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  <c r="AA43" s="65"/>
      <c r="AB43" s="65"/>
      <c r="AC43" s="65"/>
      <c r="AD43" s="1" t="s">
        <v>59</v>
      </c>
      <c r="AE43" s="1" t="s">
        <v>60</v>
      </c>
      <c r="AF43" s="36" t="e">
        <f ca="1">_xll.BDP($AD43,AF$10)</f>
        <v>#NAME?</v>
      </c>
      <c r="AG43" s="36" t="e">
        <f ca="1">_xll.BDH($AD43,AG$10,$C$5,$C$5,"EQY_FUND_CRNCY=USD")</f>
        <v>#NAME?</v>
      </c>
      <c r="AH43" s="36" t="e">
        <f ca="1">_xll.BDH($AD43,AH$10,$C$5,$C$5,"EQY_FUND_CRNCY=USD")</f>
        <v>#NAME?</v>
      </c>
      <c r="AI43" s="36" t="e">
        <f ca="1">_xll.BDP($AD43,AI$10,"EQY_FUND_CRNCY=USD","FA_ADJUSTED=Y")</f>
        <v>#NAME?</v>
      </c>
      <c r="AJ43" s="36" t="e">
        <f ca="1">_xll.BDP($AD43,AJ$10,"BEST_FPERIOD_OVERRIDE=1TY","EQY_FUND_CRNCY=USD","FA_ADJUSTED=Y")</f>
        <v>#NAME?</v>
      </c>
      <c r="AK43" s="44" t="e">
        <f t="shared" ca="1" si="3"/>
        <v>#NAME?</v>
      </c>
      <c r="AL43" s="36" t="e">
        <f ca="1">_xll.BDP($AD43,AL$10,"EQY_FUND_CRNCY=USD","FA_ADJUSTED=Y")</f>
        <v>#NAME?</v>
      </c>
      <c r="AM43" s="36" t="e">
        <f ca="1">_xll.BDP($AD43,AM$10,"BEST_FPERIOD_OVERRIDE=1TY","EQY_FUND_CRNCY=USD","FA_ADJUSTED=Y")</f>
        <v>#NAME?</v>
      </c>
      <c r="AN43" s="36" t="e">
        <f ca="1">_xll.BDP($AD43,AN$10,"BEST_FPERIOD_OVERRIDE=1TY","EQY_FUND_CRNCY=USD","FA_ADJUSTED=Y")</f>
        <v>#NAME?</v>
      </c>
      <c r="AO43" s="36" t="e">
        <f ca="1">_xll.BDP($AD43,AO$10,"BEST_FPERIOD_OVERRIDE=1TY","EQY_FUND_CRNCY=USD","FA_ADJUSTED=Y")</f>
        <v>#NAME?</v>
      </c>
      <c r="AP43" s="36" t="e">
        <f ca="1">_xll.BDP($AD43,AP$10,"BEST_FPERIOD_OVERRIDE=1TY","EQY_FUND_CRNCY=USD","FA_ADJUSTED=Y")</f>
        <v>#NAME?</v>
      </c>
      <c r="AQ43" s="36" t="e">
        <f ca="1">_xll.BDP($AD43,AQ$10,"EQY_FUND_CRNCY=USD","FA_ADJUSTED=Y")</f>
        <v>#NAME?</v>
      </c>
      <c r="AR43" s="36" t="e">
        <f ca="1">_xll.BDP($AD43,AR$10,"BEST_FPERIOD_OVERRIDE=1TY","EQY_FUND_CRNCY=USD","FA_ADJUSTED=Y")</f>
        <v>#NAME?</v>
      </c>
      <c r="AS43" s="36" t="e">
        <f ca="1">_xll.BDP($AD43,AS$10,"EQY_FUND_CRNCY=USD","FA_ADJUSTED=Y")</f>
        <v>#NAME?</v>
      </c>
      <c r="AT43" s="36" t="e">
        <f ca="1">_xll.BDP($AD43,AT$10,"BEST_FPERIOD_OVERRIDE=1TY","EQY_FUND_CRNCY=USD","FA_ADJUSTED=Y")</f>
        <v>#NAME?</v>
      </c>
      <c r="AV43" s="1" t="s">
        <v>59</v>
      </c>
      <c r="AW43" s="1" t="s">
        <v>60</v>
      </c>
      <c r="AX43" s="36" t="s">
        <v>505</v>
      </c>
      <c r="AY43" s="36">
        <v>13796.5016</v>
      </c>
      <c r="AZ43" s="36">
        <v>12362.801600000001</v>
      </c>
      <c r="BA43" s="36">
        <v>1631.1849999999999</v>
      </c>
      <c r="BB43" s="36">
        <v>1909.7080000000001</v>
      </c>
      <c r="BC43" s="44">
        <v>0.17074887275201789</v>
      </c>
      <c r="BD43" s="36">
        <v>1221.8169738769532</v>
      </c>
      <c r="BE43" s="36">
        <v>75.704999999999998</v>
      </c>
      <c r="BF43" s="36">
        <v>210.614</v>
      </c>
      <c r="BG43" s="36">
        <v>701.02599999999995</v>
      </c>
      <c r="BH43" s="36">
        <v>87.861999999999995</v>
      </c>
      <c r="BI43" s="36">
        <v>213.77799999999999</v>
      </c>
      <c r="BJ43" s="36">
        <v>476.64300000000003</v>
      </c>
      <c r="BK43" s="36">
        <v>136.69200000000001</v>
      </c>
      <c r="BL43" s="36">
        <v>317.08300000000003</v>
      </c>
    </row>
    <row r="44" spans="1:64" ht="30" customHeight="1" x14ac:dyDescent="0.2">
      <c r="B44" s="62" t="s">
        <v>471</v>
      </c>
      <c r="C44" s="54" t="e">
        <f>VLOOKUP($B44,#REF!,COLUMNS($B44:C44),0)</f>
        <v>#REF!</v>
      </c>
      <c r="D44" s="66" t="e">
        <f>VLOOKUP($B44,#REF!,COLUMNS($B44:D44),0)</f>
        <v>#REF!</v>
      </c>
      <c r="E44" s="66" t="e">
        <f>VLOOKUP($B44,#REF!,COLUMNS($B44:E44),0)</f>
        <v>#REF!</v>
      </c>
      <c r="F44" s="67" t="e">
        <f>VLOOKUP($B44,#REF!,COLUMNS($B44:F44),0)</f>
        <v>#REF!</v>
      </c>
      <c r="G44" s="68" t="e">
        <f>VLOOKUP($B44,#REF!,COLUMNS($B44:G44),0)</f>
        <v>#REF!</v>
      </c>
      <c r="H44" s="69" t="e">
        <f>VLOOKUP($B44,#REF!,COLUMNS($B44:H44),0)</f>
        <v>#REF!</v>
      </c>
      <c r="I44" s="70" t="e">
        <f>VLOOKUP($B44,#REF!,COLUMNS($B44:I44),0)</f>
        <v>#REF!</v>
      </c>
      <c r="J44" s="71" t="e">
        <f>VLOOKUP($B44,#REF!,COLUMNS($B44:J44),0)</f>
        <v>#REF!</v>
      </c>
      <c r="K44" s="60" t="e">
        <f>VLOOKUP($B44,#REF!,COLUMNS($B44:K44),0)</f>
        <v>#REF!</v>
      </c>
      <c r="L44" s="61" t="e">
        <f>VLOOKUP($B44,#REF!,COLUMNS($B44:L44),0)</f>
        <v>#REF!</v>
      </c>
      <c r="M44" s="61" t="e">
        <f>VLOOKUP($B44,#REF!,COLUMNS($B44:M44),0)</f>
        <v>#REF!</v>
      </c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  <c r="AA44" s="65"/>
      <c r="AB44" s="65"/>
      <c r="AC44" s="65"/>
      <c r="AD44" s="1" t="s">
        <v>61</v>
      </c>
      <c r="AE44" s="1" t="s">
        <v>62</v>
      </c>
      <c r="AF44" s="36" t="e">
        <f ca="1">_xll.BDP($AD44,AF$10)</f>
        <v>#NAME?</v>
      </c>
      <c r="AG44" s="36" t="e">
        <f ca="1">_xll.BDH($AD44,AG$10,$C$5,$C$5,"EQY_FUND_CRNCY=USD")</f>
        <v>#NAME?</v>
      </c>
      <c r="AH44" s="36" t="e">
        <f ca="1">_xll.BDH($AD44,AH$10,$C$5,$C$5,"EQY_FUND_CRNCY=USD")</f>
        <v>#NAME?</v>
      </c>
      <c r="AI44" s="36" t="e">
        <f ca="1">_xll.BDP($AD44,AI$10,"EQY_FUND_CRNCY=USD","FA_ADJUSTED=Y")</f>
        <v>#NAME?</v>
      </c>
      <c r="AJ44" s="36" t="e">
        <f ca="1">_xll.BDP($AD44,AJ$10,"BEST_FPERIOD_OVERRIDE=1TY","EQY_FUND_CRNCY=USD","FA_ADJUSTED=Y")</f>
        <v>#NAME?</v>
      </c>
      <c r="AK44" s="44" t="e">
        <f t="shared" ca="1" si="3"/>
        <v>#NAME?</v>
      </c>
      <c r="AL44" s="36" t="e">
        <f ca="1">_xll.BDP($AD44,AL$10,"EQY_FUND_CRNCY=USD","FA_ADJUSTED=Y")</f>
        <v>#NAME?</v>
      </c>
      <c r="AM44" s="36" t="e">
        <f ca="1">_xll.BDP($AD44,AM$10,"BEST_FPERIOD_OVERRIDE=1TY","EQY_FUND_CRNCY=USD","FA_ADJUSTED=Y")</f>
        <v>#NAME?</v>
      </c>
      <c r="AN44" s="36" t="e">
        <f ca="1">_xll.BDP($AD44,AN$10,"BEST_FPERIOD_OVERRIDE=1TY","EQY_FUND_CRNCY=USD","FA_ADJUSTED=Y")</f>
        <v>#NAME?</v>
      </c>
      <c r="AO44" s="36" t="e">
        <f ca="1">_xll.BDP($AD44,AO$10,"BEST_FPERIOD_OVERRIDE=1TY","EQY_FUND_CRNCY=USD","FA_ADJUSTED=Y")</f>
        <v>#NAME?</v>
      </c>
      <c r="AP44" s="36" t="e">
        <f ca="1">_xll.BDP($AD44,AP$10,"BEST_FPERIOD_OVERRIDE=1TY","EQY_FUND_CRNCY=USD","FA_ADJUSTED=Y")</f>
        <v>#NAME?</v>
      </c>
      <c r="AQ44" s="36" t="e">
        <f ca="1">_xll.BDP($AD44,AQ$10,"EQY_FUND_CRNCY=USD","FA_ADJUSTED=Y")</f>
        <v>#NAME?</v>
      </c>
      <c r="AR44" s="36" t="e">
        <f ca="1">_xll.BDP($AD44,AR$10,"BEST_FPERIOD_OVERRIDE=1TY","EQY_FUND_CRNCY=USD","FA_ADJUSTED=Y")</f>
        <v>#NAME?</v>
      </c>
      <c r="AS44" s="36" t="e">
        <f ca="1">_xll.BDP($AD44,AS$10,"EQY_FUND_CRNCY=USD","FA_ADJUSTED=Y")</f>
        <v>#NAME?</v>
      </c>
      <c r="AT44" s="36" t="e">
        <f ca="1">_xll.BDP($AD44,AT$10,"BEST_FPERIOD_OVERRIDE=1TY","EQY_FUND_CRNCY=USD","FA_ADJUSTED=Y")</f>
        <v>#NAME?</v>
      </c>
      <c r="AV44" s="1" t="s">
        <v>61</v>
      </c>
      <c r="AW44" s="1" t="s">
        <v>62</v>
      </c>
      <c r="AX44" s="36" t="s">
        <v>495</v>
      </c>
      <c r="AY44" s="36">
        <v>13766.6196</v>
      </c>
      <c r="AZ44" s="36">
        <v>14433.059600000001</v>
      </c>
      <c r="BA44" s="36">
        <v>2908.3389999999999</v>
      </c>
      <c r="BB44" s="36">
        <v>2991.1260000000002</v>
      </c>
      <c r="BC44" s="44">
        <v>2.8465388663426294E-2</v>
      </c>
      <c r="BD44" s="36">
        <v>2463.42801171875</v>
      </c>
      <c r="BE44" s="36">
        <v>86.769000000000005</v>
      </c>
      <c r="BF44" s="36">
        <v>415.80099999999999</v>
      </c>
      <c r="BG44" s="36">
        <v>1006.112</v>
      </c>
      <c r="BH44" s="36">
        <v>302.565</v>
      </c>
      <c r="BI44" s="36">
        <v>891.87300000000005</v>
      </c>
      <c r="BJ44" s="36">
        <v>1100.25</v>
      </c>
      <c r="BK44" s="36">
        <v>590.64465502973098</v>
      </c>
      <c r="BL44" s="36">
        <v>750.726</v>
      </c>
    </row>
    <row r="45" spans="1:64" ht="30" customHeight="1" x14ac:dyDescent="0.2">
      <c r="B45" s="62" t="s">
        <v>473</v>
      </c>
      <c r="C45" s="54" t="e">
        <f>VLOOKUP($B45,#REF!,COLUMNS($B45:C45),0)</f>
        <v>#REF!</v>
      </c>
      <c r="D45" s="66" t="e">
        <f>VLOOKUP($B45,#REF!,COLUMNS($B45:D45),0)</f>
        <v>#REF!</v>
      </c>
      <c r="E45" s="66" t="e">
        <f>VLOOKUP($B45,#REF!,COLUMNS($B45:E45),0)</f>
        <v>#REF!</v>
      </c>
      <c r="F45" s="67" t="e">
        <f>VLOOKUP($B45,#REF!,COLUMNS($B45:F45),0)</f>
        <v>#REF!</v>
      </c>
      <c r="G45" s="68" t="e">
        <f>VLOOKUP($B45,#REF!,COLUMNS($B45:G45),0)</f>
        <v>#REF!</v>
      </c>
      <c r="H45" s="69" t="e">
        <f>VLOOKUP($B45,#REF!,COLUMNS($B45:H45),0)</f>
        <v>#REF!</v>
      </c>
      <c r="I45" s="70" t="e">
        <f>VLOOKUP($B45,#REF!,COLUMNS($B45:I45),0)</f>
        <v>#REF!</v>
      </c>
      <c r="J45" s="71" t="e">
        <f>VLOOKUP($B45,#REF!,COLUMNS($B45:J45),0)</f>
        <v>#REF!</v>
      </c>
      <c r="K45" s="60" t="e">
        <f>VLOOKUP($B45,#REF!,COLUMNS($B45:K45),0)</f>
        <v>#REF!</v>
      </c>
      <c r="L45" s="61" t="e">
        <f>VLOOKUP($B45,#REF!,COLUMNS($B45:L45),0)</f>
        <v>#REF!</v>
      </c>
      <c r="M45" s="61" t="e">
        <f>VLOOKUP($B45,#REF!,COLUMNS($B45:M45),0)</f>
        <v>#REF!</v>
      </c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  <c r="AA45" s="65"/>
      <c r="AB45" s="65"/>
      <c r="AC45" s="65"/>
      <c r="AD45" s="1" t="s">
        <v>63</v>
      </c>
      <c r="AE45" s="1" t="s">
        <v>64</v>
      </c>
      <c r="AF45" s="36" t="e">
        <f ca="1">_xll.BDP($AD45,AF$10)</f>
        <v>#NAME?</v>
      </c>
      <c r="AG45" s="36" t="e">
        <f ca="1">_xll.BDH($AD45,AG$10,$C$5,$C$5,"EQY_FUND_CRNCY=USD")</f>
        <v>#NAME?</v>
      </c>
      <c r="AH45" s="36" t="e">
        <f ca="1">_xll.BDH($AD45,AH$10,$C$5,$C$5,"EQY_FUND_CRNCY=USD")</f>
        <v>#NAME?</v>
      </c>
      <c r="AI45" s="36" t="e">
        <f ca="1">_xll.BDP($AD45,AI$10,"EQY_FUND_CRNCY=USD","FA_ADJUSTED=Y")</f>
        <v>#NAME?</v>
      </c>
      <c r="AJ45" s="36" t="e">
        <f ca="1">_xll.BDP($AD45,AJ$10,"BEST_FPERIOD_OVERRIDE=1TY","EQY_FUND_CRNCY=USD","FA_ADJUSTED=Y")</f>
        <v>#NAME?</v>
      </c>
      <c r="AK45" s="44" t="e">
        <f t="shared" ca="1" si="3"/>
        <v>#NAME?</v>
      </c>
      <c r="AL45" s="36" t="e">
        <f ca="1">_xll.BDP($AD45,AL$10,"EQY_FUND_CRNCY=USD","FA_ADJUSTED=Y")</f>
        <v>#NAME?</v>
      </c>
      <c r="AM45" s="36" t="e">
        <f ca="1">_xll.BDP($AD45,AM$10,"BEST_FPERIOD_OVERRIDE=1TY","EQY_FUND_CRNCY=USD","FA_ADJUSTED=Y")</f>
        <v>#NAME?</v>
      </c>
      <c r="AN45" s="36" t="e">
        <f ca="1">_xll.BDP($AD45,AN$10,"BEST_FPERIOD_OVERRIDE=1TY","EQY_FUND_CRNCY=USD","FA_ADJUSTED=Y")</f>
        <v>#NAME?</v>
      </c>
      <c r="AO45" s="36" t="e">
        <f ca="1">_xll.BDP($AD45,AO$10,"BEST_FPERIOD_OVERRIDE=1TY","EQY_FUND_CRNCY=USD","FA_ADJUSTED=Y")</f>
        <v>#NAME?</v>
      </c>
      <c r="AP45" s="36" t="e">
        <f ca="1">_xll.BDP($AD45,AP$10,"BEST_FPERIOD_OVERRIDE=1TY","EQY_FUND_CRNCY=USD","FA_ADJUSTED=Y")</f>
        <v>#NAME?</v>
      </c>
      <c r="AQ45" s="36" t="e">
        <f ca="1">_xll.BDP($AD45,AQ$10,"EQY_FUND_CRNCY=USD","FA_ADJUSTED=Y")</f>
        <v>#NAME?</v>
      </c>
      <c r="AR45" s="36" t="e">
        <f ca="1">_xll.BDP($AD45,AR$10,"BEST_FPERIOD_OVERRIDE=1TY","EQY_FUND_CRNCY=USD","FA_ADJUSTED=Y")</f>
        <v>#NAME?</v>
      </c>
      <c r="AS45" s="36" t="e">
        <f ca="1">_xll.BDP($AD45,AS$10,"EQY_FUND_CRNCY=USD","FA_ADJUSTED=Y")</f>
        <v>#NAME?</v>
      </c>
      <c r="AT45" s="36" t="e">
        <f ca="1">_xll.BDP($AD45,AT$10,"BEST_FPERIOD_OVERRIDE=1TY","EQY_FUND_CRNCY=USD","FA_ADJUSTED=Y")</f>
        <v>#NAME?</v>
      </c>
      <c r="AV45" s="1" t="s">
        <v>63</v>
      </c>
      <c r="AW45" s="1" t="s">
        <v>64</v>
      </c>
      <c r="AX45" s="36" t="s">
        <v>495</v>
      </c>
      <c r="AY45" s="36">
        <v>13366.986000000001</v>
      </c>
      <c r="AZ45" s="36">
        <v>13254.6572</v>
      </c>
      <c r="BA45" s="36">
        <v>3022.62</v>
      </c>
      <c r="BB45" s="36">
        <v>3239.1</v>
      </c>
      <c r="BC45" s="44">
        <v>7.1619985310756862E-2</v>
      </c>
      <c r="BD45" s="36">
        <v>2310.4400556640626</v>
      </c>
      <c r="BE45" s="36">
        <v>79.45</v>
      </c>
      <c r="BF45" s="36">
        <v>908.84100000000001</v>
      </c>
      <c r="BG45" s="36">
        <v>549.24800000000005</v>
      </c>
      <c r="BH45" s="36">
        <v>196.84399999999999</v>
      </c>
      <c r="BI45" s="36">
        <v>650.30199999999991</v>
      </c>
      <c r="BJ45" s="36">
        <v>778</v>
      </c>
      <c r="BK45" s="36">
        <v>367.32709702556298</v>
      </c>
      <c r="BL45" s="36">
        <v>608.80000000000007</v>
      </c>
    </row>
    <row r="46" spans="1:64" ht="30" customHeight="1" x14ac:dyDescent="0.2">
      <c r="B46" s="62" t="s">
        <v>478</v>
      </c>
      <c r="C46" s="54" t="e">
        <f>VLOOKUP($B46,#REF!,COLUMNS($B46:C46),0)</f>
        <v>#REF!</v>
      </c>
      <c r="D46" s="66" t="e">
        <f>VLOOKUP($B46,#REF!,COLUMNS($B46:D46),0)</f>
        <v>#REF!</v>
      </c>
      <c r="E46" s="66" t="e">
        <f>VLOOKUP($B46,#REF!,COLUMNS($B46:E46),0)</f>
        <v>#REF!</v>
      </c>
      <c r="F46" s="67" t="e">
        <f>VLOOKUP($B46,#REF!,COLUMNS($B46:F46),0)</f>
        <v>#REF!</v>
      </c>
      <c r="G46" s="68" t="e">
        <f>VLOOKUP($B46,#REF!,COLUMNS($B46:G46),0)</f>
        <v>#REF!</v>
      </c>
      <c r="H46" s="69" t="e">
        <f>VLOOKUP($B46,#REF!,COLUMNS($B46:H46),0)</f>
        <v>#REF!</v>
      </c>
      <c r="I46" s="70" t="e">
        <f>VLOOKUP($B46,#REF!,COLUMNS($B46:I46),0)</f>
        <v>#REF!</v>
      </c>
      <c r="J46" s="71" t="e">
        <f>VLOOKUP($B46,#REF!,COLUMNS($B46:J46),0)</f>
        <v>#REF!</v>
      </c>
      <c r="K46" s="60" t="e">
        <f>VLOOKUP($B46,#REF!,COLUMNS($B46:K46),0)</f>
        <v>#REF!</v>
      </c>
      <c r="L46" s="61" t="e">
        <f>VLOOKUP($B46,#REF!,COLUMNS($B46:L46),0)</f>
        <v>#REF!</v>
      </c>
      <c r="M46" s="61" t="e">
        <f>VLOOKUP($B46,#REF!,COLUMNS($B46:M46),0)</f>
        <v>#REF!</v>
      </c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  <c r="AA46" s="65"/>
      <c r="AB46" s="65"/>
      <c r="AC46" s="65"/>
      <c r="AD46" s="1" t="s">
        <v>65</v>
      </c>
      <c r="AE46" s="1" t="s">
        <v>66</v>
      </c>
      <c r="AF46" s="36" t="e">
        <f ca="1">_xll.BDP($AD46,AF$10)</f>
        <v>#NAME?</v>
      </c>
      <c r="AG46" s="36" t="e">
        <f ca="1">_xll.BDH($AD46,AG$10,$C$5,$C$5,"EQY_FUND_CRNCY=USD")</f>
        <v>#NAME?</v>
      </c>
      <c r="AH46" s="36" t="e">
        <f ca="1">_xll.BDH($AD46,AH$10,$C$5,$C$5,"EQY_FUND_CRNCY=USD")</f>
        <v>#NAME?</v>
      </c>
      <c r="AI46" s="36" t="e">
        <f ca="1">_xll.BDP($AD46,AI$10,"EQY_FUND_CRNCY=USD","FA_ADJUSTED=Y")</f>
        <v>#NAME?</v>
      </c>
      <c r="AJ46" s="36" t="e">
        <f ca="1">_xll.BDP($AD46,AJ$10,"BEST_FPERIOD_OVERRIDE=1TY","EQY_FUND_CRNCY=USD","FA_ADJUSTED=Y")</f>
        <v>#NAME?</v>
      </c>
      <c r="AK46" s="44" t="e">
        <f t="shared" ca="1" si="3"/>
        <v>#NAME?</v>
      </c>
      <c r="AL46" s="36" t="e">
        <f ca="1">_xll.BDP($AD46,AL$10,"EQY_FUND_CRNCY=USD","FA_ADJUSTED=Y")</f>
        <v>#NAME?</v>
      </c>
      <c r="AM46" s="36" t="e">
        <f ca="1">_xll.BDP($AD46,AM$10,"BEST_FPERIOD_OVERRIDE=1TY","EQY_FUND_CRNCY=USD","FA_ADJUSTED=Y")</f>
        <v>#NAME?</v>
      </c>
      <c r="AN46" s="36" t="e">
        <f ca="1">_xll.BDP($AD46,AN$10,"BEST_FPERIOD_OVERRIDE=1TY","EQY_FUND_CRNCY=USD","FA_ADJUSTED=Y")</f>
        <v>#NAME?</v>
      </c>
      <c r="AO46" s="36" t="e">
        <f ca="1">_xll.BDP($AD46,AO$10,"BEST_FPERIOD_OVERRIDE=1TY","EQY_FUND_CRNCY=USD","FA_ADJUSTED=Y")</f>
        <v>#NAME?</v>
      </c>
      <c r="AP46" s="36" t="e">
        <f ca="1">_xll.BDP($AD46,AP$10,"BEST_FPERIOD_OVERRIDE=1TY","EQY_FUND_CRNCY=USD","FA_ADJUSTED=Y")</f>
        <v>#NAME?</v>
      </c>
      <c r="AQ46" s="36" t="e">
        <f ca="1">_xll.BDP($AD46,AQ$10,"EQY_FUND_CRNCY=USD","FA_ADJUSTED=Y")</f>
        <v>#NAME?</v>
      </c>
      <c r="AR46" s="36" t="e">
        <f ca="1">_xll.BDP($AD46,AR$10,"BEST_FPERIOD_OVERRIDE=1TY","EQY_FUND_CRNCY=USD","FA_ADJUSTED=Y")</f>
        <v>#NAME?</v>
      </c>
      <c r="AS46" s="36" t="e">
        <f ca="1">_xll.BDP($AD46,AS$10,"EQY_FUND_CRNCY=USD","FA_ADJUSTED=Y")</f>
        <v>#NAME?</v>
      </c>
      <c r="AT46" s="36" t="e">
        <f ca="1">_xll.BDP($AD46,AT$10,"BEST_FPERIOD_OVERRIDE=1TY","EQY_FUND_CRNCY=USD","FA_ADJUSTED=Y")</f>
        <v>#NAME?</v>
      </c>
      <c r="AV46" s="1" t="s">
        <v>65</v>
      </c>
      <c r="AW46" s="1" t="s">
        <v>66</v>
      </c>
      <c r="AX46" s="36" t="s">
        <v>506</v>
      </c>
      <c r="AY46" s="36">
        <v>13553.7274</v>
      </c>
      <c r="AZ46" s="36">
        <v>14343.2274</v>
      </c>
      <c r="BA46" s="36">
        <v>4329.9000000000005</v>
      </c>
      <c r="BB46" s="36">
        <v>4491.5709999999999</v>
      </c>
      <c r="BC46" s="44">
        <v>3.7338275710755209E-2</v>
      </c>
      <c r="BD46" s="36">
        <v>1160.2999847412111</v>
      </c>
      <c r="BE46" s="36">
        <v>21.3</v>
      </c>
      <c r="BF46" s="36">
        <v>0</v>
      </c>
      <c r="BG46" s="36" t="s">
        <v>480</v>
      </c>
      <c r="BH46" s="36" t="s">
        <v>480</v>
      </c>
      <c r="BI46" s="36">
        <v>810.10000000000014</v>
      </c>
      <c r="BJ46" s="36">
        <v>903</v>
      </c>
      <c r="BK46" s="36">
        <v>445.40826848170406</v>
      </c>
      <c r="BL46" s="36">
        <v>557.30000000000007</v>
      </c>
    </row>
    <row r="47" spans="1:64" ht="30" customHeight="1" x14ac:dyDescent="0.2">
      <c r="B47" s="62" t="s">
        <v>482</v>
      </c>
      <c r="C47" s="54" t="e">
        <f>VLOOKUP($B47,#REF!,COLUMNS($B47:C47),0)</f>
        <v>#REF!</v>
      </c>
      <c r="D47" s="66" t="e">
        <f>VLOOKUP($B47,#REF!,COLUMNS($B47:D47),0)</f>
        <v>#REF!</v>
      </c>
      <c r="E47" s="66" t="e">
        <f>VLOOKUP($B47,#REF!,COLUMNS($B47:E47),0)</f>
        <v>#REF!</v>
      </c>
      <c r="F47" s="67" t="e">
        <f>VLOOKUP($B47,#REF!,COLUMNS($B47:F47),0)</f>
        <v>#REF!</v>
      </c>
      <c r="G47" s="68" t="e">
        <f>VLOOKUP($B47,#REF!,COLUMNS($B47:G47),0)</f>
        <v>#REF!</v>
      </c>
      <c r="H47" s="69" t="e">
        <f>VLOOKUP($B47,#REF!,COLUMNS($B47:H47),0)</f>
        <v>#REF!</v>
      </c>
      <c r="I47" s="70" t="e">
        <f>VLOOKUP($B47,#REF!,COLUMNS($B47:I47),0)</f>
        <v>#REF!</v>
      </c>
      <c r="J47" s="71" t="e">
        <f>VLOOKUP($B47,#REF!,COLUMNS($B47:J47),0)</f>
        <v>#REF!</v>
      </c>
      <c r="K47" s="60" t="e">
        <f>VLOOKUP($B47,#REF!,COLUMNS($B47:K47),0)</f>
        <v>#REF!</v>
      </c>
      <c r="L47" s="61" t="e">
        <f>VLOOKUP($B47,#REF!,COLUMNS($B47:L47),0)</f>
        <v>#REF!</v>
      </c>
      <c r="M47" s="61" t="e">
        <f>VLOOKUP($B47,#REF!,COLUMNS($B47:M47),0)</f>
        <v>#REF!</v>
      </c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65"/>
      <c r="AA47" s="65"/>
      <c r="AB47" s="65"/>
      <c r="AC47" s="65"/>
      <c r="AD47" s="1" t="s">
        <v>67</v>
      </c>
      <c r="AE47" s="1" t="s">
        <v>68</v>
      </c>
      <c r="AF47" s="36" t="e">
        <f ca="1">_xll.BDP($AD47,AF$10)</f>
        <v>#NAME?</v>
      </c>
      <c r="AG47" s="36" t="e">
        <f ca="1">_xll.BDH($AD47,AG$10,$C$5,$C$5,"EQY_FUND_CRNCY=USD")</f>
        <v>#NAME?</v>
      </c>
      <c r="AH47" s="36" t="e">
        <f ca="1">_xll.BDH($AD47,AH$10,$C$5,$C$5,"EQY_FUND_CRNCY=USD")</f>
        <v>#NAME?</v>
      </c>
      <c r="AI47" s="36" t="e">
        <f ca="1">_xll.BDP($AD47,AI$10,"EQY_FUND_CRNCY=USD","FA_ADJUSTED=Y")</f>
        <v>#NAME?</v>
      </c>
      <c r="AJ47" s="36" t="e">
        <f ca="1">_xll.BDP($AD47,AJ$10,"BEST_FPERIOD_OVERRIDE=1TY","EQY_FUND_CRNCY=USD","FA_ADJUSTED=Y")</f>
        <v>#NAME?</v>
      </c>
      <c r="AK47" s="44" t="e">
        <f t="shared" ca="1" si="3"/>
        <v>#NAME?</v>
      </c>
      <c r="AL47" s="36" t="e">
        <f ca="1">_xll.BDP($AD47,AL$10,"EQY_FUND_CRNCY=USD","FA_ADJUSTED=Y")</f>
        <v>#NAME?</v>
      </c>
      <c r="AM47" s="36" t="e">
        <f ca="1">_xll.BDP($AD47,AM$10,"BEST_FPERIOD_OVERRIDE=1TY","EQY_FUND_CRNCY=USD","FA_ADJUSTED=Y")</f>
        <v>#NAME?</v>
      </c>
      <c r="AN47" s="36" t="e">
        <f ca="1">_xll.BDP($AD47,AN$10,"BEST_FPERIOD_OVERRIDE=1TY","EQY_FUND_CRNCY=USD","FA_ADJUSTED=Y")</f>
        <v>#NAME?</v>
      </c>
      <c r="AO47" s="36" t="e">
        <f ca="1">_xll.BDP($AD47,AO$10,"BEST_FPERIOD_OVERRIDE=1TY","EQY_FUND_CRNCY=USD","FA_ADJUSTED=Y")</f>
        <v>#NAME?</v>
      </c>
      <c r="AP47" s="36" t="e">
        <f ca="1">_xll.BDP($AD47,AP$10,"BEST_FPERIOD_OVERRIDE=1TY","EQY_FUND_CRNCY=USD","FA_ADJUSTED=Y")</f>
        <v>#NAME?</v>
      </c>
      <c r="AQ47" s="36" t="e">
        <f ca="1">_xll.BDP($AD47,AQ$10,"EQY_FUND_CRNCY=USD","FA_ADJUSTED=Y")</f>
        <v>#NAME?</v>
      </c>
      <c r="AR47" s="36" t="e">
        <f ca="1">_xll.BDP($AD47,AR$10,"BEST_FPERIOD_OVERRIDE=1TY","EQY_FUND_CRNCY=USD","FA_ADJUSTED=Y")</f>
        <v>#NAME?</v>
      </c>
      <c r="AS47" s="36" t="e">
        <f ca="1">_xll.BDP($AD47,AS$10,"EQY_FUND_CRNCY=USD","FA_ADJUSTED=Y")</f>
        <v>#NAME?</v>
      </c>
      <c r="AT47" s="36" t="e">
        <f ca="1">_xll.BDP($AD47,AT$10,"BEST_FPERIOD_OVERRIDE=1TY","EQY_FUND_CRNCY=USD","FA_ADJUSTED=Y")</f>
        <v>#NAME?</v>
      </c>
      <c r="AV47" s="1" t="s">
        <v>67</v>
      </c>
      <c r="AW47" s="1" t="s">
        <v>68</v>
      </c>
      <c r="AX47" s="36" t="s">
        <v>495</v>
      </c>
      <c r="AY47" s="36">
        <v>12978.531999999999</v>
      </c>
      <c r="AZ47" s="36">
        <v>12773.614</v>
      </c>
      <c r="BA47" s="36">
        <v>2069.8940000000002</v>
      </c>
      <c r="BB47" s="36">
        <v>2201.5</v>
      </c>
      <c r="BC47" s="44">
        <v>6.3581033618146598E-2</v>
      </c>
      <c r="BD47" s="36">
        <v>1826.9869919433593</v>
      </c>
      <c r="BE47" s="36">
        <v>90.5</v>
      </c>
      <c r="BF47" s="36">
        <v>804.22299999999996</v>
      </c>
      <c r="BG47" s="36">
        <v>419.161</v>
      </c>
      <c r="BH47" s="36">
        <v>134.18100000000001</v>
      </c>
      <c r="BI47" s="36">
        <v>518.21699999999998</v>
      </c>
      <c r="BJ47" s="36">
        <v>749</v>
      </c>
      <c r="BK47" s="36">
        <v>347.59648759077601</v>
      </c>
      <c r="BL47" s="36">
        <v>523.6</v>
      </c>
    </row>
    <row r="48" spans="1:64" ht="30" customHeight="1" x14ac:dyDescent="0.2">
      <c r="B48" s="63"/>
      <c r="C48" s="63"/>
      <c r="D48" s="63"/>
      <c r="E48" s="63"/>
      <c r="F48" s="63"/>
      <c r="G48" s="64" t="s">
        <v>483</v>
      </c>
      <c r="H48" s="29" t="e">
        <f t="shared" ref="H48:M48" si="9">AVERAGE(H42:H47)</f>
        <v>#REF!</v>
      </c>
      <c r="I48" s="30" t="e">
        <f t="shared" si="9"/>
        <v>#REF!</v>
      </c>
      <c r="J48" s="32" t="e">
        <f t="shared" si="9"/>
        <v>#REF!</v>
      </c>
      <c r="K48" s="32" t="e">
        <f t="shared" si="9"/>
        <v>#REF!</v>
      </c>
      <c r="L48" s="33" t="e">
        <f t="shared" si="9"/>
        <v>#REF!</v>
      </c>
      <c r="M48" s="33" t="e">
        <f t="shared" si="9"/>
        <v>#REF!</v>
      </c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1" t="s">
        <v>69</v>
      </c>
      <c r="AE48" s="1" t="s">
        <v>70</v>
      </c>
      <c r="AF48" s="36" t="e">
        <f ca="1">_xll.BDP($AD48,AF$10)</f>
        <v>#NAME?</v>
      </c>
      <c r="AG48" s="36" t="e">
        <f ca="1">_xll.BDH($AD48,AG$10,$C$5,$C$5,"EQY_FUND_CRNCY=USD")</f>
        <v>#NAME?</v>
      </c>
      <c r="AH48" s="36" t="e">
        <f ca="1">_xll.BDH($AD48,AH$10,$C$5,$C$5,"EQY_FUND_CRNCY=USD")</f>
        <v>#NAME?</v>
      </c>
      <c r="AI48" s="36" t="e">
        <f ca="1">_xll.BDP($AD48,AI$10,"EQY_FUND_CRNCY=USD","FA_ADJUSTED=Y")</f>
        <v>#NAME?</v>
      </c>
      <c r="AJ48" s="36" t="e">
        <f ca="1">_xll.BDP($AD48,AJ$10,"BEST_FPERIOD_OVERRIDE=1TY","EQY_FUND_CRNCY=USD","FA_ADJUSTED=Y")</f>
        <v>#NAME?</v>
      </c>
      <c r="AK48" s="44" t="e">
        <f t="shared" ca="1" si="3"/>
        <v>#NAME?</v>
      </c>
      <c r="AL48" s="36" t="e">
        <f ca="1">_xll.BDP($AD48,AL$10,"EQY_FUND_CRNCY=USD","FA_ADJUSTED=Y")</f>
        <v>#NAME?</v>
      </c>
      <c r="AM48" s="36" t="e">
        <f ca="1">_xll.BDP($AD48,AM$10,"BEST_FPERIOD_OVERRIDE=1TY","EQY_FUND_CRNCY=USD","FA_ADJUSTED=Y")</f>
        <v>#NAME?</v>
      </c>
      <c r="AN48" s="36" t="e">
        <f ca="1">_xll.BDP($AD48,AN$10,"BEST_FPERIOD_OVERRIDE=1TY","EQY_FUND_CRNCY=USD","FA_ADJUSTED=Y")</f>
        <v>#NAME?</v>
      </c>
      <c r="AO48" s="36" t="e">
        <f ca="1">_xll.BDP($AD48,AO$10,"BEST_FPERIOD_OVERRIDE=1TY","EQY_FUND_CRNCY=USD","FA_ADJUSTED=Y")</f>
        <v>#NAME?</v>
      </c>
      <c r="AP48" s="36" t="e">
        <f ca="1">_xll.BDP($AD48,AP$10,"BEST_FPERIOD_OVERRIDE=1TY","EQY_FUND_CRNCY=USD","FA_ADJUSTED=Y")</f>
        <v>#NAME?</v>
      </c>
      <c r="AQ48" s="36" t="e">
        <f ca="1">_xll.BDP($AD48,AQ$10,"EQY_FUND_CRNCY=USD","FA_ADJUSTED=Y")</f>
        <v>#NAME?</v>
      </c>
      <c r="AR48" s="36" t="e">
        <f ca="1">_xll.BDP($AD48,AR$10,"BEST_FPERIOD_OVERRIDE=1TY","EQY_FUND_CRNCY=USD","FA_ADJUSTED=Y")</f>
        <v>#NAME?</v>
      </c>
      <c r="AS48" s="36" t="e">
        <f ca="1">_xll.BDP($AD48,AS$10,"EQY_FUND_CRNCY=USD","FA_ADJUSTED=Y")</f>
        <v>#NAME?</v>
      </c>
      <c r="AT48" s="36" t="e">
        <f ca="1">_xll.BDP($AD48,AT$10,"BEST_FPERIOD_OVERRIDE=1TY","EQY_FUND_CRNCY=USD","FA_ADJUSTED=Y")</f>
        <v>#NAME?</v>
      </c>
      <c r="AV48" s="1" t="s">
        <v>69</v>
      </c>
      <c r="AW48" s="1" t="s">
        <v>70</v>
      </c>
      <c r="AX48" s="36" t="s">
        <v>495</v>
      </c>
      <c r="AY48" s="36">
        <v>12412.0106</v>
      </c>
      <c r="AZ48" s="36">
        <v>11715.847599999999</v>
      </c>
      <c r="BA48" s="36">
        <v>1172.3630000000001</v>
      </c>
      <c r="BB48" s="36">
        <v>1282.5710000000001</v>
      </c>
      <c r="BC48" s="44">
        <v>9.4005013805451121E-2</v>
      </c>
      <c r="BD48" s="36">
        <v>1016.0799910888672</v>
      </c>
      <c r="BE48" s="36">
        <v>89.063000000000002</v>
      </c>
      <c r="BF48" s="36">
        <v>202.74599999999998</v>
      </c>
      <c r="BG48" s="36" t="s">
        <v>480</v>
      </c>
      <c r="BH48" s="36" t="s">
        <v>480</v>
      </c>
      <c r="BI48" s="36">
        <v>497.34900000000005</v>
      </c>
      <c r="BJ48" s="36">
        <v>591.66700000000003</v>
      </c>
      <c r="BK48" s="36">
        <v>334.11229267563596</v>
      </c>
      <c r="BL48" s="36">
        <v>429.33500000000004</v>
      </c>
    </row>
    <row r="49" spans="1:64" ht="30" customHeight="1" x14ac:dyDescent="0.2">
      <c r="B49" s="63"/>
      <c r="C49" s="63"/>
      <c r="D49" s="63"/>
      <c r="E49" s="63"/>
      <c r="F49" s="63"/>
      <c r="G49" s="64" t="s">
        <v>484</v>
      </c>
      <c r="H49" s="29" t="e">
        <f t="shared" ref="H49:M49" si="10">MEDIAN(H42:H47)</f>
        <v>#REF!</v>
      </c>
      <c r="I49" s="30" t="e">
        <f t="shared" si="10"/>
        <v>#REF!</v>
      </c>
      <c r="J49" s="32" t="e">
        <f t="shared" si="10"/>
        <v>#REF!</v>
      </c>
      <c r="K49" s="32" t="e">
        <f t="shared" si="10"/>
        <v>#REF!</v>
      </c>
      <c r="L49" s="33" t="e">
        <f t="shared" si="10"/>
        <v>#REF!</v>
      </c>
      <c r="M49" s="33" t="e">
        <f t="shared" si="10"/>
        <v>#REF!</v>
      </c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  <c r="AA49" s="65"/>
      <c r="AB49" s="65"/>
      <c r="AC49" s="65"/>
      <c r="AD49" s="1" t="s">
        <v>71</v>
      </c>
      <c r="AE49" s="1" t="s">
        <v>72</v>
      </c>
      <c r="AF49" s="36" t="e">
        <f ca="1">_xll.BDP($AD49,AF$10)</f>
        <v>#NAME?</v>
      </c>
      <c r="AG49" s="36" t="e">
        <f ca="1">_xll.BDH($AD49,AG$10,$C$5,$C$5,"EQY_FUND_CRNCY=USD")</f>
        <v>#NAME?</v>
      </c>
      <c r="AH49" s="36" t="e">
        <f ca="1">_xll.BDH($AD49,AH$10,$C$5,$C$5,"EQY_FUND_CRNCY=USD")</f>
        <v>#NAME?</v>
      </c>
      <c r="AI49" s="36" t="e">
        <f ca="1">_xll.BDP($AD49,AI$10,"EQY_FUND_CRNCY=USD","FA_ADJUSTED=Y")</f>
        <v>#NAME?</v>
      </c>
      <c r="AJ49" s="36" t="e">
        <f ca="1">_xll.BDP($AD49,AJ$10,"BEST_FPERIOD_OVERRIDE=1TY","EQY_FUND_CRNCY=USD","FA_ADJUSTED=Y")</f>
        <v>#NAME?</v>
      </c>
      <c r="AK49" s="44" t="e">
        <f t="shared" ca="1" si="3"/>
        <v>#NAME?</v>
      </c>
      <c r="AL49" s="36" t="e">
        <f ca="1">_xll.BDP($AD49,AL$10,"EQY_FUND_CRNCY=USD","FA_ADJUSTED=Y")</f>
        <v>#NAME?</v>
      </c>
      <c r="AM49" s="36" t="e">
        <f ca="1">_xll.BDP($AD49,AM$10,"BEST_FPERIOD_OVERRIDE=1TY","EQY_FUND_CRNCY=USD","FA_ADJUSTED=Y")</f>
        <v>#NAME?</v>
      </c>
      <c r="AN49" s="36" t="e">
        <f ca="1">_xll.BDP($AD49,AN$10,"BEST_FPERIOD_OVERRIDE=1TY","EQY_FUND_CRNCY=USD","FA_ADJUSTED=Y")</f>
        <v>#NAME?</v>
      </c>
      <c r="AO49" s="36" t="e">
        <f ca="1">_xll.BDP($AD49,AO$10,"BEST_FPERIOD_OVERRIDE=1TY","EQY_FUND_CRNCY=USD","FA_ADJUSTED=Y")</f>
        <v>#NAME?</v>
      </c>
      <c r="AP49" s="36" t="e">
        <f ca="1">_xll.BDP($AD49,AP$10,"BEST_FPERIOD_OVERRIDE=1TY","EQY_FUND_CRNCY=USD","FA_ADJUSTED=Y")</f>
        <v>#NAME?</v>
      </c>
      <c r="AQ49" s="36" t="e">
        <f ca="1">_xll.BDP($AD49,AQ$10,"EQY_FUND_CRNCY=USD","FA_ADJUSTED=Y")</f>
        <v>#NAME?</v>
      </c>
      <c r="AR49" s="36" t="e">
        <f ca="1">_xll.BDP($AD49,AR$10,"BEST_FPERIOD_OVERRIDE=1TY","EQY_FUND_CRNCY=USD","FA_ADJUSTED=Y")</f>
        <v>#NAME?</v>
      </c>
      <c r="AS49" s="36" t="e">
        <f ca="1">_xll.BDP($AD49,AS$10,"EQY_FUND_CRNCY=USD","FA_ADJUSTED=Y")</f>
        <v>#NAME?</v>
      </c>
      <c r="AT49" s="36" t="e">
        <f ca="1">_xll.BDP($AD49,AT$10,"BEST_FPERIOD_OVERRIDE=1TY","EQY_FUND_CRNCY=USD","FA_ADJUSTED=Y")</f>
        <v>#NAME?</v>
      </c>
      <c r="AV49" s="1" t="s">
        <v>71</v>
      </c>
      <c r="AW49" s="1" t="s">
        <v>72</v>
      </c>
      <c r="AX49" s="36" t="s">
        <v>495</v>
      </c>
      <c r="AY49" s="36">
        <v>12161.8995</v>
      </c>
      <c r="AZ49" s="36">
        <v>18277.499500000002</v>
      </c>
      <c r="BA49" s="36">
        <v>2174.3449999999998</v>
      </c>
      <c r="BB49" s="36">
        <v>4355.393</v>
      </c>
      <c r="BC49" s="44">
        <v>1.003082767454107</v>
      </c>
      <c r="BD49" s="36">
        <v>895.99100952148433</v>
      </c>
      <c r="BE49" s="36">
        <v>41.5</v>
      </c>
      <c r="BF49" s="36">
        <v>153.334</v>
      </c>
      <c r="BG49" s="36">
        <v>118.449</v>
      </c>
      <c r="BH49" s="36">
        <v>120.17400000000001</v>
      </c>
      <c r="BI49" s="36">
        <v>748.41300000000001</v>
      </c>
      <c r="BJ49" s="36">
        <v>1565</v>
      </c>
      <c r="BK49" s="36">
        <v>260.79930813918901</v>
      </c>
      <c r="BL49" s="36">
        <v>771.38900000000001</v>
      </c>
    </row>
    <row r="50" spans="1:64" ht="30" customHeight="1" x14ac:dyDescent="0.2">
      <c r="B50" s="65"/>
      <c r="C50" s="65"/>
      <c r="D50" s="65"/>
      <c r="E50" s="65"/>
      <c r="F50" s="65"/>
      <c r="G50" s="64" t="s">
        <v>485</v>
      </c>
      <c r="H50" s="29" t="e">
        <f t="shared" ref="H50:M50" si="11">MAX(H42:H47)</f>
        <v>#REF!</v>
      </c>
      <c r="I50" s="30" t="e">
        <f t="shared" si="11"/>
        <v>#REF!</v>
      </c>
      <c r="J50" s="32" t="e">
        <f t="shared" si="11"/>
        <v>#REF!</v>
      </c>
      <c r="K50" s="32" t="e">
        <f t="shared" si="11"/>
        <v>#REF!</v>
      </c>
      <c r="L50" s="33" t="e">
        <f t="shared" si="11"/>
        <v>#REF!</v>
      </c>
      <c r="M50" s="33" t="e">
        <f t="shared" si="11"/>
        <v>#REF!</v>
      </c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  <c r="AA50" s="65"/>
      <c r="AB50" s="65"/>
      <c r="AC50" s="65"/>
      <c r="AD50" s="1" t="s">
        <v>73</v>
      </c>
      <c r="AE50" s="1" t="s">
        <v>74</v>
      </c>
      <c r="AF50" s="36" t="e">
        <f ca="1">_xll.BDP($AD50,AF$10)</f>
        <v>#NAME?</v>
      </c>
      <c r="AG50" s="36" t="e">
        <f ca="1">_xll.BDH($AD50,AG$10,$C$5,$C$5,"EQY_FUND_CRNCY=USD")</f>
        <v>#NAME?</v>
      </c>
      <c r="AH50" s="36" t="e">
        <f ca="1">_xll.BDH($AD50,AH$10,$C$5,$C$5,"EQY_FUND_CRNCY=USD")</f>
        <v>#NAME?</v>
      </c>
      <c r="AI50" s="36" t="e">
        <f ca="1">_xll.BDP($AD50,AI$10,"EQY_FUND_CRNCY=USD","FA_ADJUSTED=Y")</f>
        <v>#NAME?</v>
      </c>
      <c r="AJ50" s="36" t="e">
        <f ca="1">_xll.BDP($AD50,AJ$10,"BEST_FPERIOD_OVERRIDE=1TY","EQY_FUND_CRNCY=USD","FA_ADJUSTED=Y")</f>
        <v>#NAME?</v>
      </c>
      <c r="AK50" s="44" t="e">
        <f t="shared" ca="1" si="3"/>
        <v>#NAME?</v>
      </c>
      <c r="AL50" s="36" t="e">
        <f ca="1">_xll.BDP($AD50,AL$10,"EQY_FUND_CRNCY=USD","FA_ADJUSTED=Y")</f>
        <v>#NAME?</v>
      </c>
      <c r="AM50" s="36" t="e">
        <f ca="1">_xll.BDP($AD50,AM$10,"BEST_FPERIOD_OVERRIDE=1TY","EQY_FUND_CRNCY=USD","FA_ADJUSTED=Y")</f>
        <v>#NAME?</v>
      </c>
      <c r="AN50" s="36" t="e">
        <f ca="1">_xll.BDP($AD50,AN$10,"BEST_FPERIOD_OVERRIDE=1TY","EQY_FUND_CRNCY=USD","FA_ADJUSTED=Y")</f>
        <v>#NAME?</v>
      </c>
      <c r="AO50" s="36" t="e">
        <f ca="1">_xll.BDP($AD50,AO$10,"BEST_FPERIOD_OVERRIDE=1TY","EQY_FUND_CRNCY=USD","FA_ADJUSTED=Y")</f>
        <v>#NAME?</v>
      </c>
      <c r="AP50" s="36" t="e">
        <f ca="1">_xll.BDP($AD50,AP$10,"BEST_FPERIOD_OVERRIDE=1TY","EQY_FUND_CRNCY=USD","FA_ADJUSTED=Y")</f>
        <v>#NAME?</v>
      </c>
      <c r="AQ50" s="36" t="e">
        <f ca="1">_xll.BDP($AD50,AQ$10,"EQY_FUND_CRNCY=USD","FA_ADJUSTED=Y")</f>
        <v>#NAME?</v>
      </c>
      <c r="AR50" s="36" t="e">
        <f ca="1">_xll.BDP($AD50,AR$10,"BEST_FPERIOD_OVERRIDE=1TY","EQY_FUND_CRNCY=USD","FA_ADJUSTED=Y")</f>
        <v>#NAME?</v>
      </c>
      <c r="AS50" s="36" t="e">
        <f ca="1">_xll.BDP($AD50,AS$10,"EQY_FUND_CRNCY=USD","FA_ADJUSTED=Y")</f>
        <v>#NAME?</v>
      </c>
      <c r="AT50" s="36" t="e">
        <f ca="1">_xll.BDP($AD50,AT$10,"BEST_FPERIOD_OVERRIDE=1TY","EQY_FUND_CRNCY=USD","FA_ADJUSTED=Y")</f>
        <v>#NAME?</v>
      </c>
      <c r="AV50" s="1" t="s">
        <v>73</v>
      </c>
      <c r="AW50" s="1" t="s">
        <v>74</v>
      </c>
      <c r="AX50" s="36" t="s">
        <v>505</v>
      </c>
      <c r="AY50" s="36">
        <v>11921.111500000001</v>
      </c>
      <c r="AZ50" s="36">
        <v>14628.111500000001</v>
      </c>
      <c r="BA50" s="36">
        <v>4827</v>
      </c>
      <c r="BB50" s="36">
        <v>4770.0380000000005</v>
      </c>
      <c r="BC50" s="44">
        <v>-1.180070437124503E-2</v>
      </c>
      <c r="BD50" s="36">
        <v>3803</v>
      </c>
      <c r="BE50" s="36">
        <v>83.521000000000001</v>
      </c>
      <c r="BF50" s="36">
        <v>957</v>
      </c>
      <c r="BG50" s="36">
        <v>1593</v>
      </c>
      <c r="BH50" s="36">
        <v>578</v>
      </c>
      <c r="BI50" s="36">
        <v>1276</v>
      </c>
      <c r="BJ50" s="36">
        <v>2019.2670000000001</v>
      </c>
      <c r="BK50" s="36">
        <v>412.36329172576399</v>
      </c>
      <c r="BL50" s="36">
        <v>1047.7170000000001</v>
      </c>
    </row>
    <row r="51" spans="1:64" ht="30" customHeight="1" x14ac:dyDescent="0.2">
      <c r="B51" s="65"/>
      <c r="C51" s="65"/>
      <c r="D51" s="65"/>
      <c r="E51" s="65"/>
      <c r="F51" s="65"/>
      <c r="G51" s="64" t="s">
        <v>486</v>
      </c>
      <c r="H51" s="29" t="e">
        <f t="shared" ref="H51:M51" si="12">MIN(H42:H47)</f>
        <v>#REF!</v>
      </c>
      <c r="I51" s="30" t="e">
        <f t="shared" si="12"/>
        <v>#REF!</v>
      </c>
      <c r="J51" s="32" t="e">
        <f t="shared" si="12"/>
        <v>#REF!</v>
      </c>
      <c r="K51" s="32" t="e">
        <f t="shared" si="12"/>
        <v>#REF!</v>
      </c>
      <c r="L51" s="33" t="e">
        <f t="shared" si="12"/>
        <v>#REF!</v>
      </c>
      <c r="M51" s="33" t="e">
        <f t="shared" si="12"/>
        <v>#REF!</v>
      </c>
      <c r="N51" s="65"/>
      <c r="O51" s="65"/>
      <c r="P51" s="65"/>
      <c r="Q51" s="65"/>
      <c r="R51" s="65"/>
      <c r="S51" s="65"/>
      <c r="T51" s="65"/>
      <c r="U51" s="65"/>
      <c r="V51" s="65"/>
      <c r="W51" s="65"/>
      <c r="X51" s="65"/>
      <c r="Y51" s="65"/>
      <c r="Z51" s="65"/>
      <c r="AA51" s="65"/>
      <c r="AB51" s="65"/>
      <c r="AC51" s="65"/>
      <c r="AD51" s="1" t="s">
        <v>75</v>
      </c>
      <c r="AE51" s="1" t="s">
        <v>76</v>
      </c>
      <c r="AF51" s="36" t="e">
        <f ca="1">_xll.BDP($AD51,AF$10)</f>
        <v>#NAME?</v>
      </c>
      <c r="AG51" s="36" t="e">
        <f ca="1">_xll.BDH($AD51,AG$10,$C$5,$C$5,"EQY_FUND_CRNCY=USD")</f>
        <v>#NAME?</v>
      </c>
      <c r="AH51" s="36" t="e">
        <f ca="1">_xll.BDH($AD51,AH$10,$C$5,$C$5,"EQY_FUND_CRNCY=USD")</f>
        <v>#NAME?</v>
      </c>
      <c r="AI51" s="36" t="e">
        <f ca="1">_xll.BDP($AD51,AI$10,"EQY_FUND_CRNCY=USD","FA_ADJUSTED=Y")</f>
        <v>#NAME?</v>
      </c>
      <c r="AJ51" s="36" t="e">
        <f ca="1">_xll.BDP($AD51,AJ$10,"BEST_FPERIOD_OVERRIDE=1TY","EQY_FUND_CRNCY=USD","FA_ADJUSTED=Y")</f>
        <v>#NAME?</v>
      </c>
      <c r="AK51" s="44" t="e">
        <f t="shared" ca="1" si="3"/>
        <v>#NAME?</v>
      </c>
      <c r="AL51" s="36" t="e">
        <f ca="1">_xll.BDP($AD51,AL$10,"EQY_FUND_CRNCY=USD","FA_ADJUSTED=Y")</f>
        <v>#NAME?</v>
      </c>
      <c r="AM51" s="36" t="e">
        <f ca="1">_xll.BDP($AD51,AM$10,"BEST_FPERIOD_OVERRIDE=1TY","EQY_FUND_CRNCY=USD","FA_ADJUSTED=Y")</f>
        <v>#NAME?</v>
      </c>
      <c r="AN51" s="36" t="e">
        <f ca="1">_xll.BDP($AD51,AN$10,"BEST_FPERIOD_OVERRIDE=1TY","EQY_FUND_CRNCY=USD","FA_ADJUSTED=Y")</f>
        <v>#NAME?</v>
      </c>
      <c r="AO51" s="36" t="e">
        <f ca="1">_xll.BDP($AD51,AO$10,"BEST_FPERIOD_OVERRIDE=1TY","EQY_FUND_CRNCY=USD","FA_ADJUSTED=Y")</f>
        <v>#NAME?</v>
      </c>
      <c r="AP51" s="36" t="e">
        <f ca="1">_xll.BDP($AD51,AP$10,"BEST_FPERIOD_OVERRIDE=1TY","EQY_FUND_CRNCY=USD","FA_ADJUSTED=Y")</f>
        <v>#NAME?</v>
      </c>
      <c r="AQ51" s="36" t="e">
        <f ca="1">_xll.BDP($AD51,AQ$10,"EQY_FUND_CRNCY=USD","FA_ADJUSTED=Y")</f>
        <v>#NAME?</v>
      </c>
      <c r="AR51" s="36" t="e">
        <f ca="1">_xll.BDP($AD51,AR$10,"BEST_FPERIOD_OVERRIDE=1TY","EQY_FUND_CRNCY=USD","FA_ADJUSTED=Y")</f>
        <v>#NAME?</v>
      </c>
      <c r="AS51" s="36" t="e">
        <f ca="1">_xll.BDP($AD51,AS$10,"EQY_FUND_CRNCY=USD","FA_ADJUSTED=Y")</f>
        <v>#NAME?</v>
      </c>
      <c r="AT51" s="36" t="e">
        <f ca="1">_xll.BDP($AD51,AT$10,"BEST_FPERIOD_OVERRIDE=1TY","EQY_FUND_CRNCY=USD","FA_ADJUSTED=Y")</f>
        <v>#NAME?</v>
      </c>
      <c r="AV51" s="1" t="s">
        <v>75</v>
      </c>
      <c r="AW51" s="1" t="s">
        <v>76</v>
      </c>
      <c r="AX51" s="36" t="s">
        <v>506</v>
      </c>
      <c r="AY51" s="36">
        <v>11691.1903</v>
      </c>
      <c r="AZ51" s="36">
        <v>11659.7503</v>
      </c>
      <c r="BA51" s="36">
        <v>1536.6029999999998</v>
      </c>
      <c r="BB51" s="36">
        <v>1642.25</v>
      </c>
      <c r="BC51" s="44">
        <v>6.8753607795897898E-2</v>
      </c>
      <c r="BD51" s="36">
        <v>662.96098620605471</v>
      </c>
      <c r="BE51" s="36">
        <v>42.582999999999998</v>
      </c>
      <c r="BF51" s="36">
        <v>90.339999999999989</v>
      </c>
      <c r="BG51" s="36" t="s">
        <v>480</v>
      </c>
      <c r="BH51" s="36" t="s">
        <v>480</v>
      </c>
      <c r="BI51" s="36">
        <v>542.40800000000002</v>
      </c>
      <c r="BJ51" s="36">
        <v>568.83299999999997</v>
      </c>
      <c r="BK51" s="36">
        <v>282.15797000000003</v>
      </c>
      <c r="BL51" s="36">
        <v>310.75</v>
      </c>
    </row>
    <row r="52" spans="1:64" x14ac:dyDescent="0.2">
      <c r="AD52" s="1" t="s">
        <v>77</v>
      </c>
      <c r="AE52" s="1" t="s">
        <v>78</v>
      </c>
      <c r="AF52" s="36" t="e">
        <f ca="1">_xll.BDP($AD52,AF$10)</f>
        <v>#NAME?</v>
      </c>
      <c r="AG52" s="36" t="e">
        <f ca="1">_xll.BDH($AD52,AG$10,$C$5,$C$5,"EQY_FUND_CRNCY=USD")</f>
        <v>#NAME?</v>
      </c>
      <c r="AH52" s="36" t="e">
        <f ca="1">_xll.BDH($AD52,AH$10,$C$5,$C$5,"EQY_FUND_CRNCY=USD")</f>
        <v>#NAME?</v>
      </c>
      <c r="AI52" s="36" t="e">
        <f ca="1">_xll.BDP($AD52,AI$10,"EQY_FUND_CRNCY=USD","FA_ADJUSTED=Y")</f>
        <v>#NAME?</v>
      </c>
      <c r="AJ52" s="36" t="e">
        <f ca="1">_xll.BDP($AD52,AJ$10,"BEST_FPERIOD_OVERRIDE=1TY","EQY_FUND_CRNCY=USD","FA_ADJUSTED=Y")</f>
        <v>#NAME?</v>
      </c>
      <c r="AK52" s="44" t="e">
        <f t="shared" ca="1" si="3"/>
        <v>#NAME?</v>
      </c>
      <c r="AL52" s="36" t="e">
        <f ca="1">_xll.BDP($AD52,AL$10,"EQY_FUND_CRNCY=USD","FA_ADJUSTED=Y")</f>
        <v>#NAME?</v>
      </c>
      <c r="AM52" s="36" t="e">
        <f ca="1">_xll.BDP($AD52,AM$10,"BEST_FPERIOD_OVERRIDE=1TY","EQY_FUND_CRNCY=USD","FA_ADJUSTED=Y")</f>
        <v>#NAME?</v>
      </c>
      <c r="AN52" s="36" t="e">
        <f ca="1">_xll.BDP($AD52,AN$10,"BEST_FPERIOD_OVERRIDE=1TY","EQY_FUND_CRNCY=USD","FA_ADJUSTED=Y")</f>
        <v>#NAME?</v>
      </c>
      <c r="AO52" s="36" t="e">
        <f ca="1">_xll.BDP($AD52,AO$10,"BEST_FPERIOD_OVERRIDE=1TY","EQY_FUND_CRNCY=USD","FA_ADJUSTED=Y")</f>
        <v>#NAME?</v>
      </c>
      <c r="AP52" s="36" t="e">
        <f ca="1">_xll.BDP($AD52,AP$10,"BEST_FPERIOD_OVERRIDE=1TY","EQY_FUND_CRNCY=USD","FA_ADJUSTED=Y")</f>
        <v>#NAME?</v>
      </c>
      <c r="AQ52" s="36" t="e">
        <f ca="1">_xll.BDP($AD52,AQ$10,"EQY_FUND_CRNCY=USD","FA_ADJUSTED=Y")</f>
        <v>#NAME?</v>
      </c>
      <c r="AR52" s="36" t="e">
        <f ca="1">_xll.BDP($AD52,AR$10,"BEST_FPERIOD_OVERRIDE=1TY","EQY_FUND_CRNCY=USD","FA_ADJUSTED=Y")</f>
        <v>#NAME?</v>
      </c>
      <c r="AS52" s="36" t="e">
        <f ca="1">_xll.BDP($AD52,AS$10,"EQY_FUND_CRNCY=USD","FA_ADJUSTED=Y")</f>
        <v>#NAME?</v>
      </c>
      <c r="AT52" s="36" t="e">
        <f ca="1">_xll.BDP($AD52,AT$10,"BEST_FPERIOD_OVERRIDE=1TY","EQY_FUND_CRNCY=USD","FA_ADJUSTED=Y")</f>
        <v>#NAME?</v>
      </c>
      <c r="AV52" s="1" t="s">
        <v>77</v>
      </c>
      <c r="AW52" s="1" t="s">
        <v>78</v>
      </c>
      <c r="AX52" s="36" t="s">
        <v>506</v>
      </c>
      <c r="AY52" s="36">
        <v>11146.956</v>
      </c>
      <c r="AZ52" s="36">
        <v>13353.356</v>
      </c>
      <c r="BA52" s="36">
        <v>7841.5</v>
      </c>
      <c r="BB52" s="36">
        <v>8247.7070000000003</v>
      </c>
      <c r="BC52" s="44">
        <v>5.1802206210546542E-2</v>
      </c>
      <c r="BD52" s="36">
        <v>3531.9999511718752</v>
      </c>
      <c r="BE52" s="36">
        <v>45.9</v>
      </c>
      <c r="BF52" s="36">
        <v>0</v>
      </c>
      <c r="BG52" s="36" t="s">
        <v>480</v>
      </c>
      <c r="BH52" s="36">
        <v>166.3</v>
      </c>
      <c r="BI52" s="36">
        <v>2272.1</v>
      </c>
      <c r="BJ52" s="36">
        <v>2256.143</v>
      </c>
      <c r="BK52" s="36">
        <v>884.5</v>
      </c>
      <c r="BL52" s="36">
        <v>1348.825</v>
      </c>
    </row>
    <row r="53" spans="1:64" ht="30" customHeight="1" x14ac:dyDescent="0.2">
      <c r="A53" s="2" t="s">
        <v>457</v>
      </c>
      <c r="B53" s="45" t="s">
        <v>488</v>
      </c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" t="s">
        <v>457</v>
      </c>
      <c r="AD53" s="1" t="s">
        <v>79</v>
      </c>
      <c r="AE53" s="1" t="s">
        <v>80</v>
      </c>
      <c r="AF53" s="36" t="e">
        <f ca="1">_xll.BDP($AD53,AF$10)</f>
        <v>#NAME?</v>
      </c>
      <c r="AG53" s="36" t="e">
        <f ca="1">_xll.BDH($AD53,AG$10,$C$5,$C$5,"EQY_FUND_CRNCY=USD")</f>
        <v>#NAME?</v>
      </c>
      <c r="AH53" s="36" t="e">
        <f ca="1">_xll.BDH($AD53,AH$10,$C$5,$C$5,"EQY_FUND_CRNCY=USD")</f>
        <v>#NAME?</v>
      </c>
      <c r="AI53" s="36" t="e">
        <f ca="1">_xll.BDP($AD53,AI$10,"EQY_FUND_CRNCY=USD","FA_ADJUSTED=Y")</f>
        <v>#NAME?</v>
      </c>
      <c r="AJ53" s="36" t="e">
        <f ca="1">_xll.BDP($AD53,AJ$10,"BEST_FPERIOD_OVERRIDE=1TY","EQY_FUND_CRNCY=USD","FA_ADJUSTED=Y")</f>
        <v>#NAME?</v>
      </c>
      <c r="AK53" s="44" t="e">
        <f t="shared" ca="1" si="3"/>
        <v>#NAME?</v>
      </c>
      <c r="AL53" s="36" t="e">
        <f ca="1">_xll.BDP($AD53,AL$10,"EQY_FUND_CRNCY=USD","FA_ADJUSTED=Y")</f>
        <v>#NAME?</v>
      </c>
      <c r="AM53" s="36" t="e">
        <f ca="1">_xll.BDP($AD53,AM$10,"BEST_FPERIOD_OVERRIDE=1TY","EQY_FUND_CRNCY=USD","FA_ADJUSTED=Y")</f>
        <v>#NAME?</v>
      </c>
      <c r="AN53" s="36" t="e">
        <f ca="1">_xll.BDP($AD53,AN$10,"BEST_FPERIOD_OVERRIDE=1TY","EQY_FUND_CRNCY=USD","FA_ADJUSTED=Y")</f>
        <v>#NAME?</v>
      </c>
      <c r="AO53" s="36" t="e">
        <f ca="1">_xll.BDP($AD53,AO$10,"BEST_FPERIOD_OVERRIDE=1TY","EQY_FUND_CRNCY=USD","FA_ADJUSTED=Y")</f>
        <v>#NAME?</v>
      </c>
      <c r="AP53" s="36" t="e">
        <f ca="1">_xll.BDP($AD53,AP$10,"BEST_FPERIOD_OVERRIDE=1TY","EQY_FUND_CRNCY=USD","FA_ADJUSTED=Y")</f>
        <v>#NAME?</v>
      </c>
      <c r="AQ53" s="36" t="e">
        <f ca="1">_xll.BDP($AD53,AQ$10,"EQY_FUND_CRNCY=USD","FA_ADJUSTED=Y")</f>
        <v>#NAME?</v>
      </c>
      <c r="AR53" s="36" t="e">
        <f ca="1">_xll.BDP($AD53,AR$10,"BEST_FPERIOD_OVERRIDE=1TY","EQY_FUND_CRNCY=USD","FA_ADJUSTED=Y")</f>
        <v>#NAME?</v>
      </c>
      <c r="AS53" s="36" t="e">
        <f ca="1">_xll.BDP($AD53,AS$10,"EQY_FUND_CRNCY=USD","FA_ADJUSTED=Y")</f>
        <v>#NAME?</v>
      </c>
      <c r="AT53" s="36" t="e">
        <f ca="1">_xll.BDP($AD53,AT$10,"BEST_FPERIOD_OVERRIDE=1TY","EQY_FUND_CRNCY=USD","FA_ADJUSTED=Y")</f>
        <v>#NAME?</v>
      </c>
      <c r="AV53" s="1" t="s">
        <v>79</v>
      </c>
      <c r="AW53" s="1" t="s">
        <v>80</v>
      </c>
      <c r="AX53" s="36" t="s">
        <v>495</v>
      </c>
      <c r="AY53" s="36">
        <v>10263.557500000001</v>
      </c>
      <c r="AZ53" s="36">
        <v>10635.886500000001</v>
      </c>
      <c r="BA53" s="36">
        <v>1235.683</v>
      </c>
      <c r="BB53" s="36">
        <v>1329.231</v>
      </c>
      <c r="BC53" s="44">
        <v>7.5705500520764524E-2</v>
      </c>
      <c r="BD53" s="36">
        <v>904.73300866699219</v>
      </c>
      <c r="BE53" s="36">
        <v>78.055999999999997</v>
      </c>
      <c r="BF53" s="36">
        <v>236.059</v>
      </c>
      <c r="BG53" s="36">
        <v>372.94600000000003</v>
      </c>
      <c r="BH53" s="36">
        <v>145.06700000000001</v>
      </c>
      <c r="BI53" s="36">
        <v>170.774</v>
      </c>
      <c r="BJ53" s="36">
        <v>372.6</v>
      </c>
      <c r="BK53" s="36">
        <v>48.873303467433999</v>
      </c>
      <c r="BL53" s="36">
        <v>217.095</v>
      </c>
    </row>
    <row r="54" spans="1:64" ht="47.25" x14ac:dyDescent="0.2">
      <c r="B54" s="10" t="s">
        <v>424</v>
      </c>
      <c r="C54" s="10" t="s">
        <v>425</v>
      </c>
      <c r="D54" s="11" t="s">
        <v>426</v>
      </c>
      <c r="E54" s="11" t="s">
        <v>427</v>
      </c>
      <c r="F54" s="12" t="s">
        <v>428</v>
      </c>
      <c r="G54" s="13"/>
      <c r="H54" s="14" t="s">
        <v>429</v>
      </c>
      <c r="I54" s="13"/>
      <c r="J54" s="12" t="s">
        <v>430</v>
      </c>
      <c r="K54" s="12" t="s">
        <v>431</v>
      </c>
      <c r="L54" s="15" t="s">
        <v>432</v>
      </c>
      <c r="M54" s="15" t="s">
        <v>433</v>
      </c>
      <c r="AD54" s="1" t="s">
        <v>81</v>
      </c>
      <c r="AE54" s="1" t="s">
        <v>82</v>
      </c>
      <c r="AF54" s="36" t="e">
        <f ca="1">_xll.BDP($AD54,AF$10)</f>
        <v>#NAME?</v>
      </c>
      <c r="AG54" s="36" t="e">
        <f ca="1">_xll.BDH($AD54,AG$10,$C$5,$C$5,"EQY_FUND_CRNCY=USD")</f>
        <v>#NAME?</v>
      </c>
      <c r="AH54" s="36" t="e">
        <f ca="1">_xll.BDH($AD54,AH$10,$C$5,$C$5,"EQY_FUND_CRNCY=USD")</f>
        <v>#NAME?</v>
      </c>
      <c r="AI54" s="36" t="e">
        <f ca="1">_xll.BDP($AD54,AI$10,"EQY_FUND_CRNCY=USD","FA_ADJUSTED=Y")</f>
        <v>#NAME?</v>
      </c>
      <c r="AJ54" s="36" t="e">
        <f ca="1">_xll.BDP($AD54,AJ$10,"BEST_FPERIOD_OVERRIDE=1TY","EQY_FUND_CRNCY=USD","FA_ADJUSTED=Y")</f>
        <v>#NAME?</v>
      </c>
      <c r="AK54" s="44" t="e">
        <f t="shared" ca="1" si="3"/>
        <v>#NAME?</v>
      </c>
      <c r="AL54" s="36" t="e">
        <f ca="1">_xll.BDP($AD54,AL$10,"EQY_FUND_CRNCY=USD","FA_ADJUSTED=Y")</f>
        <v>#NAME?</v>
      </c>
      <c r="AM54" s="36" t="e">
        <f ca="1">_xll.BDP($AD54,AM$10,"BEST_FPERIOD_OVERRIDE=1TY","EQY_FUND_CRNCY=USD","FA_ADJUSTED=Y")</f>
        <v>#NAME?</v>
      </c>
      <c r="AN54" s="36" t="e">
        <f ca="1">_xll.BDP($AD54,AN$10,"BEST_FPERIOD_OVERRIDE=1TY","EQY_FUND_CRNCY=USD","FA_ADJUSTED=Y")</f>
        <v>#NAME?</v>
      </c>
      <c r="AO54" s="36" t="e">
        <f ca="1">_xll.BDP($AD54,AO$10,"BEST_FPERIOD_OVERRIDE=1TY","EQY_FUND_CRNCY=USD","FA_ADJUSTED=Y")</f>
        <v>#NAME?</v>
      </c>
      <c r="AP54" s="36" t="e">
        <f ca="1">_xll.BDP($AD54,AP$10,"BEST_FPERIOD_OVERRIDE=1TY","EQY_FUND_CRNCY=USD","FA_ADJUSTED=Y")</f>
        <v>#NAME?</v>
      </c>
      <c r="AQ54" s="36" t="e">
        <f ca="1">_xll.BDP($AD54,AQ$10,"EQY_FUND_CRNCY=USD","FA_ADJUSTED=Y")</f>
        <v>#NAME?</v>
      </c>
      <c r="AR54" s="36" t="e">
        <f ca="1">_xll.BDP($AD54,AR$10,"BEST_FPERIOD_OVERRIDE=1TY","EQY_FUND_CRNCY=USD","FA_ADJUSTED=Y")</f>
        <v>#NAME?</v>
      </c>
      <c r="AS54" s="36" t="e">
        <f ca="1">_xll.BDP($AD54,AS$10,"EQY_FUND_CRNCY=USD","FA_ADJUSTED=Y")</f>
        <v>#NAME?</v>
      </c>
      <c r="AT54" s="36" t="e">
        <f ca="1">_xll.BDP($AD54,AT$10,"BEST_FPERIOD_OVERRIDE=1TY","EQY_FUND_CRNCY=USD","FA_ADJUSTED=Y")</f>
        <v>#NAME?</v>
      </c>
      <c r="AV54" s="1" t="s">
        <v>81</v>
      </c>
      <c r="AW54" s="1" t="s">
        <v>82</v>
      </c>
      <c r="AX54" s="36" t="s">
        <v>506</v>
      </c>
      <c r="AY54" s="36">
        <v>10068.413699999999</v>
      </c>
      <c r="AZ54" s="36">
        <v>10049.311299999999</v>
      </c>
      <c r="BA54" s="36">
        <v>790.56539690225225</v>
      </c>
      <c r="BB54" s="36">
        <v>1373.425</v>
      </c>
      <c r="BC54" s="44">
        <v>0.73726930799352219</v>
      </c>
      <c r="BD54" s="36">
        <v>375.64298104046151</v>
      </c>
      <c r="BE54" s="36">
        <v>57.4</v>
      </c>
      <c r="BF54" s="36">
        <v>0</v>
      </c>
      <c r="BG54" s="36">
        <v>76.995211344008382</v>
      </c>
      <c r="BH54" s="36">
        <v>47.989678864420718</v>
      </c>
      <c r="BI54" s="36">
        <v>266.81505779650513</v>
      </c>
      <c r="BJ54" s="36">
        <v>498.81</v>
      </c>
      <c r="BK54" s="36">
        <v>149.9999767353207</v>
      </c>
      <c r="BL54" s="36">
        <v>349.94299999999998</v>
      </c>
    </row>
    <row r="55" spans="1:64" ht="15.75" x14ac:dyDescent="0.2">
      <c r="B55" s="18"/>
      <c r="C55" s="18"/>
      <c r="D55" s="18"/>
      <c r="E55" s="18"/>
      <c r="F55" s="19" t="s">
        <v>440</v>
      </c>
      <c r="G55" s="20" t="s">
        <v>441</v>
      </c>
      <c r="H55" s="19" t="s">
        <v>440</v>
      </c>
      <c r="I55" s="20" t="s">
        <v>441</v>
      </c>
      <c r="J55" s="19" t="s">
        <v>441</v>
      </c>
      <c r="K55" s="19" t="s">
        <v>440</v>
      </c>
      <c r="L55" s="20" t="s">
        <v>440</v>
      </c>
      <c r="M55" s="20" t="s">
        <v>440</v>
      </c>
      <c r="AD55" s="1" t="s">
        <v>83</v>
      </c>
      <c r="AE55" s="1" t="s">
        <v>84</v>
      </c>
      <c r="AF55" s="36" t="e">
        <f ca="1">_xll.BDP($AD55,AF$10)</f>
        <v>#NAME?</v>
      </c>
      <c r="AG55" s="36" t="e">
        <f ca="1">_xll.BDH($AD55,AG$10,$C$5,$C$5,"EQY_FUND_CRNCY=USD")</f>
        <v>#NAME?</v>
      </c>
      <c r="AH55" s="36" t="e">
        <f ca="1">_xll.BDH($AD55,AH$10,$C$5,$C$5,"EQY_FUND_CRNCY=USD")</f>
        <v>#NAME?</v>
      </c>
      <c r="AI55" s="36" t="e">
        <f ca="1">_xll.BDP($AD55,AI$10,"EQY_FUND_CRNCY=USD","FA_ADJUSTED=Y")</f>
        <v>#NAME?</v>
      </c>
      <c r="AJ55" s="36" t="e">
        <f ca="1">_xll.BDP($AD55,AJ$10,"BEST_FPERIOD_OVERRIDE=1TY","EQY_FUND_CRNCY=USD","FA_ADJUSTED=Y")</f>
        <v>#NAME?</v>
      </c>
      <c r="AK55" s="44" t="e">
        <f t="shared" ca="1" si="3"/>
        <v>#NAME?</v>
      </c>
      <c r="AL55" s="36" t="e">
        <f ca="1">_xll.BDP($AD55,AL$10,"EQY_FUND_CRNCY=USD","FA_ADJUSTED=Y")</f>
        <v>#NAME?</v>
      </c>
      <c r="AM55" s="36" t="e">
        <f ca="1">_xll.BDP($AD55,AM$10,"BEST_FPERIOD_OVERRIDE=1TY","EQY_FUND_CRNCY=USD","FA_ADJUSTED=Y")</f>
        <v>#NAME?</v>
      </c>
      <c r="AN55" s="36" t="e">
        <f ca="1">_xll.BDP($AD55,AN$10,"BEST_FPERIOD_OVERRIDE=1TY","EQY_FUND_CRNCY=USD","FA_ADJUSTED=Y")</f>
        <v>#NAME?</v>
      </c>
      <c r="AO55" s="36" t="e">
        <f ca="1">_xll.BDP($AD55,AO$10,"BEST_FPERIOD_OVERRIDE=1TY","EQY_FUND_CRNCY=USD","FA_ADJUSTED=Y")</f>
        <v>#NAME?</v>
      </c>
      <c r="AP55" s="36" t="e">
        <f ca="1">_xll.BDP($AD55,AP$10,"BEST_FPERIOD_OVERRIDE=1TY","EQY_FUND_CRNCY=USD","FA_ADJUSTED=Y")</f>
        <v>#NAME?</v>
      </c>
      <c r="AQ55" s="36" t="e">
        <f ca="1">_xll.BDP($AD55,AQ$10,"EQY_FUND_CRNCY=USD","FA_ADJUSTED=Y")</f>
        <v>#NAME?</v>
      </c>
      <c r="AR55" s="36" t="e">
        <f ca="1">_xll.BDP($AD55,AR$10,"BEST_FPERIOD_OVERRIDE=1TY","EQY_FUND_CRNCY=USD","FA_ADJUSTED=Y")</f>
        <v>#NAME?</v>
      </c>
      <c r="AS55" s="36" t="e">
        <f ca="1">_xll.BDP($AD55,AS$10,"EQY_FUND_CRNCY=USD","FA_ADJUSTED=Y")</f>
        <v>#NAME?</v>
      </c>
      <c r="AT55" s="36" t="e">
        <f ca="1">_xll.BDP($AD55,AT$10,"BEST_FPERIOD_OVERRIDE=1TY","EQY_FUND_CRNCY=USD","FA_ADJUSTED=Y")</f>
        <v>#NAME?</v>
      </c>
      <c r="AV55" s="1" t="s">
        <v>83</v>
      </c>
      <c r="AW55" s="1" t="s">
        <v>84</v>
      </c>
      <c r="AX55" s="36" t="s">
        <v>495</v>
      </c>
      <c r="AY55" s="36">
        <v>9184.6566000000003</v>
      </c>
      <c r="AZ55" s="36">
        <v>9553.6566000000003</v>
      </c>
      <c r="BA55" s="36">
        <v>1106.8</v>
      </c>
      <c r="BB55" s="36">
        <v>1480.6469999999999</v>
      </c>
      <c r="BC55" s="44">
        <v>0.33777285869172391</v>
      </c>
      <c r="BD55" s="36">
        <v>737.9</v>
      </c>
      <c r="BE55" s="36">
        <v>74.016999999999996</v>
      </c>
      <c r="BF55" s="36">
        <v>380.29999999999995</v>
      </c>
      <c r="BG55" s="36">
        <v>314</v>
      </c>
      <c r="BH55" s="36">
        <v>157.30000000000001</v>
      </c>
      <c r="BI55" s="36">
        <v>68.100000000000009</v>
      </c>
      <c r="BJ55" s="36">
        <v>323.16000000000003</v>
      </c>
      <c r="BK55" s="36">
        <v>-50</v>
      </c>
      <c r="BL55" s="36">
        <v>133.304</v>
      </c>
    </row>
    <row r="56" spans="1:64" ht="30" customHeight="1" x14ac:dyDescent="0.2">
      <c r="B56" s="46" t="str">
        <f t="shared" ref="B56:M56" si="13">B$9</f>
        <v>Databricks</v>
      </c>
      <c r="C56" s="46" t="str">
        <f t="shared" si="13"/>
        <v>Advanced big data processing company.</v>
      </c>
      <c r="D56" s="47">
        <f t="shared" si="13"/>
        <v>0</v>
      </c>
      <c r="E56" s="47">
        <f t="shared" si="13"/>
        <v>0</v>
      </c>
      <c r="F56" s="48">
        <f t="shared" si="13"/>
        <v>0</v>
      </c>
      <c r="G56" s="49">
        <f t="shared" si="13"/>
        <v>0</v>
      </c>
      <c r="H56" s="50" t="e">
        <f t="shared" si="13"/>
        <v>#DIV/0!</v>
      </c>
      <c r="I56" s="51" t="e">
        <f t="shared" si="13"/>
        <v>#DIV/0!</v>
      </c>
      <c r="J56" s="52" t="e">
        <f t="shared" si="13"/>
        <v>#DIV/0!</v>
      </c>
      <c r="K56" s="52" t="e">
        <f t="shared" si="13"/>
        <v>#DIV/0!</v>
      </c>
      <c r="L56" s="53" t="e">
        <f t="shared" si="13"/>
        <v>#DIV/0!</v>
      </c>
      <c r="M56" s="53" t="e">
        <f t="shared" si="13"/>
        <v>#DIV/0!</v>
      </c>
      <c r="AD56" s="1" t="s">
        <v>85</v>
      </c>
      <c r="AE56" s="1" t="s">
        <v>86</v>
      </c>
      <c r="AF56" s="36" t="e">
        <f ca="1">_xll.BDP($AD56,AF$10)</f>
        <v>#NAME?</v>
      </c>
      <c r="AG56" s="36" t="e">
        <f ca="1">_xll.BDH($AD56,AG$10,$C$5,$C$5,"EQY_FUND_CRNCY=USD")</f>
        <v>#NAME?</v>
      </c>
      <c r="AH56" s="36" t="e">
        <f ca="1">_xll.BDH($AD56,AH$10,$C$5,$C$5,"EQY_FUND_CRNCY=USD")</f>
        <v>#NAME?</v>
      </c>
      <c r="AI56" s="36" t="e">
        <f ca="1">_xll.BDP($AD56,AI$10,"EQY_FUND_CRNCY=USD","FA_ADJUSTED=Y")</f>
        <v>#NAME?</v>
      </c>
      <c r="AJ56" s="36" t="e">
        <f ca="1">_xll.BDP($AD56,AJ$10,"BEST_FPERIOD_OVERRIDE=1TY","EQY_FUND_CRNCY=USD","FA_ADJUSTED=Y")</f>
        <v>#NAME?</v>
      </c>
      <c r="AK56" s="44" t="e">
        <f t="shared" ca="1" si="3"/>
        <v>#NAME?</v>
      </c>
      <c r="AL56" s="36" t="e">
        <f ca="1">_xll.BDP($AD56,AL$10,"EQY_FUND_CRNCY=USD","FA_ADJUSTED=Y")</f>
        <v>#NAME?</v>
      </c>
      <c r="AM56" s="36" t="e">
        <f ca="1">_xll.BDP($AD56,AM$10,"BEST_FPERIOD_OVERRIDE=1TY","EQY_FUND_CRNCY=USD","FA_ADJUSTED=Y")</f>
        <v>#NAME?</v>
      </c>
      <c r="AN56" s="36" t="e">
        <f ca="1">_xll.BDP($AD56,AN$10,"BEST_FPERIOD_OVERRIDE=1TY","EQY_FUND_CRNCY=USD","FA_ADJUSTED=Y")</f>
        <v>#NAME?</v>
      </c>
      <c r="AO56" s="36" t="e">
        <f ca="1">_xll.BDP($AD56,AO$10,"BEST_FPERIOD_OVERRIDE=1TY","EQY_FUND_CRNCY=USD","FA_ADJUSTED=Y")</f>
        <v>#NAME?</v>
      </c>
      <c r="AP56" s="36" t="e">
        <f ca="1">_xll.BDP($AD56,AP$10,"BEST_FPERIOD_OVERRIDE=1TY","EQY_FUND_CRNCY=USD","FA_ADJUSTED=Y")</f>
        <v>#NAME?</v>
      </c>
      <c r="AQ56" s="36" t="e">
        <f ca="1">_xll.BDP($AD56,AQ$10,"EQY_FUND_CRNCY=USD","FA_ADJUSTED=Y")</f>
        <v>#NAME?</v>
      </c>
      <c r="AR56" s="36" t="e">
        <f ca="1">_xll.BDP($AD56,AR$10,"BEST_FPERIOD_OVERRIDE=1TY","EQY_FUND_CRNCY=USD","FA_ADJUSTED=Y")</f>
        <v>#NAME?</v>
      </c>
      <c r="AS56" s="36" t="e">
        <f ca="1">_xll.BDP($AD56,AS$10,"EQY_FUND_CRNCY=USD","FA_ADJUSTED=Y")</f>
        <v>#NAME?</v>
      </c>
      <c r="AT56" s="36" t="e">
        <f ca="1">_xll.BDP($AD56,AT$10,"BEST_FPERIOD_OVERRIDE=1TY","EQY_FUND_CRNCY=USD","FA_ADJUSTED=Y")</f>
        <v>#NAME?</v>
      </c>
      <c r="AV56" s="1" t="s">
        <v>85</v>
      </c>
      <c r="AW56" s="1" t="s">
        <v>86</v>
      </c>
      <c r="AX56" s="36" t="s">
        <v>495</v>
      </c>
      <c r="AY56" s="36">
        <v>9193.2610000000004</v>
      </c>
      <c r="AZ56" s="36">
        <v>11155.011</v>
      </c>
      <c r="BA56" s="36">
        <v>2815.241</v>
      </c>
      <c r="BB56" s="36">
        <v>2896.0419999999999</v>
      </c>
      <c r="BC56" s="44">
        <v>2.8701272821758383E-2</v>
      </c>
      <c r="BD56" s="36">
        <v>1863.8300090332032</v>
      </c>
      <c r="BE56" s="36">
        <v>72.183000000000007</v>
      </c>
      <c r="BF56" s="36">
        <v>323.46100000000001</v>
      </c>
      <c r="BG56" s="36">
        <v>529.38099999999997</v>
      </c>
      <c r="BH56" s="36">
        <v>205.31299999999999</v>
      </c>
      <c r="BI56" s="36">
        <v>991.54299999999989</v>
      </c>
      <c r="BJ56" s="36">
        <v>1070.75</v>
      </c>
      <c r="BK56" s="36">
        <v>279.654731196885</v>
      </c>
      <c r="BL56" s="36">
        <v>728.4</v>
      </c>
    </row>
    <row r="57" spans="1:64" ht="30" customHeight="1" x14ac:dyDescent="0.2">
      <c r="B57" s="54" t="s">
        <v>467</v>
      </c>
      <c r="C57" s="54" t="e">
        <f>VLOOKUP($B57,#REF!,COLUMNS($B57:C57),0)</f>
        <v>#REF!</v>
      </c>
      <c r="D57" s="66" t="e">
        <f>VLOOKUP($B57,#REF!,COLUMNS($B57:D57),0)</f>
        <v>#REF!</v>
      </c>
      <c r="E57" s="66" t="e">
        <f>VLOOKUP($B57,#REF!,COLUMNS($B57:E57),0)</f>
        <v>#REF!</v>
      </c>
      <c r="F57" s="67" t="e">
        <f>VLOOKUP($B57,#REF!,COLUMNS($B57:F57),0)</f>
        <v>#REF!</v>
      </c>
      <c r="G57" s="68" t="e">
        <f>VLOOKUP($B57,#REF!,COLUMNS($B57:G57),0)</f>
        <v>#REF!</v>
      </c>
      <c r="H57" s="69" t="e">
        <f>VLOOKUP($B57,#REF!,COLUMNS($B57:H57),0)</f>
        <v>#REF!</v>
      </c>
      <c r="I57" s="70" t="e">
        <f>VLOOKUP($B57,#REF!,COLUMNS($B57:I57),0)</f>
        <v>#REF!</v>
      </c>
      <c r="J57" s="71" t="e">
        <f>VLOOKUP($B57,#REF!,COLUMNS($B57:J57),0)</f>
        <v>#REF!</v>
      </c>
      <c r="K57" s="60" t="e">
        <f>VLOOKUP($B57,#REF!,COLUMNS($B57:K57),0)</f>
        <v>#REF!</v>
      </c>
      <c r="L57" s="61" t="e">
        <f>VLOOKUP($B57,#REF!,COLUMNS($B57:L57),0)</f>
        <v>#REF!</v>
      </c>
      <c r="M57" s="61" t="e">
        <f>VLOOKUP($B57,#REF!,COLUMNS($B57:M57),0)</f>
        <v>#REF!</v>
      </c>
      <c r="AD57" s="1" t="s">
        <v>87</v>
      </c>
      <c r="AE57" s="1" t="s">
        <v>88</v>
      </c>
      <c r="AF57" s="36" t="e">
        <f ca="1">_xll.BDP($AD57,AF$10)</f>
        <v>#NAME?</v>
      </c>
      <c r="AG57" s="36" t="e">
        <f ca="1">_xll.BDH($AD57,AG$10,$C$5,$C$5,"EQY_FUND_CRNCY=USD")</f>
        <v>#NAME?</v>
      </c>
      <c r="AH57" s="36" t="e">
        <f ca="1">_xll.BDH($AD57,AH$10,$C$5,$C$5,"EQY_FUND_CRNCY=USD")</f>
        <v>#NAME?</v>
      </c>
      <c r="AI57" s="36" t="e">
        <f ca="1">_xll.BDP($AD57,AI$10,"EQY_FUND_CRNCY=USD","FA_ADJUSTED=Y")</f>
        <v>#NAME?</v>
      </c>
      <c r="AJ57" s="36" t="e">
        <f ca="1">_xll.BDP($AD57,AJ$10,"BEST_FPERIOD_OVERRIDE=1TY","EQY_FUND_CRNCY=USD","FA_ADJUSTED=Y")</f>
        <v>#NAME?</v>
      </c>
      <c r="AK57" s="44" t="e">
        <f t="shared" ca="1" si="3"/>
        <v>#NAME?</v>
      </c>
      <c r="AL57" s="36" t="e">
        <f ca="1">_xll.BDP($AD57,AL$10,"EQY_FUND_CRNCY=USD","FA_ADJUSTED=Y")</f>
        <v>#NAME?</v>
      </c>
      <c r="AM57" s="36" t="e">
        <f ca="1">_xll.BDP($AD57,AM$10,"BEST_FPERIOD_OVERRIDE=1TY","EQY_FUND_CRNCY=USD","FA_ADJUSTED=Y")</f>
        <v>#NAME?</v>
      </c>
      <c r="AN57" s="36" t="e">
        <f ca="1">_xll.BDP($AD57,AN$10,"BEST_FPERIOD_OVERRIDE=1TY","EQY_FUND_CRNCY=USD","FA_ADJUSTED=Y")</f>
        <v>#NAME?</v>
      </c>
      <c r="AO57" s="36" t="e">
        <f ca="1">_xll.BDP($AD57,AO$10,"BEST_FPERIOD_OVERRIDE=1TY","EQY_FUND_CRNCY=USD","FA_ADJUSTED=Y")</f>
        <v>#NAME?</v>
      </c>
      <c r="AP57" s="36" t="e">
        <f ca="1">_xll.BDP($AD57,AP$10,"BEST_FPERIOD_OVERRIDE=1TY","EQY_FUND_CRNCY=USD","FA_ADJUSTED=Y")</f>
        <v>#NAME?</v>
      </c>
      <c r="AQ57" s="36" t="e">
        <f ca="1">_xll.BDP($AD57,AQ$10,"EQY_FUND_CRNCY=USD","FA_ADJUSTED=Y")</f>
        <v>#NAME?</v>
      </c>
      <c r="AR57" s="36" t="e">
        <f ca="1">_xll.BDP($AD57,AR$10,"BEST_FPERIOD_OVERRIDE=1TY","EQY_FUND_CRNCY=USD","FA_ADJUSTED=Y")</f>
        <v>#NAME?</v>
      </c>
      <c r="AS57" s="36" t="e">
        <f ca="1">_xll.BDP($AD57,AS$10,"EQY_FUND_CRNCY=USD","FA_ADJUSTED=Y")</f>
        <v>#NAME?</v>
      </c>
      <c r="AT57" s="36" t="e">
        <f ca="1">_xll.BDP($AD57,AT$10,"BEST_FPERIOD_OVERRIDE=1TY","EQY_FUND_CRNCY=USD","FA_ADJUSTED=Y")</f>
        <v>#NAME?</v>
      </c>
      <c r="AV57" s="1" t="s">
        <v>87</v>
      </c>
      <c r="AW57" s="1" t="s">
        <v>88</v>
      </c>
      <c r="AX57" s="36" t="s">
        <v>495</v>
      </c>
      <c r="AY57" s="36">
        <v>8905.6998000000003</v>
      </c>
      <c r="AZ57" s="36">
        <v>8730.4277999999995</v>
      </c>
      <c r="BA57" s="36">
        <v>1035.461</v>
      </c>
      <c r="BB57" s="36">
        <v>1245.01</v>
      </c>
      <c r="BC57" s="44">
        <v>0.20237266299744738</v>
      </c>
      <c r="BD57" s="36">
        <v>648.36900695800773</v>
      </c>
      <c r="BE57" s="36">
        <v>64.697000000000003</v>
      </c>
      <c r="BF57" s="36">
        <v>150.583</v>
      </c>
      <c r="BG57" s="36">
        <v>269.78100000000001</v>
      </c>
      <c r="BH57" s="36">
        <v>122.119</v>
      </c>
      <c r="BI57" s="36">
        <v>114.41199999999999</v>
      </c>
      <c r="BJ57" s="36">
        <v>301.96199999999999</v>
      </c>
      <c r="BK57" s="36">
        <v>46.960708818636007</v>
      </c>
      <c r="BL57" s="36">
        <v>188.41400000000002</v>
      </c>
    </row>
    <row r="58" spans="1:64" ht="30" customHeight="1" x14ac:dyDescent="0.2">
      <c r="B58" s="62" t="s">
        <v>468</v>
      </c>
      <c r="C58" s="54" t="e">
        <f>VLOOKUP($B58,#REF!,COLUMNS($B58:C58),0)</f>
        <v>#REF!</v>
      </c>
      <c r="D58" s="66" t="e">
        <f>VLOOKUP($B58,#REF!,COLUMNS($B58:D58),0)</f>
        <v>#REF!</v>
      </c>
      <c r="E58" s="66" t="e">
        <f>VLOOKUP($B58,#REF!,COLUMNS($B58:E58),0)</f>
        <v>#REF!</v>
      </c>
      <c r="F58" s="67" t="e">
        <f>VLOOKUP($B58,#REF!,COLUMNS($B58:F58),0)</f>
        <v>#REF!</v>
      </c>
      <c r="G58" s="68" t="e">
        <f>VLOOKUP($B58,#REF!,COLUMNS($B58:G58),0)</f>
        <v>#REF!</v>
      </c>
      <c r="H58" s="69" t="e">
        <f>VLOOKUP($B58,#REF!,COLUMNS($B58:H58),0)</f>
        <v>#REF!</v>
      </c>
      <c r="I58" s="70" t="e">
        <f>VLOOKUP($B58,#REF!,COLUMNS($B58:I58),0)</f>
        <v>#REF!</v>
      </c>
      <c r="J58" s="71" t="e">
        <f>VLOOKUP($B58,#REF!,COLUMNS($B58:J58),0)</f>
        <v>#REF!</v>
      </c>
      <c r="K58" s="60" t="e">
        <f>VLOOKUP($B58,#REF!,COLUMNS($B58:K58),0)</f>
        <v>#REF!</v>
      </c>
      <c r="L58" s="61" t="e">
        <f>VLOOKUP($B58,#REF!,COLUMNS($B58:L58),0)</f>
        <v>#REF!</v>
      </c>
      <c r="M58" s="61" t="e">
        <f>VLOOKUP($B58,#REF!,COLUMNS($B58:M58),0)</f>
        <v>#REF!</v>
      </c>
      <c r="AD58" s="1" t="s">
        <v>89</v>
      </c>
      <c r="AE58" s="1" t="s">
        <v>90</v>
      </c>
      <c r="AF58" s="36" t="e">
        <f ca="1">_xll.BDP($AD58,AF$10)</f>
        <v>#NAME?</v>
      </c>
      <c r="AG58" s="36" t="e">
        <f ca="1">_xll.BDH($AD58,AG$10,$C$5,$C$5,"EQY_FUND_CRNCY=USD")</f>
        <v>#NAME?</v>
      </c>
      <c r="AH58" s="36" t="e">
        <f ca="1">_xll.BDH($AD58,AH$10,$C$5,$C$5,"EQY_FUND_CRNCY=USD")</f>
        <v>#NAME?</v>
      </c>
      <c r="AI58" s="36" t="e">
        <f ca="1">_xll.BDP($AD58,AI$10,"EQY_FUND_CRNCY=USD","FA_ADJUSTED=Y")</f>
        <v>#NAME?</v>
      </c>
      <c r="AJ58" s="36" t="e">
        <f ca="1">_xll.BDP($AD58,AJ$10,"BEST_FPERIOD_OVERRIDE=1TY","EQY_FUND_CRNCY=USD","FA_ADJUSTED=Y")</f>
        <v>#NAME?</v>
      </c>
      <c r="AK58" s="44" t="e">
        <f t="shared" ca="1" si="3"/>
        <v>#NAME?</v>
      </c>
      <c r="AL58" s="36" t="e">
        <f ca="1">_xll.BDP($AD58,AL$10,"EQY_FUND_CRNCY=USD","FA_ADJUSTED=Y")</f>
        <v>#NAME?</v>
      </c>
      <c r="AM58" s="36" t="e">
        <f ca="1">_xll.BDP($AD58,AM$10,"BEST_FPERIOD_OVERRIDE=1TY","EQY_FUND_CRNCY=USD","FA_ADJUSTED=Y")</f>
        <v>#NAME?</v>
      </c>
      <c r="AN58" s="36" t="e">
        <f ca="1">_xll.BDP($AD58,AN$10,"BEST_FPERIOD_OVERRIDE=1TY","EQY_FUND_CRNCY=USD","FA_ADJUSTED=Y")</f>
        <v>#NAME?</v>
      </c>
      <c r="AO58" s="36" t="e">
        <f ca="1">_xll.BDP($AD58,AO$10,"BEST_FPERIOD_OVERRIDE=1TY","EQY_FUND_CRNCY=USD","FA_ADJUSTED=Y")</f>
        <v>#NAME?</v>
      </c>
      <c r="AP58" s="36" t="e">
        <f ca="1">_xll.BDP($AD58,AP$10,"BEST_FPERIOD_OVERRIDE=1TY","EQY_FUND_CRNCY=USD","FA_ADJUSTED=Y")</f>
        <v>#NAME?</v>
      </c>
      <c r="AQ58" s="36" t="e">
        <f ca="1">_xll.BDP($AD58,AQ$10,"EQY_FUND_CRNCY=USD","FA_ADJUSTED=Y")</f>
        <v>#NAME?</v>
      </c>
      <c r="AR58" s="36" t="e">
        <f ca="1">_xll.BDP($AD58,AR$10,"BEST_FPERIOD_OVERRIDE=1TY","EQY_FUND_CRNCY=USD","FA_ADJUSTED=Y")</f>
        <v>#NAME?</v>
      </c>
      <c r="AS58" s="36" t="e">
        <f ca="1">_xll.BDP($AD58,AS$10,"EQY_FUND_CRNCY=USD","FA_ADJUSTED=Y")</f>
        <v>#NAME?</v>
      </c>
      <c r="AT58" s="36" t="e">
        <f ca="1">_xll.BDP($AD58,AT$10,"BEST_FPERIOD_OVERRIDE=1TY","EQY_FUND_CRNCY=USD","FA_ADJUSTED=Y")</f>
        <v>#NAME?</v>
      </c>
      <c r="AV58" s="1" t="s">
        <v>89</v>
      </c>
      <c r="AW58" s="1" t="s">
        <v>90</v>
      </c>
      <c r="AX58" s="36" t="s">
        <v>505</v>
      </c>
      <c r="AY58" s="36">
        <v>8352.4141999999993</v>
      </c>
      <c r="AZ58" s="36">
        <v>7440.2691999999997</v>
      </c>
      <c r="BA58" s="36">
        <v>992.76900000000001</v>
      </c>
      <c r="BB58" s="36">
        <v>1052.4590000000001</v>
      </c>
      <c r="BC58" s="44">
        <v>6.0124762155143952E-2</v>
      </c>
      <c r="BD58" s="36">
        <v>864.88000952148434</v>
      </c>
      <c r="BE58" s="36">
        <v>86.718000000000004</v>
      </c>
      <c r="BF58" s="36">
        <v>334.14799999999997</v>
      </c>
      <c r="BG58" s="36">
        <v>517.44600000000003</v>
      </c>
      <c r="BH58" s="36">
        <v>102.871</v>
      </c>
      <c r="BI58" s="36">
        <v>-123.949</v>
      </c>
      <c r="BJ58" s="36">
        <v>17.222000000000001</v>
      </c>
      <c r="BK58" s="36">
        <v>-146.929</v>
      </c>
      <c r="BL58" s="36">
        <v>-13.881</v>
      </c>
    </row>
    <row r="59" spans="1:64" ht="30" customHeight="1" x14ac:dyDescent="0.2">
      <c r="B59" s="62" t="s">
        <v>469</v>
      </c>
      <c r="C59" s="54" t="e">
        <f>VLOOKUP($B59,#REF!,COLUMNS($B59:C59),0)</f>
        <v>#REF!</v>
      </c>
      <c r="D59" s="66" t="e">
        <f>VLOOKUP($B59,#REF!,COLUMNS($B59:D59),0)</f>
        <v>#REF!</v>
      </c>
      <c r="E59" s="66" t="e">
        <f>VLOOKUP($B59,#REF!,COLUMNS($B59:E59),0)</f>
        <v>#REF!</v>
      </c>
      <c r="F59" s="67" t="e">
        <f>VLOOKUP($B59,#REF!,COLUMNS($B59:F59),0)</f>
        <v>#REF!</v>
      </c>
      <c r="G59" s="68" t="e">
        <f>VLOOKUP($B59,#REF!,COLUMNS($B59:G59),0)</f>
        <v>#REF!</v>
      </c>
      <c r="H59" s="69" t="e">
        <f>VLOOKUP($B59,#REF!,COLUMNS($B59:H59),0)</f>
        <v>#REF!</v>
      </c>
      <c r="I59" s="70" t="e">
        <f>VLOOKUP($B59,#REF!,COLUMNS($B59:I59),0)</f>
        <v>#REF!</v>
      </c>
      <c r="J59" s="71" t="e">
        <f>VLOOKUP($B59,#REF!,COLUMNS($B59:J59),0)</f>
        <v>#REF!</v>
      </c>
      <c r="K59" s="60" t="e">
        <f>VLOOKUP($B59,#REF!,COLUMNS($B59:K59),0)</f>
        <v>#REF!</v>
      </c>
      <c r="L59" s="61" t="e">
        <f>VLOOKUP($B59,#REF!,COLUMNS($B59:L59),0)</f>
        <v>#REF!</v>
      </c>
      <c r="M59" s="61" t="e">
        <f>VLOOKUP($B59,#REF!,COLUMNS($B59:M59),0)</f>
        <v>#REF!</v>
      </c>
      <c r="AD59" s="1" t="s">
        <v>91</v>
      </c>
      <c r="AE59" s="1" t="s">
        <v>92</v>
      </c>
      <c r="AF59" s="36" t="e">
        <f ca="1">_xll.BDP($AD59,AF$10)</f>
        <v>#NAME?</v>
      </c>
      <c r="AG59" s="36" t="e">
        <f ca="1">_xll.BDH($AD59,AG$10,$C$5,$C$5,"EQY_FUND_CRNCY=USD")</f>
        <v>#NAME?</v>
      </c>
      <c r="AH59" s="36" t="e">
        <f ca="1">_xll.BDH($AD59,AH$10,$C$5,$C$5,"EQY_FUND_CRNCY=USD")</f>
        <v>#NAME?</v>
      </c>
      <c r="AI59" s="36" t="e">
        <f ca="1">_xll.BDP($AD59,AI$10,"EQY_FUND_CRNCY=USD","FA_ADJUSTED=Y")</f>
        <v>#NAME?</v>
      </c>
      <c r="AJ59" s="36" t="e">
        <f ca="1">_xll.BDP($AD59,AJ$10,"BEST_FPERIOD_OVERRIDE=1TY","EQY_FUND_CRNCY=USD","FA_ADJUSTED=Y")</f>
        <v>#NAME?</v>
      </c>
      <c r="AK59" s="44" t="e">
        <f t="shared" ca="1" si="3"/>
        <v>#NAME?</v>
      </c>
      <c r="AL59" s="36" t="e">
        <f ca="1">_xll.BDP($AD59,AL$10,"EQY_FUND_CRNCY=USD","FA_ADJUSTED=Y")</f>
        <v>#NAME?</v>
      </c>
      <c r="AM59" s="36" t="e">
        <f ca="1">_xll.BDP($AD59,AM$10,"BEST_FPERIOD_OVERRIDE=1TY","EQY_FUND_CRNCY=USD","FA_ADJUSTED=Y")</f>
        <v>#NAME?</v>
      </c>
      <c r="AN59" s="36" t="e">
        <f ca="1">_xll.BDP($AD59,AN$10,"BEST_FPERIOD_OVERRIDE=1TY","EQY_FUND_CRNCY=USD","FA_ADJUSTED=Y")</f>
        <v>#NAME?</v>
      </c>
      <c r="AO59" s="36" t="e">
        <f ca="1">_xll.BDP($AD59,AO$10,"BEST_FPERIOD_OVERRIDE=1TY","EQY_FUND_CRNCY=USD","FA_ADJUSTED=Y")</f>
        <v>#NAME?</v>
      </c>
      <c r="AP59" s="36" t="e">
        <f ca="1">_xll.BDP($AD59,AP$10,"BEST_FPERIOD_OVERRIDE=1TY","EQY_FUND_CRNCY=USD","FA_ADJUSTED=Y")</f>
        <v>#NAME?</v>
      </c>
      <c r="AQ59" s="36" t="e">
        <f ca="1">_xll.BDP($AD59,AQ$10,"EQY_FUND_CRNCY=USD","FA_ADJUSTED=Y")</f>
        <v>#NAME?</v>
      </c>
      <c r="AR59" s="36" t="e">
        <f ca="1">_xll.BDP($AD59,AR$10,"BEST_FPERIOD_OVERRIDE=1TY","EQY_FUND_CRNCY=USD","FA_ADJUSTED=Y")</f>
        <v>#NAME?</v>
      </c>
      <c r="AS59" s="36" t="e">
        <f ca="1">_xll.BDP($AD59,AS$10,"EQY_FUND_CRNCY=USD","FA_ADJUSTED=Y")</f>
        <v>#NAME?</v>
      </c>
      <c r="AT59" s="36" t="e">
        <f ca="1">_xll.BDP($AD59,AT$10,"BEST_FPERIOD_OVERRIDE=1TY","EQY_FUND_CRNCY=USD","FA_ADJUSTED=Y")</f>
        <v>#NAME?</v>
      </c>
      <c r="AV59" s="1" t="s">
        <v>91</v>
      </c>
      <c r="AW59" s="1" t="s">
        <v>92</v>
      </c>
      <c r="AX59" s="36" t="s">
        <v>495</v>
      </c>
      <c r="AY59" s="36">
        <v>8104.8091999999997</v>
      </c>
      <c r="AZ59" s="36">
        <v>7952.1031999999996</v>
      </c>
      <c r="BA59" s="36">
        <v>891.15700000000004</v>
      </c>
      <c r="BB59" s="36">
        <v>1005.667</v>
      </c>
      <c r="BC59" s="44">
        <v>0.12849587670859353</v>
      </c>
      <c r="BD59" s="36">
        <v>422.93600115966797</v>
      </c>
      <c r="BE59" s="36">
        <v>51.216999999999999</v>
      </c>
      <c r="BF59" s="36">
        <v>47.323999999999998</v>
      </c>
      <c r="BG59" s="36" t="s">
        <v>480</v>
      </c>
      <c r="BH59" s="36" t="s">
        <v>480</v>
      </c>
      <c r="BI59" s="36">
        <v>222.82000000000002</v>
      </c>
      <c r="BJ59" s="36">
        <v>297.92500000000001</v>
      </c>
      <c r="BK59" s="36">
        <v>145.27799871199099</v>
      </c>
      <c r="BL59" s="36">
        <v>206.56300000000002</v>
      </c>
    </row>
    <row r="60" spans="1:64" ht="30" customHeight="1" x14ac:dyDescent="0.2">
      <c r="B60" s="62" t="s">
        <v>472</v>
      </c>
      <c r="C60" s="54" t="e">
        <f>VLOOKUP($B60,#REF!,COLUMNS($B60:C60),0)</f>
        <v>#REF!</v>
      </c>
      <c r="D60" s="66" t="e">
        <f>VLOOKUP($B60,#REF!,COLUMNS($B60:D60),0)</f>
        <v>#REF!</v>
      </c>
      <c r="E60" s="66" t="e">
        <f>VLOOKUP($B60,#REF!,COLUMNS($B60:E60),0)</f>
        <v>#REF!</v>
      </c>
      <c r="F60" s="67" t="e">
        <f>VLOOKUP($B60,#REF!,COLUMNS($B60:F60),0)</f>
        <v>#REF!</v>
      </c>
      <c r="G60" s="68" t="e">
        <f>VLOOKUP($B60,#REF!,COLUMNS($B60:G60),0)</f>
        <v>#REF!</v>
      </c>
      <c r="H60" s="69" t="e">
        <f>VLOOKUP($B60,#REF!,COLUMNS($B60:H60),0)</f>
        <v>#REF!</v>
      </c>
      <c r="I60" s="70" t="e">
        <f>VLOOKUP($B60,#REF!,COLUMNS($B60:I60),0)</f>
        <v>#REF!</v>
      </c>
      <c r="J60" s="71" t="e">
        <f>VLOOKUP($B60,#REF!,COLUMNS($B60:J60),0)</f>
        <v>#REF!</v>
      </c>
      <c r="K60" s="60" t="e">
        <f>VLOOKUP($B60,#REF!,COLUMNS($B60:K60),0)</f>
        <v>#REF!</v>
      </c>
      <c r="L60" s="61" t="e">
        <f>VLOOKUP($B60,#REF!,COLUMNS($B60:L60),0)</f>
        <v>#REF!</v>
      </c>
      <c r="M60" s="61" t="e">
        <f>VLOOKUP($B60,#REF!,COLUMNS($B60:M60),0)</f>
        <v>#REF!</v>
      </c>
      <c r="AD60" s="1" t="s">
        <v>93</v>
      </c>
      <c r="AE60" s="1" t="s">
        <v>94</v>
      </c>
      <c r="AF60" s="36" t="e">
        <f ca="1">_xll.BDP($AD60,AF$10)</f>
        <v>#NAME?</v>
      </c>
      <c r="AG60" s="36" t="e">
        <f ca="1">_xll.BDH($AD60,AG$10,$C$5,$C$5,"EQY_FUND_CRNCY=USD")</f>
        <v>#NAME?</v>
      </c>
      <c r="AH60" s="36" t="e">
        <f ca="1">_xll.BDH($AD60,AH$10,$C$5,$C$5,"EQY_FUND_CRNCY=USD")</f>
        <v>#NAME?</v>
      </c>
      <c r="AI60" s="36" t="e">
        <f ca="1">_xll.BDP($AD60,AI$10,"EQY_FUND_CRNCY=USD","FA_ADJUSTED=Y")</f>
        <v>#NAME?</v>
      </c>
      <c r="AJ60" s="36" t="e">
        <f ca="1">_xll.BDP($AD60,AJ$10,"BEST_FPERIOD_OVERRIDE=1TY","EQY_FUND_CRNCY=USD","FA_ADJUSTED=Y")</f>
        <v>#NAME?</v>
      </c>
      <c r="AK60" s="44" t="e">
        <f t="shared" ca="1" si="3"/>
        <v>#NAME?</v>
      </c>
      <c r="AL60" s="36" t="e">
        <f ca="1">_xll.BDP($AD60,AL$10,"EQY_FUND_CRNCY=USD","FA_ADJUSTED=Y")</f>
        <v>#NAME?</v>
      </c>
      <c r="AM60" s="36" t="e">
        <f ca="1">_xll.BDP($AD60,AM$10,"BEST_FPERIOD_OVERRIDE=1TY","EQY_FUND_CRNCY=USD","FA_ADJUSTED=Y")</f>
        <v>#NAME?</v>
      </c>
      <c r="AN60" s="36" t="e">
        <f ca="1">_xll.BDP($AD60,AN$10,"BEST_FPERIOD_OVERRIDE=1TY","EQY_FUND_CRNCY=USD","FA_ADJUSTED=Y")</f>
        <v>#NAME?</v>
      </c>
      <c r="AO60" s="36" t="e">
        <f ca="1">_xll.BDP($AD60,AO$10,"BEST_FPERIOD_OVERRIDE=1TY","EQY_FUND_CRNCY=USD","FA_ADJUSTED=Y")</f>
        <v>#NAME?</v>
      </c>
      <c r="AP60" s="36" t="e">
        <f ca="1">_xll.BDP($AD60,AP$10,"BEST_FPERIOD_OVERRIDE=1TY","EQY_FUND_CRNCY=USD","FA_ADJUSTED=Y")</f>
        <v>#NAME?</v>
      </c>
      <c r="AQ60" s="36" t="e">
        <f ca="1">_xll.BDP($AD60,AQ$10,"EQY_FUND_CRNCY=USD","FA_ADJUSTED=Y")</f>
        <v>#NAME?</v>
      </c>
      <c r="AR60" s="36" t="e">
        <f ca="1">_xll.BDP($AD60,AR$10,"BEST_FPERIOD_OVERRIDE=1TY","EQY_FUND_CRNCY=USD","FA_ADJUSTED=Y")</f>
        <v>#NAME?</v>
      </c>
      <c r="AS60" s="36" t="e">
        <f ca="1">_xll.BDP($AD60,AS$10,"EQY_FUND_CRNCY=USD","FA_ADJUSTED=Y")</f>
        <v>#NAME?</v>
      </c>
      <c r="AT60" s="36" t="e">
        <f ca="1">_xll.BDP($AD60,AT$10,"BEST_FPERIOD_OVERRIDE=1TY","EQY_FUND_CRNCY=USD","FA_ADJUSTED=Y")</f>
        <v>#NAME?</v>
      </c>
      <c r="AV60" s="1" t="s">
        <v>93</v>
      </c>
      <c r="AW60" s="1" t="s">
        <v>94</v>
      </c>
      <c r="AX60" s="36" t="s">
        <v>506</v>
      </c>
      <c r="AY60" s="36">
        <v>8005.7865000000002</v>
      </c>
      <c r="AZ60" s="36">
        <v>10399.2865</v>
      </c>
      <c r="BA60" s="36">
        <v>5643.5</v>
      </c>
      <c r="BB60" s="36">
        <v>5758.5690000000004</v>
      </c>
      <c r="BC60" s="44">
        <v>2.0389651811818954E-2</v>
      </c>
      <c r="BD60" s="36">
        <v>2280.8999999999996</v>
      </c>
      <c r="BE60" s="36">
        <v>40.567</v>
      </c>
      <c r="BF60" s="36">
        <v>0</v>
      </c>
      <c r="BG60" s="36" t="s">
        <v>480</v>
      </c>
      <c r="BH60" s="36" t="s">
        <v>480</v>
      </c>
      <c r="BI60" s="36">
        <v>1359.4</v>
      </c>
      <c r="BJ60" s="36">
        <v>1420.375</v>
      </c>
      <c r="BK60" s="36">
        <v>852.35</v>
      </c>
      <c r="BL60" s="36">
        <v>860.87900000000002</v>
      </c>
    </row>
    <row r="61" spans="1:64" ht="30" customHeight="1" x14ac:dyDescent="0.2">
      <c r="B61" s="62" t="s">
        <v>474</v>
      </c>
      <c r="C61" s="54" t="e">
        <f>VLOOKUP($B61,#REF!,COLUMNS($B61:C61),0)</f>
        <v>#REF!</v>
      </c>
      <c r="D61" s="66" t="e">
        <f>VLOOKUP($B61,#REF!,COLUMNS($B61:D61),0)</f>
        <v>#REF!</v>
      </c>
      <c r="E61" s="66" t="e">
        <f>VLOOKUP($B61,#REF!,COLUMNS($B61:E61),0)</f>
        <v>#REF!</v>
      </c>
      <c r="F61" s="67" t="e">
        <f>VLOOKUP($B61,#REF!,COLUMNS($B61:F61),0)</f>
        <v>#REF!</v>
      </c>
      <c r="G61" s="68" t="e">
        <f>VLOOKUP($B61,#REF!,COLUMNS($B61:G61),0)</f>
        <v>#REF!</v>
      </c>
      <c r="H61" s="69" t="e">
        <f>VLOOKUP($B61,#REF!,COLUMNS($B61:H61),0)</f>
        <v>#REF!</v>
      </c>
      <c r="I61" s="70" t="e">
        <f>VLOOKUP($B61,#REF!,COLUMNS($B61:I61),0)</f>
        <v>#REF!</v>
      </c>
      <c r="J61" s="71" t="e">
        <f>VLOOKUP($B61,#REF!,COLUMNS($B61:J61),0)</f>
        <v>#REF!</v>
      </c>
      <c r="K61" s="60" t="e">
        <f>VLOOKUP($B61,#REF!,COLUMNS($B61:K61),0)</f>
        <v>#REF!</v>
      </c>
      <c r="L61" s="61" t="e">
        <f>VLOOKUP($B61,#REF!,COLUMNS($B61:L61),0)</f>
        <v>#REF!</v>
      </c>
      <c r="M61" s="61" t="e">
        <f>VLOOKUP($B61,#REF!,COLUMNS($B61:M61),0)</f>
        <v>#REF!</v>
      </c>
      <c r="AD61" s="1" t="s">
        <v>95</v>
      </c>
      <c r="AE61" s="1" t="s">
        <v>96</v>
      </c>
      <c r="AF61" s="36" t="e">
        <f ca="1">_xll.BDP($AD61,AF$10)</f>
        <v>#NAME?</v>
      </c>
      <c r="AG61" s="36" t="e">
        <f ca="1">_xll.BDH($AD61,AG$10,$C$5,$C$5,"EQY_FUND_CRNCY=USD")</f>
        <v>#NAME?</v>
      </c>
      <c r="AH61" s="36" t="e">
        <f ca="1">_xll.BDH($AD61,AH$10,$C$5,$C$5,"EQY_FUND_CRNCY=USD")</f>
        <v>#NAME?</v>
      </c>
      <c r="AI61" s="36" t="e">
        <f ca="1">_xll.BDP($AD61,AI$10,"EQY_FUND_CRNCY=USD","FA_ADJUSTED=Y")</f>
        <v>#NAME?</v>
      </c>
      <c r="AJ61" s="36" t="e">
        <f ca="1">_xll.BDP($AD61,AJ$10,"BEST_FPERIOD_OVERRIDE=1TY","EQY_FUND_CRNCY=USD","FA_ADJUSTED=Y")</f>
        <v>#NAME?</v>
      </c>
      <c r="AK61" s="44" t="e">
        <f t="shared" ca="1" si="3"/>
        <v>#NAME?</v>
      </c>
      <c r="AL61" s="36" t="e">
        <f ca="1">_xll.BDP($AD61,AL$10,"EQY_FUND_CRNCY=USD","FA_ADJUSTED=Y")</f>
        <v>#NAME?</v>
      </c>
      <c r="AM61" s="36" t="e">
        <f ca="1">_xll.BDP($AD61,AM$10,"BEST_FPERIOD_OVERRIDE=1TY","EQY_FUND_CRNCY=USD","FA_ADJUSTED=Y")</f>
        <v>#NAME?</v>
      </c>
      <c r="AN61" s="36" t="e">
        <f ca="1">_xll.BDP($AD61,AN$10,"BEST_FPERIOD_OVERRIDE=1TY","EQY_FUND_CRNCY=USD","FA_ADJUSTED=Y")</f>
        <v>#NAME?</v>
      </c>
      <c r="AO61" s="36" t="e">
        <f ca="1">_xll.BDP($AD61,AO$10,"BEST_FPERIOD_OVERRIDE=1TY","EQY_FUND_CRNCY=USD","FA_ADJUSTED=Y")</f>
        <v>#NAME?</v>
      </c>
      <c r="AP61" s="36" t="e">
        <f ca="1">_xll.BDP($AD61,AP$10,"BEST_FPERIOD_OVERRIDE=1TY","EQY_FUND_CRNCY=USD","FA_ADJUSTED=Y")</f>
        <v>#NAME?</v>
      </c>
      <c r="AQ61" s="36" t="e">
        <f ca="1">_xll.BDP($AD61,AQ$10,"EQY_FUND_CRNCY=USD","FA_ADJUSTED=Y")</f>
        <v>#NAME?</v>
      </c>
      <c r="AR61" s="36" t="e">
        <f ca="1">_xll.BDP($AD61,AR$10,"BEST_FPERIOD_OVERRIDE=1TY","EQY_FUND_CRNCY=USD","FA_ADJUSTED=Y")</f>
        <v>#NAME?</v>
      </c>
      <c r="AS61" s="36" t="e">
        <f ca="1">_xll.BDP($AD61,AS$10,"EQY_FUND_CRNCY=USD","FA_ADJUSTED=Y")</f>
        <v>#NAME?</v>
      </c>
      <c r="AT61" s="36" t="e">
        <f ca="1">_xll.BDP($AD61,AT$10,"BEST_FPERIOD_OVERRIDE=1TY","EQY_FUND_CRNCY=USD","FA_ADJUSTED=Y")</f>
        <v>#NAME?</v>
      </c>
      <c r="AV61" s="1" t="s">
        <v>95</v>
      </c>
      <c r="AW61" s="1" t="s">
        <v>96</v>
      </c>
      <c r="AX61" s="36" t="s">
        <v>506</v>
      </c>
      <c r="AY61" s="36">
        <v>7756.0488999999998</v>
      </c>
      <c r="AZ61" s="36">
        <v>9911.8019000000004</v>
      </c>
      <c r="BA61" s="36">
        <v>1381.0119999999999</v>
      </c>
      <c r="BB61" s="36">
        <v>1551.74</v>
      </c>
      <c r="BC61" s="44">
        <v>0.12362528348776114</v>
      </c>
      <c r="BD61" s="36">
        <v>1037.137987915039</v>
      </c>
      <c r="BE61" s="36">
        <v>64.7</v>
      </c>
      <c r="BF61" s="36">
        <v>0</v>
      </c>
      <c r="BG61" s="36">
        <v>0</v>
      </c>
      <c r="BH61" s="36" t="s">
        <v>480</v>
      </c>
      <c r="BI61" s="36">
        <v>541.74800000000005</v>
      </c>
      <c r="BJ61" s="36">
        <v>659.16700000000003</v>
      </c>
      <c r="BK61" s="36">
        <v>160.82074499958901</v>
      </c>
      <c r="BL61" s="36">
        <v>378.98200000000003</v>
      </c>
    </row>
    <row r="62" spans="1:64" ht="30" customHeight="1" x14ac:dyDescent="0.2">
      <c r="B62" s="62" t="s">
        <v>475</v>
      </c>
      <c r="C62" s="54" t="e">
        <f>VLOOKUP($B62,#REF!,COLUMNS($B62:C62),0)</f>
        <v>#REF!</v>
      </c>
      <c r="D62" s="66" t="e">
        <f>VLOOKUP($B62,#REF!,COLUMNS($B62:D62),0)</f>
        <v>#REF!</v>
      </c>
      <c r="E62" s="66" t="e">
        <f>VLOOKUP($B62,#REF!,COLUMNS($B62:E62),0)</f>
        <v>#REF!</v>
      </c>
      <c r="F62" s="67" t="e">
        <f>VLOOKUP($B62,#REF!,COLUMNS($B62:F62),0)</f>
        <v>#REF!</v>
      </c>
      <c r="G62" s="68" t="e">
        <f>VLOOKUP($B62,#REF!,COLUMNS($B62:G62),0)</f>
        <v>#REF!</v>
      </c>
      <c r="H62" s="69" t="e">
        <f>VLOOKUP($B62,#REF!,COLUMNS($B62:H62),0)</f>
        <v>#REF!</v>
      </c>
      <c r="I62" s="70" t="e">
        <f>VLOOKUP($B62,#REF!,COLUMNS($B62:I62),0)</f>
        <v>#REF!</v>
      </c>
      <c r="J62" s="71" t="e">
        <f>VLOOKUP($B62,#REF!,COLUMNS($B62:J62),0)</f>
        <v>#REF!</v>
      </c>
      <c r="K62" s="60" t="e">
        <f>VLOOKUP($B62,#REF!,COLUMNS($B62:K62),0)</f>
        <v>#REF!</v>
      </c>
      <c r="L62" s="61" t="e">
        <f>VLOOKUP($B62,#REF!,COLUMNS($B62:L62),0)</f>
        <v>#REF!</v>
      </c>
      <c r="M62" s="61" t="e">
        <f>VLOOKUP($B62,#REF!,COLUMNS($B62:M62),0)</f>
        <v>#REF!</v>
      </c>
      <c r="AD62" s="1" t="s">
        <v>97</v>
      </c>
      <c r="AE62" s="1" t="s">
        <v>98</v>
      </c>
      <c r="AF62" s="36" t="e">
        <f ca="1">_xll.BDP($AD62,AF$10)</f>
        <v>#NAME?</v>
      </c>
      <c r="AG62" s="36" t="e">
        <f ca="1">_xll.BDH($AD62,AG$10,$C$5,$C$5,"EQY_FUND_CRNCY=USD")</f>
        <v>#NAME?</v>
      </c>
      <c r="AH62" s="36" t="e">
        <f ca="1">_xll.BDH($AD62,AH$10,$C$5,$C$5,"EQY_FUND_CRNCY=USD")</f>
        <v>#NAME?</v>
      </c>
      <c r="AI62" s="36" t="e">
        <f ca="1">_xll.BDP($AD62,AI$10,"EQY_FUND_CRNCY=USD","FA_ADJUSTED=Y")</f>
        <v>#NAME?</v>
      </c>
      <c r="AJ62" s="36" t="e">
        <f ca="1">_xll.BDP($AD62,AJ$10,"BEST_FPERIOD_OVERRIDE=1TY","EQY_FUND_CRNCY=USD","FA_ADJUSTED=Y")</f>
        <v>#NAME?</v>
      </c>
      <c r="AK62" s="44" t="e">
        <f t="shared" ca="1" si="3"/>
        <v>#NAME?</v>
      </c>
      <c r="AL62" s="36" t="e">
        <f ca="1">_xll.BDP($AD62,AL$10,"EQY_FUND_CRNCY=USD","FA_ADJUSTED=Y")</f>
        <v>#NAME?</v>
      </c>
      <c r="AM62" s="36" t="e">
        <f ca="1">_xll.BDP($AD62,AM$10,"BEST_FPERIOD_OVERRIDE=1TY","EQY_FUND_CRNCY=USD","FA_ADJUSTED=Y")</f>
        <v>#NAME?</v>
      </c>
      <c r="AN62" s="36" t="e">
        <f ca="1">_xll.BDP($AD62,AN$10,"BEST_FPERIOD_OVERRIDE=1TY","EQY_FUND_CRNCY=USD","FA_ADJUSTED=Y")</f>
        <v>#NAME?</v>
      </c>
      <c r="AO62" s="36" t="e">
        <f ca="1">_xll.BDP($AD62,AO$10,"BEST_FPERIOD_OVERRIDE=1TY","EQY_FUND_CRNCY=USD","FA_ADJUSTED=Y")</f>
        <v>#NAME?</v>
      </c>
      <c r="AP62" s="36" t="e">
        <f ca="1">_xll.BDP($AD62,AP$10,"BEST_FPERIOD_OVERRIDE=1TY","EQY_FUND_CRNCY=USD","FA_ADJUSTED=Y")</f>
        <v>#NAME?</v>
      </c>
      <c r="AQ62" s="36" t="e">
        <f ca="1">_xll.BDP($AD62,AQ$10,"EQY_FUND_CRNCY=USD","FA_ADJUSTED=Y")</f>
        <v>#NAME?</v>
      </c>
      <c r="AR62" s="36" t="e">
        <f ca="1">_xll.BDP($AD62,AR$10,"BEST_FPERIOD_OVERRIDE=1TY","EQY_FUND_CRNCY=USD","FA_ADJUSTED=Y")</f>
        <v>#NAME?</v>
      </c>
      <c r="AS62" s="36" t="e">
        <f ca="1">_xll.BDP($AD62,AS$10,"EQY_FUND_CRNCY=USD","FA_ADJUSTED=Y")</f>
        <v>#NAME?</v>
      </c>
      <c r="AT62" s="36" t="e">
        <f ca="1">_xll.BDP($AD62,AT$10,"BEST_FPERIOD_OVERRIDE=1TY","EQY_FUND_CRNCY=USD","FA_ADJUSTED=Y")</f>
        <v>#NAME?</v>
      </c>
      <c r="AV62" s="1" t="s">
        <v>97</v>
      </c>
      <c r="AW62" s="1" t="s">
        <v>98</v>
      </c>
      <c r="AX62" s="36" t="s">
        <v>495</v>
      </c>
      <c r="AY62" s="36">
        <v>7426.6350000000002</v>
      </c>
      <c r="AZ62" s="36">
        <v>7407.2659999999996</v>
      </c>
      <c r="BA62" s="36">
        <v>498.02800000000002</v>
      </c>
      <c r="BB62" s="36">
        <v>621.76</v>
      </c>
      <c r="BC62" s="44">
        <v>0.24844386259407103</v>
      </c>
      <c r="BD62" s="36">
        <v>416.48600439453128</v>
      </c>
      <c r="BE62" s="36">
        <v>82.850000000000009</v>
      </c>
      <c r="BF62" s="36">
        <v>30.43</v>
      </c>
      <c r="BG62" s="36">
        <v>150.512</v>
      </c>
      <c r="BH62" s="36">
        <v>91.647000000000006</v>
      </c>
      <c r="BI62" s="36">
        <v>148.13299999999998</v>
      </c>
      <c r="BJ62" s="36">
        <v>254.15200000000002</v>
      </c>
      <c r="BK62" s="36">
        <v>104.562799698118</v>
      </c>
      <c r="BL62" s="36">
        <v>171.12</v>
      </c>
    </row>
    <row r="63" spans="1:64" ht="30" customHeight="1" x14ac:dyDescent="0.2">
      <c r="B63" s="62" t="s">
        <v>476</v>
      </c>
      <c r="C63" s="54" t="e">
        <f>VLOOKUP($B63,#REF!,COLUMNS($B63:C63),0)</f>
        <v>#REF!</v>
      </c>
      <c r="D63" s="66" t="e">
        <f>VLOOKUP($B63,#REF!,COLUMNS($B63:D63),0)</f>
        <v>#REF!</v>
      </c>
      <c r="E63" s="66" t="e">
        <f>VLOOKUP($B63,#REF!,COLUMNS($B63:E63),0)</f>
        <v>#REF!</v>
      </c>
      <c r="F63" s="67" t="e">
        <f>VLOOKUP($B63,#REF!,COLUMNS($B63:F63),0)</f>
        <v>#REF!</v>
      </c>
      <c r="G63" s="68" t="e">
        <f>VLOOKUP($B63,#REF!,COLUMNS($B63:G63),0)</f>
        <v>#REF!</v>
      </c>
      <c r="H63" s="69" t="e">
        <f>VLOOKUP($B63,#REF!,COLUMNS($B63:H63),0)</f>
        <v>#REF!</v>
      </c>
      <c r="I63" s="70" t="e">
        <f>VLOOKUP($B63,#REF!,COLUMNS($B63:I63),0)</f>
        <v>#REF!</v>
      </c>
      <c r="J63" s="71" t="e">
        <f>VLOOKUP($B63,#REF!,COLUMNS($B63:J63),0)</f>
        <v>#REF!</v>
      </c>
      <c r="K63" s="60" t="e">
        <f>VLOOKUP($B63,#REF!,COLUMNS($B63:K63),0)</f>
        <v>#REF!</v>
      </c>
      <c r="L63" s="61" t="e">
        <f>VLOOKUP($B63,#REF!,COLUMNS($B63:L63),0)</f>
        <v>#REF!</v>
      </c>
      <c r="M63" s="61" t="e">
        <f>VLOOKUP($B63,#REF!,COLUMNS($B63:M63),0)</f>
        <v>#REF!</v>
      </c>
      <c r="AD63" s="1" t="s">
        <v>99</v>
      </c>
      <c r="AE63" s="1" t="s">
        <v>100</v>
      </c>
      <c r="AF63" s="36" t="e">
        <f ca="1">_xll.BDP($AD63,AF$10)</f>
        <v>#NAME?</v>
      </c>
      <c r="AG63" s="36" t="e">
        <f ca="1">_xll.BDH($AD63,AG$10,$C$5,$C$5,"EQY_FUND_CRNCY=USD")</f>
        <v>#NAME?</v>
      </c>
      <c r="AH63" s="36" t="e">
        <f ca="1">_xll.BDH($AD63,AH$10,$C$5,$C$5,"EQY_FUND_CRNCY=USD")</f>
        <v>#NAME?</v>
      </c>
      <c r="AI63" s="36" t="e">
        <f ca="1">_xll.BDP($AD63,AI$10,"EQY_FUND_CRNCY=USD","FA_ADJUSTED=Y")</f>
        <v>#NAME?</v>
      </c>
      <c r="AJ63" s="36" t="e">
        <f ca="1">_xll.BDP($AD63,AJ$10,"BEST_FPERIOD_OVERRIDE=1TY","EQY_FUND_CRNCY=USD","FA_ADJUSTED=Y")</f>
        <v>#NAME?</v>
      </c>
      <c r="AK63" s="44" t="e">
        <f t="shared" ca="1" si="3"/>
        <v>#NAME?</v>
      </c>
      <c r="AL63" s="36" t="e">
        <f ca="1">_xll.BDP($AD63,AL$10,"EQY_FUND_CRNCY=USD","FA_ADJUSTED=Y")</f>
        <v>#NAME?</v>
      </c>
      <c r="AM63" s="36" t="e">
        <f ca="1">_xll.BDP($AD63,AM$10,"BEST_FPERIOD_OVERRIDE=1TY","EQY_FUND_CRNCY=USD","FA_ADJUSTED=Y")</f>
        <v>#NAME?</v>
      </c>
      <c r="AN63" s="36" t="e">
        <f ca="1">_xll.BDP($AD63,AN$10,"BEST_FPERIOD_OVERRIDE=1TY","EQY_FUND_CRNCY=USD","FA_ADJUSTED=Y")</f>
        <v>#NAME?</v>
      </c>
      <c r="AO63" s="36" t="e">
        <f ca="1">_xll.BDP($AD63,AO$10,"BEST_FPERIOD_OVERRIDE=1TY","EQY_FUND_CRNCY=USD","FA_ADJUSTED=Y")</f>
        <v>#NAME?</v>
      </c>
      <c r="AP63" s="36" t="e">
        <f ca="1">_xll.BDP($AD63,AP$10,"BEST_FPERIOD_OVERRIDE=1TY","EQY_FUND_CRNCY=USD","FA_ADJUSTED=Y")</f>
        <v>#NAME?</v>
      </c>
      <c r="AQ63" s="36" t="e">
        <f ca="1">_xll.BDP($AD63,AQ$10,"EQY_FUND_CRNCY=USD","FA_ADJUSTED=Y")</f>
        <v>#NAME?</v>
      </c>
      <c r="AR63" s="36" t="e">
        <f ca="1">_xll.BDP($AD63,AR$10,"BEST_FPERIOD_OVERRIDE=1TY","EQY_FUND_CRNCY=USD","FA_ADJUSTED=Y")</f>
        <v>#NAME?</v>
      </c>
      <c r="AS63" s="36" t="e">
        <f ca="1">_xll.BDP($AD63,AS$10,"EQY_FUND_CRNCY=USD","FA_ADJUSTED=Y")</f>
        <v>#NAME?</v>
      </c>
      <c r="AT63" s="36" t="e">
        <f ca="1">_xll.BDP($AD63,AT$10,"BEST_FPERIOD_OVERRIDE=1TY","EQY_FUND_CRNCY=USD","FA_ADJUSTED=Y")</f>
        <v>#NAME?</v>
      </c>
      <c r="AV63" s="1" t="s">
        <v>99</v>
      </c>
      <c r="AW63" s="1" t="s">
        <v>100</v>
      </c>
      <c r="AX63" s="36" t="s">
        <v>495</v>
      </c>
      <c r="AY63" s="36">
        <v>7408.9178000000002</v>
      </c>
      <c r="AZ63" s="36">
        <v>9247.8755000000001</v>
      </c>
      <c r="BA63" s="36">
        <v>2273.2000000000003</v>
      </c>
      <c r="BB63" s="36">
        <v>2275</v>
      </c>
      <c r="BC63" s="44">
        <v>7.9183529825788135E-4</v>
      </c>
      <c r="BD63" s="36">
        <v>1091.2</v>
      </c>
      <c r="BE63" s="36">
        <v>49.633000000000003</v>
      </c>
      <c r="BF63" s="36">
        <v>0</v>
      </c>
      <c r="BG63" s="36" t="s">
        <v>480</v>
      </c>
      <c r="BH63" s="36" t="s">
        <v>480</v>
      </c>
      <c r="BI63" s="36">
        <v>767.59999999999991</v>
      </c>
      <c r="BJ63" s="36">
        <v>898.33299999999997</v>
      </c>
      <c r="BK63" s="36">
        <v>426.99656571026196</v>
      </c>
      <c r="BL63" s="36">
        <v>496.33300000000003</v>
      </c>
    </row>
    <row r="64" spans="1:64" ht="30" customHeight="1" x14ac:dyDescent="0.2">
      <c r="B64" s="62" t="s">
        <v>479</v>
      </c>
      <c r="C64" s="54" t="e">
        <f>VLOOKUP($B64,#REF!,COLUMNS($B64:C64),0)</f>
        <v>#REF!</v>
      </c>
      <c r="D64" s="66" t="e">
        <f>VLOOKUP($B64,#REF!,COLUMNS($B64:D64),0)</f>
        <v>#REF!</v>
      </c>
      <c r="E64" s="66" t="e">
        <f>VLOOKUP($B64,#REF!,COLUMNS($B64:E64),0)</f>
        <v>#REF!</v>
      </c>
      <c r="F64" s="67" t="e">
        <f>VLOOKUP($B64,#REF!,COLUMNS($B64:F64),0)</f>
        <v>#REF!</v>
      </c>
      <c r="G64" s="68" t="e">
        <f>VLOOKUP($B64,#REF!,COLUMNS($B64:G64),0)</f>
        <v>#REF!</v>
      </c>
      <c r="H64" s="69" t="e">
        <f>VLOOKUP($B64,#REF!,COLUMNS($B64:H64),0)</f>
        <v>#REF!</v>
      </c>
      <c r="I64" s="70" t="e">
        <f>VLOOKUP($B64,#REF!,COLUMNS($B64:I64),0)</f>
        <v>#REF!</v>
      </c>
      <c r="J64" s="71" t="e">
        <f>VLOOKUP($B64,#REF!,COLUMNS($B64:J64),0)</f>
        <v>#REF!</v>
      </c>
      <c r="K64" s="60" t="e">
        <f>VLOOKUP($B64,#REF!,COLUMNS($B64:K64),0)</f>
        <v>#REF!</v>
      </c>
      <c r="L64" s="61" t="e">
        <f>VLOOKUP($B64,#REF!,COLUMNS($B64:L64),0)</f>
        <v>#REF!</v>
      </c>
      <c r="M64" s="61" t="e">
        <f>VLOOKUP($B64,#REF!,COLUMNS($B64:M64),0)</f>
        <v>#REF!</v>
      </c>
      <c r="AD64" s="1" t="s">
        <v>101</v>
      </c>
      <c r="AE64" s="1" t="s">
        <v>102</v>
      </c>
      <c r="AF64" s="36" t="e">
        <f ca="1">_xll.BDP($AD64,AF$10)</f>
        <v>#NAME?</v>
      </c>
      <c r="AG64" s="36" t="e">
        <f ca="1">_xll.BDH($AD64,AG$10,$C$5,$C$5,"EQY_FUND_CRNCY=USD")</f>
        <v>#NAME?</v>
      </c>
      <c r="AH64" s="36" t="e">
        <f ca="1">_xll.BDH($AD64,AH$10,$C$5,$C$5,"EQY_FUND_CRNCY=USD")</f>
        <v>#NAME?</v>
      </c>
      <c r="AI64" s="36" t="e">
        <f ca="1">_xll.BDP($AD64,AI$10,"EQY_FUND_CRNCY=USD","FA_ADJUSTED=Y")</f>
        <v>#NAME?</v>
      </c>
      <c r="AJ64" s="36" t="e">
        <f ca="1">_xll.BDP($AD64,AJ$10,"BEST_FPERIOD_OVERRIDE=1TY","EQY_FUND_CRNCY=USD","FA_ADJUSTED=Y")</f>
        <v>#NAME?</v>
      </c>
      <c r="AK64" s="44" t="e">
        <f t="shared" ca="1" si="3"/>
        <v>#NAME?</v>
      </c>
      <c r="AL64" s="36" t="e">
        <f ca="1">_xll.BDP($AD64,AL$10,"EQY_FUND_CRNCY=USD","FA_ADJUSTED=Y")</f>
        <v>#NAME?</v>
      </c>
      <c r="AM64" s="36" t="e">
        <f ca="1">_xll.BDP($AD64,AM$10,"BEST_FPERIOD_OVERRIDE=1TY","EQY_FUND_CRNCY=USD","FA_ADJUSTED=Y")</f>
        <v>#NAME?</v>
      </c>
      <c r="AN64" s="36" t="e">
        <f ca="1">_xll.BDP($AD64,AN$10,"BEST_FPERIOD_OVERRIDE=1TY","EQY_FUND_CRNCY=USD","FA_ADJUSTED=Y")</f>
        <v>#NAME?</v>
      </c>
      <c r="AO64" s="36" t="e">
        <f ca="1">_xll.BDP($AD64,AO$10,"BEST_FPERIOD_OVERRIDE=1TY","EQY_FUND_CRNCY=USD","FA_ADJUSTED=Y")</f>
        <v>#NAME?</v>
      </c>
      <c r="AP64" s="36" t="e">
        <f ca="1">_xll.BDP($AD64,AP$10,"BEST_FPERIOD_OVERRIDE=1TY","EQY_FUND_CRNCY=USD","FA_ADJUSTED=Y")</f>
        <v>#NAME?</v>
      </c>
      <c r="AQ64" s="36" t="e">
        <f ca="1">_xll.BDP($AD64,AQ$10,"EQY_FUND_CRNCY=USD","FA_ADJUSTED=Y")</f>
        <v>#NAME?</v>
      </c>
      <c r="AR64" s="36" t="e">
        <f ca="1">_xll.BDP($AD64,AR$10,"BEST_FPERIOD_OVERRIDE=1TY","EQY_FUND_CRNCY=USD","FA_ADJUSTED=Y")</f>
        <v>#NAME?</v>
      </c>
      <c r="AS64" s="36" t="e">
        <f ca="1">_xll.BDP($AD64,AS$10,"EQY_FUND_CRNCY=USD","FA_ADJUSTED=Y")</f>
        <v>#NAME?</v>
      </c>
      <c r="AT64" s="36" t="e">
        <f ca="1">_xll.BDP($AD64,AT$10,"BEST_FPERIOD_OVERRIDE=1TY","EQY_FUND_CRNCY=USD","FA_ADJUSTED=Y")</f>
        <v>#NAME?</v>
      </c>
      <c r="AV64" s="1" t="s">
        <v>101</v>
      </c>
      <c r="AW64" s="1" t="s">
        <v>102</v>
      </c>
      <c r="AX64" s="36" t="s">
        <v>495</v>
      </c>
      <c r="AY64" s="36">
        <v>7152.3764000000001</v>
      </c>
      <c r="AZ64" s="36">
        <v>6390.3563999999997</v>
      </c>
      <c r="BA64" s="36">
        <v>661.06700000000001</v>
      </c>
      <c r="BB64" s="36">
        <v>749.7</v>
      </c>
      <c r="BC64" s="44">
        <v>0.13407566857822273</v>
      </c>
      <c r="BD64" s="36">
        <v>364.36000024414062</v>
      </c>
      <c r="BE64" s="36">
        <v>59.675000000000004</v>
      </c>
      <c r="BF64" s="36">
        <v>171.65699999999998</v>
      </c>
      <c r="BG64" s="36">
        <v>124.117</v>
      </c>
      <c r="BH64" s="36">
        <v>75.915999999999997</v>
      </c>
      <c r="BI64" s="36">
        <v>28.280999999999985</v>
      </c>
      <c r="BJ64" s="36">
        <v>147.46700000000001</v>
      </c>
      <c r="BK64" s="36">
        <v>35.34196</v>
      </c>
      <c r="BL64" s="36">
        <v>101.65600000000001</v>
      </c>
    </row>
    <row r="65" spans="1:64" ht="30" customHeight="1" x14ac:dyDescent="0.2">
      <c r="B65" s="62" t="s">
        <v>481</v>
      </c>
      <c r="C65" s="54" t="e">
        <f>VLOOKUP($B65,#REF!,COLUMNS($B65:C65),0)</f>
        <v>#REF!</v>
      </c>
      <c r="D65" s="66" t="e">
        <f>VLOOKUP($B65,#REF!,COLUMNS($B65:D65),0)</f>
        <v>#REF!</v>
      </c>
      <c r="E65" s="66" t="e">
        <f>VLOOKUP($B65,#REF!,COLUMNS($B65:E65),0)</f>
        <v>#REF!</v>
      </c>
      <c r="F65" s="67" t="e">
        <f>VLOOKUP($B65,#REF!,COLUMNS($B65:F65),0)</f>
        <v>#REF!</v>
      </c>
      <c r="G65" s="68" t="e">
        <f>VLOOKUP($B65,#REF!,COLUMNS($B65:G65),0)</f>
        <v>#REF!</v>
      </c>
      <c r="H65" s="69" t="e">
        <f>VLOOKUP($B65,#REF!,COLUMNS($B65:H65),0)</f>
        <v>#REF!</v>
      </c>
      <c r="I65" s="70" t="e">
        <f>VLOOKUP($B65,#REF!,COLUMNS($B65:I65),0)</f>
        <v>#REF!</v>
      </c>
      <c r="J65" s="71" t="e">
        <f>VLOOKUP($B65,#REF!,COLUMNS($B65:J65),0)</f>
        <v>#REF!</v>
      </c>
      <c r="K65" s="60" t="e">
        <f>VLOOKUP($B65,#REF!,COLUMNS($B65:K65),0)</f>
        <v>#REF!</v>
      </c>
      <c r="L65" s="61" t="e">
        <f>VLOOKUP($B65,#REF!,COLUMNS($B65:L65),0)</f>
        <v>#REF!</v>
      </c>
      <c r="M65" s="61" t="e">
        <f>VLOOKUP($B65,#REF!,COLUMNS($B65:M65),0)</f>
        <v>#REF!</v>
      </c>
      <c r="AD65" s="1" t="s">
        <v>103</v>
      </c>
      <c r="AE65" s="1" t="s">
        <v>104</v>
      </c>
      <c r="AF65" s="36" t="e">
        <f ca="1">_xll.BDP($AD65,AF$10)</f>
        <v>#NAME?</v>
      </c>
      <c r="AG65" s="36" t="e">
        <f ca="1">_xll.BDH($AD65,AG$10,$C$5,$C$5,"EQY_FUND_CRNCY=USD")</f>
        <v>#NAME?</v>
      </c>
      <c r="AH65" s="36" t="e">
        <f ca="1">_xll.BDH($AD65,AH$10,$C$5,$C$5,"EQY_FUND_CRNCY=USD")</f>
        <v>#NAME?</v>
      </c>
      <c r="AI65" s="36" t="e">
        <f ca="1">_xll.BDP($AD65,AI$10,"EQY_FUND_CRNCY=USD","FA_ADJUSTED=Y")</f>
        <v>#NAME?</v>
      </c>
      <c r="AJ65" s="36" t="e">
        <f ca="1">_xll.BDP($AD65,AJ$10,"BEST_FPERIOD_OVERRIDE=1TY","EQY_FUND_CRNCY=USD","FA_ADJUSTED=Y")</f>
        <v>#NAME?</v>
      </c>
      <c r="AK65" s="44" t="e">
        <f t="shared" ca="1" si="3"/>
        <v>#NAME?</v>
      </c>
      <c r="AL65" s="36" t="e">
        <f ca="1">_xll.BDP($AD65,AL$10,"EQY_FUND_CRNCY=USD","FA_ADJUSTED=Y")</f>
        <v>#NAME?</v>
      </c>
      <c r="AM65" s="36" t="e">
        <f ca="1">_xll.BDP($AD65,AM$10,"BEST_FPERIOD_OVERRIDE=1TY","EQY_FUND_CRNCY=USD","FA_ADJUSTED=Y")</f>
        <v>#NAME?</v>
      </c>
      <c r="AN65" s="36" t="e">
        <f ca="1">_xll.BDP($AD65,AN$10,"BEST_FPERIOD_OVERRIDE=1TY","EQY_FUND_CRNCY=USD","FA_ADJUSTED=Y")</f>
        <v>#NAME?</v>
      </c>
      <c r="AO65" s="36" t="e">
        <f ca="1">_xll.BDP($AD65,AO$10,"BEST_FPERIOD_OVERRIDE=1TY","EQY_FUND_CRNCY=USD","FA_ADJUSTED=Y")</f>
        <v>#NAME?</v>
      </c>
      <c r="AP65" s="36" t="e">
        <f ca="1">_xll.BDP($AD65,AP$10,"BEST_FPERIOD_OVERRIDE=1TY","EQY_FUND_CRNCY=USD","FA_ADJUSTED=Y")</f>
        <v>#NAME?</v>
      </c>
      <c r="AQ65" s="36" t="e">
        <f ca="1">_xll.BDP($AD65,AQ$10,"EQY_FUND_CRNCY=USD","FA_ADJUSTED=Y")</f>
        <v>#NAME?</v>
      </c>
      <c r="AR65" s="36" t="e">
        <f ca="1">_xll.BDP($AD65,AR$10,"BEST_FPERIOD_OVERRIDE=1TY","EQY_FUND_CRNCY=USD","FA_ADJUSTED=Y")</f>
        <v>#NAME?</v>
      </c>
      <c r="AS65" s="36" t="e">
        <f ca="1">_xll.BDP($AD65,AS$10,"EQY_FUND_CRNCY=USD","FA_ADJUSTED=Y")</f>
        <v>#NAME?</v>
      </c>
      <c r="AT65" s="36" t="e">
        <f ca="1">_xll.BDP($AD65,AT$10,"BEST_FPERIOD_OVERRIDE=1TY","EQY_FUND_CRNCY=USD","FA_ADJUSTED=Y")</f>
        <v>#NAME?</v>
      </c>
      <c r="AV65" s="1" t="s">
        <v>103</v>
      </c>
      <c r="AW65" s="1" t="s">
        <v>104</v>
      </c>
      <c r="AX65" s="36" t="s">
        <v>506</v>
      </c>
      <c r="AY65" s="36">
        <v>7005.5735999999997</v>
      </c>
      <c r="AZ65" s="36">
        <v>8458.5735999999997</v>
      </c>
      <c r="BA65" s="36">
        <v>1078.2</v>
      </c>
      <c r="BB65" s="36">
        <v>1157.489</v>
      </c>
      <c r="BC65" s="44">
        <v>7.3538304581710179E-2</v>
      </c>
      <c r="BD65" s="36" t="s">
        <v>480</v>
      </c>
      <c r="BE65" s="36" t="s">
        <v>480</v>
      </c>
      <c r="BF65" s="36">
        <v>0</v>
      </c>
      <c r="BG65" s="36" t="s">
        <v>480</v>
      </c>
      <c r="BH65" s="36" t="s">
        <v>480</v>
      </c>
      <c r="BI65" s="36">
        <v>480.29999999999995</v>
      </c>
      <c r="BJ65" s="36">
        <v>564.93700000000001</v>
      </c>
      <c r="BK65" s="36">
        <v>244.59999999999997</v>
      </c>
      <c r="BL65" s="36">
        <v>282.3</v>
      </c>
    </row>
    <row r="66" spans="1:64" ht="30" customHeight="1" x14ac:dyDescent="0.2">
      <c r="B66" s="63"/>
      <c r="C66" s="63"/>
      <c r="G66" s="64" t="s">
        <v>483</v>
      </c>
      <c r="H66" s="29" t="e">
        <f t="shared" ref="H66:M66" si="14">AVERAGE(H57:H65)</f>
        <v>#REF!</v>
      </c>
      <c r="I66" s="30" t="e">
        <f t="shared" si="14"/>
        <v>#REF!</v>
      </c>
      <c r="J66" s="72" t="e">
        <f t="shared" si="14"/>
        <v>#REF!</v>
      </c>
      <c r="K66" s="32" t="e">
        <f t="shared" si="14"/>
        <v>#REF!</v>
      </c>
      <c r="L66" s="33" t="e">
        <f t="shared" si="14"/>
        <v>#REF!</v>
      </c>
      <c r="M66" s="33" t="e">
        <f t="shared" si="14"/>
        <v>#REF!</v>
      </c>
      <c r="AD66" s="1" t="s">
        <v>105</v>
      </c>
      <c r="AE66" s="1" t="s">
        <v>106</v>
      </c>
      <c r="AF66" s="36" t="e">
        <f ca="1">_xll.BDP($AD66,AF$10)</f>
        <v>#NAME?</v>
      </c>
      <c r="AG66" s="36" t="e">
        <f ca="1">_xll.BDH($AD66,AG$10,$C$5,$C$5,"EQY_FUND_CRNCY=USD")</f>
        <v>#NAME?</v>
      </c>
      <c r="AH66" s="36" t="e">
        <f ca="1">_xll.BDH($AD66,AH$10,$C$5,$C$5,"EQY_FUND_CRNCY=USD")</f>
        <v>#NAME?</v>
      </c>
      <c r="AI66" s="36" t="e">
        <f ca="1">_xll.BDP($AD66,AI$10,"EQY_FUND_CRNCY=USD","FA_ADJUSTED=Y")</f>
        <v>#NAME?</v>
      </c>
      <c r="AJ66" s="36" t="e">
        <f ca="1">_xll.BDP($AD66,AJ$10,"BEST_FPERIOD_OVERRIDE=1TY","EQY_FUND_CRNCY=USD","FA_ADJUSTED=Y")</f>
        <v>#NAME?</v>
      </c>
      <c r="AK66" s="44" t="e">
        <f t="shared" ca="1" si="3"/>
        <v>#NAME?</v>
      </c>
      <c r="AL66" s="36" t="e">
        <f ca="1">_xll.BDP($AD66,AL$10,"EQY_FUND_CRNCY=USD","FA_ADJUSTED=Y")</f>
        <v>#NAME?</v>
      </c>
      <c r="AM66" s="36" t="e">
        <f ca="1">_xll.BDP($AD66,AM$10,"BEST_FPERIOD_OVERRIDE=1TY","EQY_FUND_CRNCY=USD","FA_ADJUSTED=Y")</f>
        <v>#NAME?</v>
      </c>
      <c r="AN66" s="36" t="e">
        <f ca="1">_xll.BDP($AD66,AN$10,"BEST_FPERIOD_OVERRIDE=1TY","EQY_FUND_CRNCY=USD","FA_ADJUSTED=Y")</f>
        <v>#NAME?</v>
      </c>
      <c r="AO66" s="36" t="e">
        <f ca="1">_xll.BDP($AD66,AO$10,"BEST_FPERIOD_OVERRIDE=1TY","EQY_FUND_CRNCY=USD","FA_ADJUSTED=Y")</f>
        <v>#NAME?</v>
      </c>
      <c r="AP66" s="36" t="e">
        <f ca="1">_xll.BDP($AD66,AP$10,"BEST_FPERIOD_OVERRIDE=1TY","EQY_FUND_CRNCY=USD","FA_ADJUSTED=Y")</f>
        <v>#NAME?</v>
      </c>
      <c r="AQ66" s="36" t="e">
        <f ca="1">_xll.BDP($AD66,AQ$10,"EQY_FUND_CRNCY=USD","FA_ADJUSTED=Y")</f>
        <v>#NAME?</v>
      </c>
      <c r="AR66" s="36" t="e">
        <f ca="1">_xll.BDP($AD66,AR$10,"BEST_FPERIOD_OVERRIDE=1TY","EQY_FUND_CRNCY=USD","FA_ADJUSTED=Y")</f>
        <v>#NAME?</v>
      </c>
      <c r="AS66" s="36" t="e">
        <f ca="1">_xll.BDP($AD66,AS$10,"EQY_FUND_CRNCY=USD","FA_ADJUSTED=Y")</f>
        <v>#NAME?</v>
      </c>
      <c r="AT66" s="36" t="e">
        <f ca="1">_xll.BDP($AD66,AT$10,"BEST_FPERIOD_OVERRIDE=1TY","EQY_FUND_CRNCY=USD","FA_ADJUSTED=Y")</f>
        <v>#NAME?</v>
      </c>
      <c r="AV66" s="1" t="s">
        <v>105</v>
      </c>
      <c r="AW66" s="1" t="s">
        <v>106</v>
      </c>
      <c r="AX66" s="36" t="s">
        <v>495</v>
      </c>
      <c r="AY66" s="36">
        <v>6820.7802000000001</v>
      </c>
      <c r="AZ66" s="36">
        <v>6894.6152000000002</v>
      </c>
      <c r="BA66" s="36">
        <v>499.51400000000001</v>
      </c>
      <c r="BB66" s="36">
        <v>548.56299999999999</v>
      </c>
      <c r="BC66" s="44">
        <v>9.8193444027594667E-2</v>
      </c>
      <c r="BD66" s="36">
        <v>448.87000836181642</v>
      </c>
      <c r="BE66" s="36">
        <v>89.632999999999996</v>
      </c>
      <c r="BF66" s="36">
        <v>82.075999999999993</v>
      </c>
      <c r="BG66" s="36">
        <v>101.077</v>
      </c>
      <c r="BH66" s="36">
        <v>56.076000000000001</v>
      </c>
      <c r="BI66" s="36">
        <v>218.595</v>
      </c>
      <c r="BJ66" s="36">
        <v>277.47500000000002</v>
      </c>
      <c r="BK66" s="36">
        <v>150.27254635458399</v>
      </c>
      <c r="BL66" s="36">
        <v>222.1</v>
      </c>
    </row>
    <row r="67" spans="1:64" ht="30" customHeight="1" x14ac:dyDescent="0.2">
      <c r="B67" s="63"/>
      <c r="C67" s="63"/>
      <c r="G67" s="64" t="s">
        <v>484</v>
      </c>
      <c r="H67" s="29" t="e">
        <f t="shared" ref="H67:M67" si="15">MEDIAN(H57:H65)</f>
        <v>#REF!</v>
      </c>
      <c r="I67" s="30" t="e">
        <f t="shared" si="15"/>
        <v>#REF!</v>
      </c>
      <c r="J67" s="72" t="e">
        <f t="shared" si="15"/>
        <v>#REF!</v>
      </c>
      <c r="K67" s="32" t="e">
        <f t="shared" si="15"/>
        <v>#REF!</v>
      </c>
      <c r="L67" s="33" t="e">
        <f t="shared" si="15"/>
        <v>#REF!</v>
      </c>
      <c r="M67" s="33" t="e">
        <f t="shared" si="15"/>
        <v>#REF!</v>
      </c>
      <c r="AD67" s="1" t="s">
        <v>107</v>
      </c>
      <c r="AE67" s="1" t="s">
        <v>108</v>
      </c>
      <c r="AF67" s="36" t="e">
        <f ca="1">_xll.BDP($AD67,AF$10)</f>
        <v>#NAME?</v>
      </c>
      <c r="AG67" s="36" t="e">
        <f ca="1">_xll.BDH($AD67,AG$10,$C$5,$C$5,"EQY_FUND_CRNCY=USD")</f>
        <v>#NAME?</v>
      </c>
      <c r="AH67" s="36" t="e">
        <f ca="1">_xll.BDH($AD67,AH$10,$C$5,$C$5,"EQY_FUND_CRNCY=USD")</f>
        <v>#NAME?</v>
      </c>
      <c r="AI67" s="36" t="e">
        <f ca="1">_xll.BDP($AD67,AI$10,"EQY_FUND_CRNCY=USD","FA_ADJUSTED=Y")</f>
        <v>#NAME?</v>
      </c>
      <c r="AJ67" s="36" t="e">
        <f ca="1">_xll.BDP($AD67,AJ$10,"BEST_FPERIOD_OVERRIDE=1TY","EQY_FUND_CRNCY=USD","FA_ADJUSTED=Y")</f>
        <v>#NAME?</v>
      </c>
      <c r="AK67" s="44" t="e">
        <f t="shared" ca="1" si="3"/>
        <v>#NAME?</v>
      </c>
      <c r="AL67" s="36" t="e">
        <f ca="1">_xll.BDP($AD67,AL$10,"EQY_FUND_CRNCY=USD","FA_ADJUSTED=Y")</f>
        <v>#NAME?</v>
      </c>
      <c r="AM67" s="36" t="e">
        <f ca="1">_xll.BDP($AD67,AM$10,"BEST_FPERIOD_OVERRIDE=1TY","EQY_FUND_CRNCY=USD","FA_ADJUSTED=Y")</f>
        <v>#NAME?</v>
      </c>
      <c r="AN67" s="36" t="e">
        <f ca="1">_xll.BDP($AD67,AN$10,"BEST_FPERIOD_OVERRIDE=1TY","EQY_FUND_CRNCY=USD","FA_ADJUSTED=Y")</f>
        <v>#NAME?</v>
      </c>
      <c r="AO67" s="36" t="e">
        <f ca="1">_xll.BDP($AD67,AO$10,"BEST_FPERIOD_OVERRIDE=1TY","EQY_FUND_CRNCY=USD","FA_ADJUSTED=Y")</f>
        <v>#NAME?</v>
      </c>
      <c r="AP67" s="36" t="e">
        <f ca="1">_xll.BDP($AD67,AP$10,"BEST_FPERIOD_OVERRIDE=1TY","EQY_FUND_CRNCY=USD","FA_ADJUSTED=Y")</f>
        <v>#NAME?</v>
      </c>
      <c r="AQ67" s="36" t="e">
        <f ca="1">_xll.BDP($AD67,AQ$10,"EQY_FUND_CRNCY=USD","FA_ADJUSTED=Y")</f>
        <v>#NAME?</v>
      </c>
      <c r="AR67" s="36" t="e">
        <f ca="1">_xll.BDP($AD67,AR$10,"BEST_FPERIOD_OVERRIDE=1TY","EQY_FUND_CRNCY=USD","FA_ADJUSTED=Y")</f>
        <v>#NAME?</v>
      </c>
      <c r="AS67" s="36" t="e">
        <f ca="1">_xll.BDP($AD67,AS$10,"EQY_FUND_CRNCY=USD","FA_ADJUSTED=Y")</f>
        <v>#NAME?</v>
      </c>
      <c r="AT67" s="36" t="e">
        <f ca="1">_xll.BDP($AD67,AT$10,"BEST_FPERIOD_OVERRIDE=1TY","EQY_FUND_CRNCY=USD","FA_ADJUSTED=Y")</f>
        <v>#NAME?</v>
      </c>
      <c r="AV67" s="1" t="s">
        <v>107</v>
      </c>
      <c r="AW67" s="1" t="s">
        <v>108</v>
      </c>
      <c r="AX67" s="36" t="s">
        <v>495</v>
      </c>
      <c r="AY67" s="36">
        <v>6740.9416000000001</v>
      </c>
      <c r="AZ67" s="36">
        <v>6236.2366000000002</v>
      </c>
      <c r="BA67" s="36">
        <v>1155.4570000000001</v>
      </c>
      <c r="BB67" s="36">
        <v>1366.1669999999999</v>
      </c>
      <c r="BC67" s="44">
        <v>0.18236074557512727</v>
      </c>
      <c r="BD67" s="36">
        <v>769.42700024414057</v>
      </c>
      <c r="BE67" s="36">
        <v>78.515000000000001</v>
      </c>
      <c r="BF67" s="36">
        <v>313.77699999999999</v>
      </c>
      <c r="BG67" s="36">
        <v>649.65700000000004</v>
      </c>
      <c r="BH67" s="36">
        <v>86.400999999999996</v>
      </c>
      <c r="BI67" s="36">
        <v>-222.005860759494</v>
      </c>
      <c r="BJ67" s="36">
        <v>-120.633</v>
      </c>
      <c r="BK67" s="36">
        <v>-290.7982245</v>
      </c>
      <c r="BL67" s="36">
        <v>-189.75900000000001</v>
      </c>
    </row>
    <row r="68" spans="1:64" ht="30" customHeight="1" x14ac:dyDescent="0.2">
      <c r="B68" s="65"/>
      <c r="C68" s="65"/>
      <c r="G68" s="64" t="s">
        <v>485</v>
      </c>
      <c r="H68" s="29" t="e">
        <f t="shared" ref="H68:M68" si="16">MAX(H57:H65)</f>
        <v>#REF!</v>
      </c>
      <c r="I68" s="30" t="e">
        <f t="shared" si="16"/>
        <v>#REF!</v>
      </c>
      <c r="J68" s="72" t="e">
        <f t="shared" si="16"/>
        <v>#REF!</v>
      </c>
      <c r="K68" s="32" t="e">
        <f t="shared" si="16"/>
        <v>#REF!</v>
      </c>
      <c r="L68" s="33" t="e">
        <f t="shared" si="16"/>
        <v>#REF!</v>
      </c>
      <c r="M68" s="33" t="e">
        <f t="shared" si="16"/>
        <v>#REF!</v>
      </c>
      <c r="AD68" s="1" t="s">
        <v>109</v>
      </c>
      <c r="AE68" s="1" t="s">
        <v>110</v>
      </c>
      <c r="AF68" s="36" t="e">
        <f ca="1">_xll.BDP($AD68,AF$10)</f>
        <v>#NAME?</v>
      </c>
      <c r="AG68" s="36" t="e">
        <f ca="1">_xll.BDH($AD68,AG$10,$C$5,$C$5,"EQY_FUND_CRNCY=USD")</f>
        <v>#NAME?</v>
      </c>
      <c r="AH68" s="36" t="e">
        <f ca="1">_xll.BDH($AD68,AH$10,$C$5,$C$5,"EQY_FUND_CRNCY=USD")</f>
        <v>#NAME?</v>
      </c>
      <c r="AI68" s="36" t="e">
        <f ca="1">_xll.BDP($AD68,AI$10,"EQY_FUND_CRNCY=USD","FA_ADJUSTED=Y")</f>
        <v>#NAME?</v>
      </c>
      <c r="AJ68" s="36" t="e">
        <f ca="1">_xll.BDP($AD68,AJ$10,"BEST_FPERIOD_OVERRIDE=1TY","EQY_FUND_CRNCY=USD","FA_ADJUSTED=Y")</f>
        <v>#NAME?</v>
      </c>
      <c r="AK68" s="44" t="e">
        <f t="shared" ca="1" si="3"/>
        <v>#NAME?</v>
      </c>
      <c r="AL68" s="36" t="e">
        <f ca="1">_xll.BDP($AD68,AL$10,"EQY_FUND_CRNCY=USD","FA_ADJUSTED=Y")</f>
        <v>#NAME?</v>
      </c>
      <c r="AM68" s="36" t="e">
        <f ca="1">_xll.BDP($AD68,AM$10,"BEST_FPERIOD_OVERRIDE=1TY","EQY_FUND_CRNCY=USD","FA_ADJUSTED=Y")</f>
        <v>#NAME?</v>
      </c>
      <c r="AN68" s="36" t="e">
        <f ca="1">_xll.BDP($AD68,AN$10,"BEST_FPERIOD_OVERRIDE=1TY","EQY_FUND_CRNCY=USD","FA_ADJUSTED=Y")</f>
        <v>#NAME?</v>
      </c>
      <c r="AO68" s="36" t="e">
        <f ca="1">_xll.BDP($AD68,AO$10,"BEST_FPERIOD_OVERRIDE=1TY","EQY_FUND_CRNCY=USD","FA_ADJUSTED=Y")</f>
        <v>#NAME?</v>
      </c>
      <c r="AP68" s="36" t="e">
        <f ca="1">_xll.BDP($AD68,AP$10,"BEST_FPERIOD_OVERRIDE=1TY","EQY_FUND_CRNCY=USD","FA_ADJUSTED=Y")</f>
        <v>#NAME?</v>
      </c>
      <c r="AQ68" s="36" t="e">
        <f ca="1">_xll.BDP($AD68,AQ$10,"EQY_FUND_CRNCY=USD","FA_ADJUSTED=Y")</f>
        <v>#NAME?</v>
      </c>
      <c r="AR68" s="36" t="e">
        <f ca="1">_xll.BDP($AD68,AR$10,"BEST_FPERIOD_OVERRIDE=1TY","EQY_FUND_CRNCY=USD","FA_ADJUSTED=Y")</f>
        <v>#NAME?</v>
      </c>
      <c r="AS68" s="36" t="e">
        <f ca="1">_xll.BDP($AD68,AS$10,"EQY_FUND_CRNCY=USD","FA_ADJUSTED=Y")</f>
        <v>#NAME?</v>
      </c>
      <c r="AT68" s="36" t="e">
        <f ca="1">_xll.BDP($AD68,AT$10,"BEST_FPERIOD_OVERRIDE=1TY","EQY_FUND_CRNCY=USD","FA_ADJUSTED=Y")</f>
        <v>#NAME?</v>
      </c>
      <c r="AV68" s="1" t="s">
        <v>109</v>
      </c>
      <c r="AW68" s="1" t="s">
        <v>110</v>
      </c>
      <c r="AX68" s="36" t="s">
        <v>506</v>
      </c>
      <c r="AY68" s="36">
        <v>6666.2766000000001</v>
      </c>
      <c r="AZ68" s="36">
        <v>9733.1316000000006</v>
      </c>
      <c r="BA68" s="36">
        <v>3755.2129999999997</v>
      </c>
      <c r="BB68" s="36">
        <v>3945.0750000000003</v>
      </c>
      <c r="BC68" s="44">
        <v>5.0559582106261436E-2</v>
      </c>
      <c r="BD68" s="36">
        <v>1077.0209764404296</v>
      </c>
      <c r="BE68" s="36">
        <v>38.840000000000003</v>
      </c>
      <c r="BF68" s="36">
        <v>0</v>
      </c>
      <c r="BG68" s="36" t="s">
        <v>480</v>
      </c>
      <c r="BH68" s="36" t="s">
        <v>480</v>
      </c>
      <c r="BI68" s="36">
        <v>972.27599999999995</v>
      </c>
      <c r="BJ68" s="36">
        <v>1138.2860000000001</v>
      </c>
      <c r="BK68" s="36">
        <v>307.796316586464</v>
      </c>
      <c r="BL68" s="36">
        <v>431.33300000000003</v>
      </c>
    </row>
    <row r="69" spans="1:64" ht="30" customHeight="1" x14ac:dyDescent="0.2">
      <c r="B69" s="65"/>
      <c r="C69" s="65"/>
      <c r="G69" s="64" t="s">
        <v>486</v>
      </c>
      <c r="H69" s="29" t="e">
        <f t="shared" ref="H69:M69" si="17">MIN(H57:H65)</f>
        <v>#REF!</v>
      </c>
      <c r="I69" s="30" t="e">
        <f t="shared" si="17"/>
        <v>#REF!</v>
      </c>
      <c r="J69" s="72" t="e">
        <f t="shared" si="17"/>
        <v>#REF!</v>
      </c>
      <c r="K69" s="32" t="e">
        <f t="shared" si="17"/>
        <v>#REF!</v>
      </c>
      <c r="L69" s="33" t="e">
        <f t="shared" si="17"/>
        <v>#REF!</v>
      </c>
      <c r="M69" s="33" t="e">
        <f t="shared" si="17"/>
        <v>#REF!</v>
      </c>
      <c r="AD69" s="1" t="s">
        <v>111</v>
      </c>
      <c r="AE69" s="1" t="s">
        <v>112</v>
      </c>
      <c r="AF69" s="36" t="e">
        <f ca="1">_xll.BDP($AD69,AF$10)</f>
        <v>#NAME?</v>
      </c>
      <c r="AG69" s="36" t="e">
        <f ca="1">_xll.BDH($AD69,AG$10,$C$5,$C$5,"EQY_FUND_CRNCY=USD")</f>
        <v>#NAME?</v>
      </c>
      <c r="AH69" s="36" t="e">
        <f ca="1">_xll.BDH($AD69,AH$10,$C$5,$C$5,"EQY_FUND_CRNCY=USD")</f>
        <v>#NAME?</v>
      </c>
      <c r="AI69" s="36" t="e">
        <f ca="1">_xll.BDP($AD69,AI$10,"EQY_FUND_CRNCY=USD","FA_ADJUSTED=Y")</f>
        <v>#NAME?</v>
      </c>
      <c r="AJ69" s="36" t="e">
        <f ca="1">_xll.BDP($AD69,AJ$10,"BEST_FPERIOD_OVERRIDE=1TY","EQY_FUND_CRNCY=USD","FA_ADJUSTED=Y")</f>
        <v>#NAME?</v>
      </c>
      <c r="AK69" s="44" t="e">
        <f t="shared" ca="1" si="3"/>
        <v>#NAME?</v>
      </c>
      <c r="AL69" s="36" t="e">
        <f ca="1">_xll.BDP($AD69,AL$10,"EQY_FUND_CRNCY=USD","FA_ADJUSTED=Y")</f>
        <v>#NAME?</v>
      </c>
      <c r="AM69" s="36" t="e">
        <f ca="1">_xll.BDP($AD69,AM$10,"BEST_FPERIOD_OVERRIDE=1TY","EQY_FUND_CRNCY=USD","FA_ADJUSTED=Y")</f>
        <v>#NAME?</v>
      </c>
      <c r="AN69" s="36" t="e">
        <f ca="1">_xll.BDP($AD69,AN$10,"BEST_FPERIOD_OVERRIDE=1TY","EQY_FUND_CRNCY=USD","FA_ADJUSTED=Y")</f>
        <v>#NAME?</v>
      </c>
      <c r="AO69" s="36" t="e">
        <f ca="1">_xll.BDP($AD69,AO$10,"BEST_FPERIOD_OVERRIDE=1TY","EQY_FUND_CRNCY=USD","FA_ADJUSTED=Y")</f>
        <v>#NAME?</v>
      </c>
      <c r="AP69" s="36" t="e">
        <f ca="1">_xll.BDP($AD69,AP$10,"BEST_FPERIOD_OVERRIDE=1TY","EQY_FUND_CRNCY=USD","FA_ADJUSTED=Y")</f>
        <v>#NAME?</v>
      </c>
      <c r="AQ69" s="36" t="e">
        <f ca="1">_xll.BDP($AD69,AQ$10,"EQY_FUND_CRNCY=USD","FA_ADJUSTED=Y")</f>
        <v>#NAME?</v>
      </c>
      <c r="AR69" s="36" t="e">
        <f ca="1">_xll.BDP($AD69,AR$10,"BEST_FPERIOD_OVERRIDE=1TY","EQY_FUND_CRNCY=USD","FA_ADJUSTED=Y")</f>
        <v>#NAME?</v>
      </c>
      <c r="AS69" s="36" t="e">
        <f ca="1">_xll.BDP($AD69,AS$10,"EQY_FUND_CRNCY=USD","FA_ADJUSTED=Y")</f>
        <v>#NAME?</v>
      </c>
      <c r="AT69" s="36" t="e">
        <f ca="1">_xll.BDP($AD69,AT$10,"BEST_FPERIOD_OVERRIDE=1TY","EQY_FUND_CRNCY=USD","FA_ADJUSTED=Y")</f>
        <v>#NAME?</v>
      </c>
      <c r="AV69" s="1" t="s">
        <v>111</v>
      </c>
      <c r="AW69" s="1" t="s">
        <v>112</v>
      </c>
      <c r="AX69" s="36" t="s">
        <v>495</v>
      </c>
      <c r="AY69" s="36">
        <v>6261.2359999999999</v>
      </c>
      <c r="AZ69" s="36">
        <v>5991.3509999999997</v>
      </c>
      <c r="BA69" s="36">
        <v>602.31500000000005</v>
      </c>
      <c r="BB69" s="36">
        <v>762.5</v>
      </c>
      <c r="BC69" s="44">
        <v>0.26594888056913724</v>
      </c>
      <c r="BD69" s="36">
        <v>444.96900311279296</v>
      </c>
      <c r="BE69" s="36">
        <v>79.150000000000006</v>
      </c>
      <c r="BF69" s="36">
        <v>92.427999999999997</v>
      </c>
      <c r="BG69" s="36">
        <v>277.93</v>
      </c>
      <c r="BH69" s="36">
        <v>81.525999999999996</v>
      </c>
      <c r="BI69" s="36" t="s">
        <v>480</v>
      </c>
      <c r="BJ69" s="36">
        <v>31.82</v>
      </c>
      <c r="BK69" s="36">
        <v>-328.25799999999998</v>
      </c>
      <c r="BL69" s="36">
        <v>-4.5419999999999998</v>
      </c>
    </row>
    <row r="70" spans="1:64" x14ac:dyDescent="0.2">
      <c r="AD70" s="1" t="s">
        <v>113</v>
      </c>
      <c r="AE70" s="1" t="s">
        <v>114</v>
      </c>
      <c r="AF70" s="36" t="e">
        <f ca="1">_xll.BDP($AD70,AF$10)</f>
        <v>#NAME?</v>
      </c>
      <c r="AG70" s="36" t="e">
        <f ca="1">_xll.BDH($AD70,AG$10,$C$5,$C$5,"EQY_FUND_CRNCY=USD")</f>
        <v>#NAME?</v>
      </c>
      <c r="AH70" s="36" t="e">
        <f ca="1">_xll.BDH($AD70,AH$10,$C$5,$C$5,"EQY_FUND_CRNCY=USD")</f>
        <v>#NAME?</v>
      </c>
      <c r="AI70" s="36" t="e">
        <f ca="1">_xll.BDP($AD70,AI$10,"EQY_FUND_CRNCY=USD","FA_ADJUSTED=Y")</f>
        <v>#NAME?</v>
      </c>
      <c r="AJ70" s="36" t="e">
        <f ca="1">_xll.BDP($AD70,AJ$10,"BEST_FPERIOD_OVERRIDE=1TY","EQY_FUND_CRNCY=USD","FA_ADJUSTED=Y")</f>
        <v>#NAME?</v>
      </c>
      <c r="AK70" s="44" t="e">
        <f t="shared" ca="1" si="3"/>
        <v>#NAME?</v>
      </c>
      <c r="AL70" s="36" t="e">
        <f ca="1">_xll.BDP($AD70,AL$10,"EQY_FUND_CRNCY=USD","FA_ADJUSTED=Y")</f>
        <v>#NAME?</v>
      </c>
      <c r="AM70" s="36" t="e">
        <f ca="1">_xll.BDP($AD70,AM$10,"BEST_FPERIOD_OVERRIDE=1TY","EQY_FUND_CRNCY=USD","FA_ADJUSTED=Y")</f>
        <v>#NAME?</v>
      </c>
      <c r="AN70" s="36" t="e">
        <f ca="1">_xll.BDP($AD70,AN$10,"BEST_FPERIOD_OVERRIDE=1TY","EQY_FUND_CRNCY=USD","FA_ADJUSTED=Y")</f>
        <v>#NAME?</v>
      </c>
      <c r="AO70" s="36" t="e">
        <f ca="1">_xll.BDP($AD70,AO$10,"BEST_FPERIOD_OVERRIDE=1TY","EQY_FUND_CRNCY=USD","FA_ADJUSTED=Y")</f>
        <v>#NAME?</v>
      </c>
      <c r="AP70" s="36" t="e">
        <f ca="1">_xll.BDP($AD70,AP$10,"BEST_FPERIOD_OVERRIDE=1TY","EQY_FUND_CRNCY=USD","FA_ADJUSTED=Y")</f>
        <v>#NAME?</v>
      </c>
      <c r="AQ70" s="36" t="e">
        <f ca="1">_xll.BDP($AD70,AQ$10,"EQY_FUND_CRNCY=USD","FA_ADJUSTED=Y")</f>
        <v>#NAME?</v>
      </c>
      <c r="AR70" s="36" t="e">
        <f ca="1">_xll.BDP($AD70,AR$10,"BEST_FPERIOD_OVERRIDE=1TY","EQY_FUND_CRNCY=USD","FA_ADJUSTED=Y")</f>
        <v>#NAME?</v>
      </c>
      <c r="AS70" s="36" t="e">
        <f ca="1">_xll.BDP($AD70,AS$10,"EQY_FUND_CRNCY=USD","FA_ADJUSTED=Y")</f>
        <v>#NAME?</v>
      </c>
      <c r="AT70" s="36" t="e">
        <f ca="1">_xll.BDP($AD70,AT$10,"BEST_FPERIOD_OVERRIDE=1TY","EQY_FUND_CRNCY=USD","FA_ADJUSTED=Y")</f>
        <v>#NAME?</v>
      </c>
      <c r="AV70" s="1" t="s">
        <v>113</v>
      </c>
      <c r="AW70" s="1" t="s">
        <v>114</v>
      </c>
      <c r="AX70" s="36" t="s">
        <v>495</v>
      </c>
      <c r="AY70" s="36">
        <v>6043.8905999999997</v>
      </c>
      <c r="AZ70" s="36">
        <v>5616.1094999999996</v>
      </c>
      <c r="BA70" s="36">
        <v>507.88499999999999</v>
      </c>
      <c r="BB70" s="36">
        <v>667.96900000000005</v>
      </c>
      <c r="BC70" s="44">
        <v>0.31519733798005456</v>
      </c>
      <c r="BD70" s="36">
        <v>356.01800524902342</v>
      </c>
      <c r="BE70" s="36">
        <v>73.061000000000007</v>
      </c>
      <c r="BF70" s="36">
        <v>115.291</v>
      </c>
      <c r="BG70" s="36">
        <v>220.74199999999999</v>
      </c>
      <c r="BH70" s="36">
        <v>81.680000000000007</v>
      </c>
      <c r="BI70" s="36">
        <v>-86.045139240506003</v>
      </c>
      <c r="BJ70" s="36">
        <v>50.771999999999998</v>
      </c>
      <c r="BK70" s="36">
        <v>-115.405</v>
      </c>
      <c r="BL70" s="36">
        <v>25.371000000000002</v>
      </c>
    </row>
    <row r="71" spans="1:64" ht="30" customHeight="1" x14ac:dyDescent="0.2">
      <c r="A71" s="2" t="s">
        <v>457</v>
      </c>
      <c r="B71" s="45" t="s">
        <v>489</v>
      </c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2" t="s">
        <v>457</v>
      </c>
      <c r="AD71" s="1" t="s">
        <v>115</v>
      </c>
      <c r="AE71" s="1" t="s">
        <v>116</v>
      </c>
      <c r="AF71" s="36" t="e">
        <f ca="1">_xll.BDP($AD71,AF$10)</f>
        <v>#NAME?</v>
      </c>
      <c r="AG71" s="36" t="e">
        <f ca="1">_xll.BDH($AD71,AG$10,$C$5,$C$5,"EQY_FUND_CRNCY=USD")</f>
        <v>#NAME?</v>
      </c>
      <c r="AH71" s="36" t="e">
        <f ca="1">_xll.BDH($AD71,AH$10,$C$5,$C$5,"EQY_FUND_CRNCY=USD")</f>
        <v>#NAME?</v>
      </c>
      <c r="AI71" s="36" t="e">
        <f ca="1">_xll.BDP($AD71,AI$10,"EQY_FUND_CRNCY=USD","FA_ADJUSTED=Y")</f>
        <v>#NAME?</v>
      </c>
      <c r="AJ71" s="36" t="e">
        <f ca="1">_xll.BDP($AD71,AJ$10,"BEST_FPERIOD_OVERRIDE=1TY","EQY_FUND_CRNCY=USD","FA_ADJUSTED=Y")</f>
        <v>#NAME?</v>
      </c>
      <c r="AK71" s="44" t="e">
        <f t="shared" ca="1" si="3"/>
        <v>#NAME?</v>
      </c>
      <c r="AL71" s="36" t="e">
        <f ca="1">_xll.BDP($AD71,AL$10,"EQY_FUND_CRNCY=USD","FA_ADJUSTED=Y")</f>
        <v>#NAME?</v>
      </c>
      <c r="AM71" s="36" t="e">
        <f ca="1">_xll.BDP($AD71,AM$10,"BEST_FPERIOD_OVERRIDE=1TY","EQY_FUND_CRNCY=USD","FA_ADJUSTED=Y")</f>
        <v>#NAME?</v>
      </c>
      <c r="AN71" s="36" t="e">
        <f ca="1">_xll.BDP($AD71,AN$10,"BEST_FPERIOD_OVERRIDE=1TY","EQY_FUND_CRNCY=USD","FA_ADJUSTED=Y")</f>
        <v>#NAME?</v>
      </c>
      <c r="AO71" s="36" t="e">
        <f ca="1">_xll.BDP($AD71,AO$10,"BEST_FPERIOD_OVERRIDE=1TY","EQY_FUND_CRNCY=USD","FA_ADJUSTED=Y")</f>
        <v>#NAME?</v>
      </c>
      <c r="AP71" s="36" t="e">
        <f ca="1">_xll.BDP($AD71,AP$10,"BEST_FPERIOD_OVERRIDE=1TY","EQY_FUND_CRNCY=USD","FA_ADJUSTED=Y")</f>
        <v>#NAME?</v>
      </c>
      <c r="AQ71" s="36" t="e">
        <f ca="1">_xll.BDP($AD71,AQ$10,"EQY_FUND_CRNCY=USD","FA_ADJUSTED=Y")</f>
        <v>#NAME?</v>
      </c>
      <c r="AR71" s="36" t="e">
        <f ca="1">_xll.BDP($AD71,AR$10,"BEST_FPERIOD_OVERRIDE=1TY","EQY_FUND_CRNCY=USD","FA_ADJUSTED=Y")</f>
        <v>#NAME?</v>
      </c>
      <c r="AS71" s="36" t="e">
        <f ca="1">_xll.BDP($AD71,AS$10,"EQY_FUND_CRNCY=USD","FA_ADJUSTED=Y")</f>
        <v>#NAME?</v>
      </c>
      <c r="AT71" s="36" t="e">
        <f ca="1">_xll.BDP($AD71,AT$10,"BEST_FPERIOD_OVERRIDE=1TY","EQY_FUND_CRNCY=USD","FA_ADJUSTED=Y")</f>
        <v>#NAME?</v>
      </c>
      <c r="AV71" s="1" t="s">
        <v>115</v>
      </c>
      <c r="AW71" s="1" t="s">
        <v>116</v>
      </c>
      <c r="AX71" s="36" t="s">
        <v>495</v>
      </c>
      <c r="AY71" s="36">
        <v>5895.5968999999996</v>
      </c>
      <c r="AZ71" s="36">
        <v>5688.8769000000002</v>
      </c>
      <c r="BA71" s="36">
        <v>581.47399999999993</v>
      </c>
      <c r="BB71" s="36">
        <v>724.625</v>
      </c>
      <c r="BC71" s="44">
        <v>0.24618641590165691</v>
      </c>
      <c r="BD71" s="36">
        <v>443.33000299072262</v>
      </c>
      <c r="BE71" s="36">
        <v>77.007999999999996</v>
      </c>
      <c r="BF71" s="36">
        <v>75.147999999999996</v>
      </c>
      <c r="BG71" s="36">
        <v>260.06900000000002</v>
      </c>
      <c r="BH71" s="36">
        <v>72.313000000000002</v>
      </c>
      <c r="BI71" s="36">
        <v>1.981681596884</v>
      </c>
      <c r="BJ71" s="36">
        <v>88.007999999999996</v>
      </c>
      <c r="BK71" s="36">
        <v>-22.126999999999999</v>
      </c>
      <c r="BL71" s="36">
        <v>62.160000000000004</v>
      </c>
    </row>
    <row r="72" spans="1:64" ht="47.25" x14ac:dyDescent="0.2">
      <c r="B72" s="10" t="s">
        <v>424</v>
      </c>
      <c r="C72" s="10" t="s">
        <v>425</v>
      </c>
      <c r="D72" s="11" t="s">
        <v>426</v>
      </c>
      <c r="E72" s="11" t="s">
        <v>427</v>
      </c>
      <c r="F72" s="12" t="s">
        <v>428</v>
      </c>
      <c r="G72" s="13"/>
      <c r="H72" s="14" t="s">
        <v>429</v>
      </c>
      <c r="I72" s="13"/>
      <c r="J72" s="12" t="s">
        <v>430</v>
      </c>
      <c r="K72" s="12" t="s">
        <v>431</v>
      </c>
      <c r="L72" s="15" t="s">
        <v>432</v>
      </c>
      <c r="M72" s="15" t="s">
        <v>433</v>
      </c>
      <c r="AD72" s="1" t="s">
        <v>117</v>
      </c>
      <c r="AE72" s="1" t="s">
        <v>118</v>
      </c>
      <c r="AF72" s="36" t="e">
        <f ca="1">_xll.BDP($AD72,AF$10)</f>
        <v>#NAME?</v>
      </c>
      <c r="AG72" s="36" t="e">
        <f ca="1">_xll.BDH($AD72,AG$10,$C$5,$C$5,"EQY_FUND_CRNCY=USD")</f>
        <v>#NAME?</v>
      </c>
      <c r="AH72" s="36" t="e">
        <f ca="1">_xll.BDH($AD72,AH$10,$C$5,$C$5,"EQY_FUND_CRNCY=USD")</f>
        <v>#NAME?</v>
      </c>
      <c r="AI72" s="36" t="e">
        <f ca="1">_xll.BDP($AD72,AI$10,"EQY_FUND_CRNCY=USD","FA_ADJUSTED=Y")</f>
        <v>#NAME?</v>
      </c>
      <c r="AJ72" s="36" t="e">
        <f ca="1">_xll.BDP($AD72,AJ$10,"BEST_FPERIOD_OVERRIDE=1TY","EQY_FUND_CRNCY=USD","FA_ADJUSTED=Y")</f>
        <v>#NAME?</v>
      </c>
      <c r="AK72" s="44" t="e">
        <f t="shared" ca="1" si="3"/>
        <v>#NAME?</v>
      </c>
      <c r="AL72" s="36" t="e">
        <f ca="1">_xll.BDP($AD72,AL$10,"EQY_FUND_CRNCY=USD","FA_ADJUSTED=Y")</f>
        <v>#NAME?</v>
      </c>
      <c r="AM72" s="36" t="e">
        <f ca="1">_xll.BDP($AD72,AM$10,"BEST_FPERIOD_OVERRIDE=1TY","EQY_FUND_CRNCY=USD","FA_ADJUSTED=Y")</f>
        <v>#NAME?</v>
      </c>
      <c r="AN72" s="36" t="e">
        <f ca="1">_xll.BDP($AD72,AN$10,"BEST_FPERIOD_OVERRIDE=1TY","EQY_FUND_CRNCY=USD","FA_ADJUSTED=Y")</f>
        <v>#NAME?</v>
      </c>
      <c r="AO72" s="36" t="e">
        <f ca="1">_xll.BDP($AD72,AO$10,"BEST_FPERIOD_OVERRIDE=1TY","EQY_FUND_CRNCY=USD","FA_ADJUSTED=Y")</f>
        <v>#NAME?</v>
      </c>
      <c r="AP72" s="36" t="e">
        <f ca="1">_xll.BDP($AD72,AP$10,"BEST_FPERIOD_OVERRIDE=1TY","EQY_FUND_CRNCY=USD","FA_ADJUSTED=Y")</f>
        <v>#NAME?</v>
      </c>
      <c r="AQ72" s="36" t="e">
        <f ca="1">_xll.BDP($AD72,AQ$10,"EQY_FUND_CRNCY=USD","FA_ADJUSTED=Y")</f>
        <v>#NAME?</v>
      </c>
      <c r="AR72" s="36" t="e">
        <f ca="1">_xll.BDP($AD72,AR$10,"BEST_FPERIOD_OVERRIDE=1TY","EQY_FUND_CRNCY=USD","FA_ADJUSTED=Y")</f>
        <v>#NAME?</v>
      </c>
      <c r="AS72" s="36" t="e">
        <f ca="1">_xll.BDP($AD72,AS$10,"EQY_FUND_CRNCY=USD","FA_ADJUSTED=Y")</f>
        <v>#NAME?</v>
      </c>
      <c r="AT72" s="36" t="e">
        <f ca="1">_xll.BDP($AD72,AT$10,"BEST_FPERIOD_OVERRIDE=1TY","EQY_FUND_CRNCY=USD","FA_ADJUSTED=Y")</f>
        <v>#NAME?</v>
      </c>
      <c r="AV72" s="1" t="s">
        <v>117</v>
      </c>
      <c r="AW72" s="1" t="s">
        <v>118</v>
      </c>
      <c r="AX72" s="36" t="s">
        <v>495</v>
      </c>
      <c r="AY72" s="36">
        <v>5899.6878999999999</v>
      </c>
      <c r="AZ72" s="36">
        <v>6521.5419000000002</v>
      </c>
      <c r="BA72" s="36">
        <v>1005.8890000000001</v>
      </c>
      <c r="BB72" s="36">
        <v>1083.6669999999999</v>
      </c>
      <c r="BC72" s="44">
        <v>7.732264693221591E-2</v>
      </c>
      <c r="BD72" s="36">
        <v>699.41901611328126</v>
      </c>
      <c r="BE72" s="36">
        <v>72.05</v>
      </c>
      <c r="BF72" s="36">
        <v>110.86999999999999</v>
      </c>
      <c r="BG72" s="36" t="s">
        <v>480</v>
      </c>
      <c r="BH72" s="36" t="s">
        <v>480</v>
      </c>
      <c r="BI72" s="36">
        <v>228.197</v>
      </c>
      <c r="BJ72" s="36">
        <v>336.8</v>
      </c>
      <c r="BK72" s="36">
        <v>130.87135000000001</v>
      </c>
      <c r="BL72" s="36">
        <v>217.4</v>
      </c>
    </row>
    <row r="73" spans="1:64" ht="15.75" x14ac:dyDescent="0.2">
      <c r="B73" s="18"/>
      <c r="C73" s="18"/>
      <c r="D73" s="18"/>
      <c r="E73" s="18"/>
      <c r="F73" s="19" t="s">
        <v>440</v>
      </c>
      <c r="G73" s="20" t="s">
        <v>441</v>
      </c>
      <c r="H73" s="19" t="s">
        <v>440</v>
      </c>
      <c r="I73" s="20" t="s">
        <v>441</v>
      </c>
      <c r="J73" s="19" t="s">
        <v>441</v>
      </c>
      <c r="K73" s="19" t="s">
        <v>440</v>
      </c>
      <c r="L73" s="20" t="s">
        <v>440</v>
      </c>
      <c r="M73" s="20" t="s">
        <v>440</v>
      </c>
      <c r="AD73" s="1" t="s">
        <v>119</v>
      </c>
      <c r="AE73" s="1" t="s">
        <v>120</v>
      </c>
      <c r="AF73" s="36" t="e">
        <f ca="1">_xll.BDP($AD73,AF$10)</f>
        <v>#NAME?</v>
      </c>
      <c r="AG73" s="36" t="e">
        <f ca="1">_xll.BDH($AD73,AG$10,$C$5,$C$5,"EQY_FUND_CRNCY=USD")</f>
        <v>#NAME?</v>
      </c>
      <c r="AH73" s="36" t="e">
        <f ca="1">_xll.BDH($AD73,AH$10,$C$5,$C$5,"EQY_FUND_CRNCY=USD")</f>
        <v>#NAME?</v>
      </c>
      <c r="AI73" s="36" t="e">
        <f ca="1">_xll.BDP($AD73,AI$10,"EQY_FUND_CRNCY=USD","FA_ADJUSTED=Y")</f>
        <v>#NAME?</v>
      </c>
      <c r="AJ73" s="36" t="e">
        <f ca="1">_xll.BDP($AD73,AJ$10,"BEST_FPERIOD_OVERRIDE=1TY","EQY_FUND_CRNCY=USD","FA_ADJUSTED=Y")</f>
        <v>#NAME?</v>
      </c>
      <c r="AK73" s="44" t="e">
        <f t="shared" ca="1" si="3"/>
        <v>#NAME?</v>
      </c>
      <c r="AL73" s="36" t="e">
        <f ca="1">_xll.BDP($AD73,AL$10,"EQY_FUND_CRNCY=USD","FA_ADJUSTED=Y")</f>
        <v>#NAME?</v>
      </c>
      <c r="AM73" s="36" t="e">
        <f ca="1">_xll.BDP($AD73,AM$10,"BEST_FPERIOD_OVERRIDE=1TY","EQY_FUND_CRNCY=USD","FA_ADJUSTED=Y")</f>
        <v>#NAME?</v>
      </c>
      <c r="AN73" s="36" t="e">
        <f ca="1">_xll.BDP($AD73,AN$10,"BEST_FPERIOD_OVERRIDE=1TY","EQY_FUND_CRNCY=USD","FA_ADJUSTED=Y")</f>
        <v>#NAME?</v>
      </c>
      <c r="AO73" s="36" t="e">
        <f ca="1">_xll.BDP($AD73,AO$10,"BEST_FPERIOD_OVERRIDE=1TY","EQY_FUND_CRNCY=USD","FA_ADJUSTED=Y")</f>
        <v>#NAME?</v>
      </c>
      <c r="AP73" s="36" t="e">
        <f ca="1">_xll.BDP($AD73,AP$10,"BEST_FPERIOD_OVERRIDE=1TY","EQY_FUND_CRNCY=USD","FA_ADJUSTED=Y")</f>
        <v>#NAME?</v>
      </c>
      <c r="AQ73" s="36" t="e">
        <f ca="1">_xll.BDP($AD73,AQ$10,"EQY_FUND_CRNCY=USD","FA_ADJUSTED=Y")</f>
        <v>#NAME?</v>
      </c>
      <c r="AR73" s="36" t="e">
        <f ca="1">_xll.BDP($AD73,AR$10,"BEST_FPERIOD_OVERRIDE=1TY","EQY_FUND_CRNCY=USD","FA_ADJUSTED=Y")</f>
        <v>#NAME?</v>
      </c>
      <c r="AS73" s="36" t="e">
        <f ca="1">_xll.BDP($AD73,AS$10,"EQY_FUND_CRNCY=USD","FA_ADJUSTED=Y")</f>
        <v>#NAME?</v>
      </c>
      <c r="AT73" s="36" t="e">
        <f ca="1">_xll.BDP($AD73,AT$10,"BEST_FPERIOD_OVERRIDE=1TY","EQY_FUND_CRNCY=USD","FA_ADJUSTED=Y")</f>
        <v>#NAME?</v>
      </c>
      <c r="AV73" s="1" t="s">
        <v>119</v>
      </c>
      <c r="AW73" s="1" t="s">
        <v>120</v>
      </c>
      <c r="AX73" s="36" t="s">
        <v>506</v>
      </c>
      <c r="AY73" s="36">
        <v>5740.0319</v>
      </c>
      <c r="AZ73" s="36">
        <v>5499.3319000000001</v>
      </c>
      <c r="BA73" s="36">
        <v>2491.8389999999999</v>
      </c>
      <c r="BB73" s="36">
        <v>2815.54</v>
      </c>
      <c r="BC73" s="44">
        <v>0.12990446011961443</v>
      </c>
      <c r="BD73" s="36">
        <v>1021.3030059814453</v>
      </c>
      <c r="BE73" s="36">
        <v>39.6</v>
      </c>
      <c r="BF73" s="36">
        <v>0</v>
      </c>
      <c r="BG73" s="36" t="s">
        <v>480</v>
      </c>
      <c r="BH73" s="36" t="s">
        <v>480</v>
      </c>
      <c r="BI73" s="36">
        <v>464.61600000000004</v>
      </c>
      <c r="BJ73" s="36">
        <v>577.71699999999998</v>
      </c>
      <c r="BK73" s="36">
        <v>221.308428571429</v>
      </c>
      <c r="BL73" s="36">
        <v>354.21300000000002</v>
      </c>
    </row>
    <row r="74" spans="1:64" ht="30" customHeight="1" x14ac:dyDescent="0.2">
      <c r="B74" s="46" t="str">
        <f t="shared" ref="B74:L74" si="18">B$9</f>
        <v>Databricks</v>
      </c>
      <c r="C74" s="46" t="str">
        <f t="shared" si="18"/>
        <v>Advanced big data processing company.</v>
      </c>
      <c r="D74" s="47">
        <f t="shared" si="18"/>
        <v>0</v>
      </c>
      <c r="E74" s="47">
        <f t="shared" si="18"/>
        <v>0</v>
      </c>
      <c r="F74" s="48">
        <f t="shared" si="18"/>
        <v>0</v>
      </c>
      <c r="G74" s="49">
        <f t="shared" si="18"/>
        <v>0</v>
      </c>
      <c r="H74" s="50" t="e">
        <f t="shared" si="18"/>
        <v>#DIV/0!</v>
      </c>
      <c r="I74" s="51" t="e">
        <f t="shared" si="18"/>
        <v>#DIV/0!</v>
      </c>
      <c r="J74" s="52" t="e">
        <f t="shared" si="18"/>
        <v>#DIV/0!</v>
      </c>
      <c r="K74" s="52" t="e">
        <f t="shared" si="18"/>
        <v>#DIV/0!</v>
      </c>
      <c r="L74" s="53" t="e">
        <f t="shared" si="18"/>
        <v>#DIV/0!</v>
      </c>
      <c r="M74" s="53" t="e">
        <f>M$9</f>
        <v>#DIV/0!</v>
      </c>
      <c r="AD74" s="1" t="s">
        <v>121</v>
      </c>
      <c r="AE74" s="1" t="s">
        <v>122</v>
      </c>
      <c r="AF74" s="36" t="e">
        <f ca="1">_xll.BDP($AD74,AF$10)</f>
        <v>#NAME?</v>
      </c>
      <c r="AG74" s="36" t="e">
        <f ca="1">_xll.BDH($AD74,AG$10,$C$5,$C$5,"EQY_FUND_CRNCY=USD")</f>
        <v>#NAME?</v>
      </c>
      <c r="AH74" s="36" t="e">
        <f ca="1">_xll.BDH($AD74,AH$10,$C$5,$C$5,"EQY_FUND_CRNCY=USD")</f>
        <v>#NAME?</v>
      </c>
      <c r="AI74" s="36" t="e">
        <f ca="1">_xll.BDP($AD74,AI$10,"EQY_FUND_CRNCY=USD","FA_ADJUSTED=Y")</f>
        <v>#NAME?</v>
      </c>
      <c r="AJ74" s="36" t="e">
        <f ca="1">_xll.BDP($AD74,AJ$10,"BEST_FPERIOD_OVERRIDE=1TY","EQY_FUND_CRNCY=USD","FA_ADJUSTED=Y")</f>
        <v>#NAME?</v>
      </c>
      <c r="AK74" s="44" t="e">
        <f t="shared" ca="1" si="3"/>
        <v>#NAME?</v>
      </c>
      <c r="AL74" s="36" t="e">
        <f ca="1">_xll.BDP($AD74,AL$10,"EQY_FUND_CRNCY=USD","FA_ADJUSTED=Y")</f>
        <v>#NAME?</v>
      </c>
      <c r="AM74" s="36" t="e">
        <f ca="1">_xll.BDP($AD74,AM$10,"BEST_FPERIOD_OVERRIDE=1TY","EQY_FUND_CRNCY=USD","FA_ADJUSTED=Y")</f>
        <v>#NAME?</v>
      </c>
      <c r="AN74" s="36" t="e">
        <f ca="1">_xll.BDP($AD74,AN$10,"BEST_FPERIOD_OVERRIDE=1TY","EQY_FUND_CRNCY=USD","FA_ADJUSTED=Y")</f>
        <v>#NAME?</v>
      </c>
      <c r="AO74" s="36" t="e">
        <f ca="1">_xll.BDP($AD74,AO$10,"BEST_FPERIOD_OVERRIDE=1TY","EQY_FUND_CRNCY=USD","FA_ADJUSTED=Y")</f>
        <v>#NAME?</v>
      </c>
      <c r="AP74" s="36" t="e">
        <f ca="1">_xll.BDP($AD74,AP$10,"BEST_FPERIOD_OVERRIDE=1TY","EQY_FUND_CRNCY=USD","FA_ADJUSTED=Y")</f>
        <v>#NAME?</v>
      </c>
      <c r="AQ74" s="36" t="e">
        <f ca="1">_xll.BDP($AD74,AQ$10,"EQY_FUND_CRNCY=USD","FA_ADJUSTED=Y")</f>
        <v>#NAME?</v>
      </c>
      <c r="AR74" s="36" t="e">
        <f ca="1">_xll.BDP($AD74,AR$10,"BEST_FPERIOD_OVERRIDE=1TY","EQY_FUND_CRNCY=USD","FA_ADJUSTED=Y")</f>
        <v>#NAME?</v>
      </c>
      <c r="AS74" s="36" t="e">
        <f ca="1">_xll.BDP($AD74,AS$10,"EQY_FUND_CRNCY=USD","FA_ADJUSTED=Y")</f>
        <v>#NAME?</v>
      </c>
      <c r="AT74" s="36" t="e">
        <f ca="1">_xll.BDP($AD74,AT$10,"BEST_FPERIOD_OVERRIDE=1TY","EQY_FUND_CRNCY=USD","FA_ADJUSTED=Y")</f>
        <v>#NAME?</v>
      </c>
      <c r="AV74" s="1" t="s">
        <v>121</v>
      </c>
      <c r="AW74" s="1" t="s">
        <v>122</v>
      </c>
      <c r="AX74" s="36" t="s">
        <v>506</v>
      </c>
      <c r="AY74" s="36">
        <v>5282.4870000000001</v>
      </c>
      <c r="AZ74" s="36">
        <v>6190.1469999999999</v>
      </c>
      <c r="BA74" s="36">
        <v>2860.71</v>
      </c>
      <c r="BB74" s="36">
        <v>3102.7919999999999</v>
      </c>
      <c r="BC74" s="44">
        <v>8.4623048124416567E-2</v>
      </c>
      <c r="BD74" s="36">
        <v>1068.4139918212891</v>
      </c>
      <c r="BE74" s="36">
        <v>39.024999999999999</v>
      </c>
      <c r="BF74" s="36">
        <v>0</v>
      </c>
      <c r="BG74" s="36" t="s">
        <v>480</v>
      </c>
      <c r="BH74" s="36" t="s">
        <v>480</v>
      </c>
      <c r="BI74" s="36">
        <v>407.05099999999999</v>
      </c>
      <c r="BJ74" s="36">
        <v>514.5</v>
      </c>
      <c r="BK74" s="36">
        <v>271.84730999999999</v>
      </c>
      <c r="BL74" s="36">
        <v>348.45100000000002</v>
      </c>
    </row>
    <row r="75" spans="1:64" ht="30" customHeight="1" x14ac:dyDescent="0.2">
      <c r="B75" s="54" t="s">
        <v>466</v>
      </c>
      <c r="C75" s="54" t="e">
        <f>VLOOKUP($B75,#REF!,COLUMNS($B75:C75),0)</f>
        <v>#REF!</v>
      </c>
      <c r="D75" s="66" t="e">
        <f>VLOOKUP($B75,#REF!,COLUMNS($B75:D75),0)</f>
        <v>#REF!</v>
      </c>
      <c r="E75" s="66" t="e">
        <f>VLOOKUP($B75,#REF!,COLUMNS($B75:E75),0)</f>
        <v>#REF!</v>
      </c>
      <c r="F75" s="67" t="e">
        <f>VLOOKUP($B75,#REF!,COLUMNS($B75:F75),0)</f>
        <v>#REF!</v>
      </c>
      <c r="G75" s="68" t="e">
        <f>VLOOKUP($B75,#REF!,COLUMNS($B75:G75),0)</f>
        <v>#REF!</v>
      </c>
      <c r="H75" s="69" t="e">
        <f>VLOOKUP($B75,#REF!,COLUMNS($B75:H75),0)</f>
        <v>#REF!</v>
      </c>
      <c r="I75" s="70" t="e">
        <f>VLOOKUP($B75,#REF!,COLUMNS($B75:I75),0)</f>
        <v>#REF!</v>
      </c>
      <c r="J75" s="71" t="e">
        <f>VLOOKUP($B75,#REF!,COLUMNS($B75:J75),0)</f>
        <v>#REF!</v>
      </c>
      <c r="K75" s="60" t="e">
        <f>VLOOKUP($B75,#REF!,COLUMNS($B75:K75),0)</f>
        <v>#REF!</v>
      </c>
      <c r="L75" s="61" t="e">
        <f>VLOOKUP($B75,#REF!,COLUMNS($B75:L75),0)</f>
        <v>#REF!</v>
      </c>
      <c r="M75" s="61" t="e">
        <f>VLOOKUP($B75,#REF!,COLUMNS($B75:M75),0)</f>
        <v>#REF!</v>
      </c>
      <c r="AD75" s="1" t="s">
        <v>123</v>
      </c>
      <c r="AE75" s="1" t="s">
        <v>124</v>
      </c>
      <c r="AF75" s="36" t="e">
        <f ca="1">_xll.BDP($AD75,AF$10)</f>
        <v>#NAME?</v>
      </c>
      <c r="AG75" s="36" t="e">
        <f ca="1">_xll.BDH($AD75,AG$10,$C$5,$C$5,"EQY_FUND_CRNCY=USD")</f>
        <v>#NAME?</v>
      </c>
      <c r="AH75" s="36" t="e">
        <f ca="1">_xll.BDH($AD75,AH$10,$C$5,$C$5,"EQY_FUND_CRNCY=USD")</f>
        <v>#NAME?</v>
      </c>
      <c r="AI75" s="36" t="e">
        <f ca="1">_xll.BDP($AD75,AI$10,"EQY_FUND_CRNCY=USD","FA_ADJUSTED=Y")</f>
        <v>#NAME?</v>
      </c>
      <c r="AJ75" s="36" t="e">
        <f ca="1">_xll.BDP($AD75,AJ$10,"BEST_FPERIOD_OVERRIDE=1TY","EQY_FUND_CRNCY=USD","FA_ADJUSTED=Y")</f>
        <v>#NAME?</v>
      </c>
      <c r="AK75" s="44" t="e">
        <f t="shared" ca="1" si="3"/>
        <v>#NAME?</v>
      </c>
      <c r="AL75" s="36" t="e">
        <f ca="1">_xll.BDP($AD75,AL$10,"EQY_FUND_CRNCY=USD","FA_ADJUSTED=Y")</f>
        <v>#NAME?</v>
      </c>
      <c r="AM75" s="36" t="e">
        <f ca="1">_xll.BDP($AD75,AM$10,"BEST_FPERIOD_OVERRIDE=1TY","EQY_FUND_CRNCY=USD","FA_ADJUSTED=Y")</f>
        <v>#NAME?</v>
      </c>
      <c r="AN75" s="36" t="e">
        <f ca="1">_xll.BDP($AD75,AN$10,"BEST_FPERIOD_OVERRIDE=1TY","EQY_FUND_CRNCY=USD","FA_ADJUSTED=Y")</f>
        <v>#NAME?</v>
      </c>
      <c r="AO75" s="36" t="e">
        <f ca="1">_xll.BDP($AD75,AO$10,"BEST_FPERIOD_OVERRIDE=1TY","EQY_FUND_CRNCY=USD","FA_ADJUSTED=Y")</f>
        <v>#NAME?</v>
      </c>
      <c r="AP75" s="36" t="e">
        <f ca="1">_xll.BDP($AD75,AP$10,"BEST_FPERIOD_OVERRIDE=1TY","EQY_FUND_CRNCY=USD","FA_ADJUSTED=Y")</f>
        <v>#NAME?</v>
      </c>
      <c r="AQ75" s="36" t="e">
        <f ca="1">_xll.BDP($AD75,AQ$10,"EQY_FUND_CRNCY=USD","FA_ADJUSTED=Y")</f>
        <v>#NAME?</v>
      </c>
      <c r="AR75" s="36" t="e">
        <f ca="1">_xll.BDP($AD75,AR$10,"BEST_FPERIOD_OVERRIDE=1TY","EQY_FUND_CRNCY=USD","FA_ADJUSTED=Y")</f>
        <v>#NAME?</v>
      </c>
      <c r="AS75" s="36" t="e">
        <f ca="1">_xll.BDP($AD75,AS$10,"EQY_FUND_CRNCY=USD","FA_ADJUSTED=Y")</f>
        <v>#NAME?</v>
      </c>
      <c r="AT75" s="36" t="e">
        <f ca="1">_xll.BDP($AD75,AT$10,"BEST_FPERIOD_OVERRIDE=1TY","EQY_FUND_CRNCY=USD","FA_ADJUSTED=Y")</f>
        <v>#NAME?</v>
      </c>
      <c r="AV75" s="1" t="s">
        <v>123</v>
      </c>
      <c r="AW75" s="1" t="s">
        <v>124</v>
      </c>
      <c r="AX75" s="36" t="s">
        <v>495</v>
      </c>
      <c r="AY75" s="36">
        <v>5142.1211000000003</v>
      </c>
      <c r="AZ75" s="36">
        <v>5264.8521000000001</v>
      </c>
      <c r="BA75" s="36">
        <v>774.29099999999994</v>
      </c>
      <c r="BB75" s="36">
        <v>940.42899999999997</v>
      </c>
      <c r="BC75" s="44">
        <v>0.21456790793125591</v>
      </c>
      <c r="BD75" s="36">
        <v>470.14299932861331</v>
      </c>
      <c r="BE75" s="36">
        <v>64.5</v>
      </c>
      <c r="BF75" s="36">
        <v>89.451999999999998</v>
      </c>
      <c r="BG75" s="36">
        <v>165.07900000000001</v>
      </c>
      <c r="BH75" s="36">
        <v>112.97499999999999</v>
      </c>
      <c r="BI75" s="36">
        <v>151.96100000000001</v>
      </c>
      <c r="BJ75" s="36">
        <v>254.5</v>
      </c>
      <c r="BK75" s="36">
        <v>39.375608755979997</v>
      </c>
      <c r="BL75" s="36">
        <v>147.19200000000001</v>
      </c>
    </row>
    <row r="76" spans="1:64" ht="30" customHeight="1" x14ac:dyDescent="0.2">
      <c r="B76" s="62" t="s">
        <v>469</v>
      </c>
      <c r="C76" s="62" t="e">
        <f>VLOOKUP($B76,#REF!,COLUMNS($B76:C76),0)</f>
        <v>#REF!</v>
      </c>
      <c r="D76" s="66" t="e">
        <f>VLOOKUP($B76,#REF!,COLUMNS($B76:D76),0)</f>
        <v>#REF!</v>
      </c>
      <c r="E76" s="66" t="e">
        <f>VLOOKUP($B76,#REF!,COLUMNS($B76:E76),0)</f>
        <v>#REF!</v>
      </c>
      <c r="F76" s="67" t="e">
        <f>VLOOKUP($B76,#REF!,COLUMNS($B76:F76),0)</f>
        <v>#REF!</v>
      </c>
      <c r="G76" s="68" t="e">
        <f>VLOOKUP($B76,#REF!,COLUMNS($B76:G76),0)</f>
        <v>#REF!</v>
      </c>
      <c r="H76" s="69" t="e">
        <f>VLOOKUP($B76,#REF!,COLUMNS($B76:H76),0)</f>
        <v>#REF!</v>
      </c>
      <c r="I76" s="70" t="e">
        <f>VLOOKUP($B76,#REF!,COLUMNS($B76:I76),0)</f>
        <v>#REF!</v>
      </c>
      <c r="J76" s="71" t="e">
        <f>VLOOKUP($B76,#REF!,COLUMNS($B76:J76),0)</f>
        <v>#REF!</v>
      </c>
      <c r="K76" s="60" t="e">
        <f>VLOOKUP($B76,#REF!,COLUMNS($B76:K76),0)</f>
        <v>#REF!</v>
      </c>
      <c r="L76" s="61" t="e">
        <f>VLOOKUP($B76,#REF!,COLUMNS($B76:L76),0)</f>
        <v>#REF!</v>
      </c>
      <c r="M76" s="61" t="e">
        <f>VLOOKUP($B76,#REF!,COLUMNS($B76:M76),0)</f>
        <v>#REF!</v>
      </c>
      <c r="AD76" s="1" t="s">
        <v>125</v>
      </c>
      <c r="AE76" s="1" t="s">
        <v>126</v>
      </c>
      <c r="AF76" s="36" t="e">
        <f ca="1">_xll.BDP($AD76,AF$10)</f>
        <v>#NAME?</v>
      </c>
      <c r="AG76" s="36" t="e">
        <f ca="1">_xll.BDH($AD76,AG$10,$C$5,$C$5,"EQY_FUND_CRNCY=USD")</f>
        <v>#NAME?</v>
      </c>
      <c r="AH76" s="36" t="e">
        <f ca="1">_xll.BDH($AD76,AH$10,$C$5,$C$5,"EQY_FUND_CRNCY=USD")</f>
        <v>#NAME?</v>
      </c>
      <c r="AI76" s="36" t="e">
        <f ca="1">_xll.BDP($AD76,AI$10,"EQY_FUND_CRNCY=USD","FA_ADJUSTED=Y")</f>
        <v>#NAME?</v>
      </c>
      <c r="AJ76" s="36" t="e">
        <f ca="1">_xll.BDP($AD76,AJ$10,"BEST_FPERIOD_OVERRIDE=1TY","EQY_FUND_CRNCY=USD","FA_ADJUSTED=Y")</f>
        <v>#NAME?</v>
      </c>
      <c r="AK76" s="44" t="e">
        <f t="shared" ca="1" si="3"/>
        <v>#NAME?</v>
      </c>
      <c r="AL76" s="36" t="e">
        <f ca="1">_xll.BDP($AD76,AL$10,"EQY_FUND_CRNCY=USD","FA_ADJUSTED=Y")</f>
        <v>#NAME?</v>
      </c>
      <c r="AM76" s="36" t="e">
        <f ca="1">_xll.BDP($AD76,AM$10,"BEST_FPERIOD_OVERRIDE=1TY","EQY_FUND_CRNCY=USD","FA_ADJUSTED=Y")</f>
        <v>#NAME?</v>
      </c>
      <c r="AN76" s="36" t="e">
        <f ca="1">_xll.BDP($AD76,AN$10,"BEST_FPERIOD_OVERRIDE=1TY","EQY_FUND_CRNCY=USD","FA_ADJUSTED=Y")</f>
        <v>#NAME?</v>
      </c>
      <c r="AO76" s="36" t="e">
        <f ca="1">_xll.BDP($AD76,AO$10,"BEST_FPERIOD_OVERRIDE=1TY","EQY_FUND_CRNCY=USD","FA_ADJUSTED=Y")</f>
        <v>#NAME?</v>
      </c>
      <c r="AP76" s="36" t="e">
        <f ca="1">_xll.BDP($AD76,AP$10,"BEST_FPERIOD_OVERRIDE=1TY","EQY_FUND_CRNCY=USD","FA_ADJUSTED=Y")</f>
        <v>#NAME?</v>
      </c>
      <c r="AQ76" s="36" t="e">
        <f ca="1">_xll.BDP($AD76,AQ$10,"EQY_FUND_CRNCY=USD","FA_ADJUSTED=Y")</f>
        <v>#NAME?</v>
      </c>
      <c r="AR76" s="36" t="e">
        <f ca="1">_xll.BDP($AD76,AR$10,"BEST_FPERIOD_OVERRIDE=1TY","EQY_FUND_CRNCY=USD","FA_ADJUSTED=Y")</f>
        <v>#NAME?</v>
      </c>
      <c r="AS76" s="36" t="e">
        <f ca="1">_xll.BDP($AD76,AS$10,"EQY_FUND_CRNCY=USD","FA_ADJUSTED=Y")</f>
        <v>#NAME?</v>
      </c>
      <c r="AT76" s="36" t="e">
        <f ca="1">_xll.BDP($AD76,AT$10,"BEST_FPERIOD_OVERRIDE=1TY","EQY_FUND_CRNCY=USD","FA_ADJUSTED=Y")</f>
        <v>#NAME?</v>
      </c>
      <c r="AV76" s="1" t="s">
        <v>125</v>
      </c>
      <c r="AW76" s="1" t="s">
        <v>126</v>
      </c>
      <c r="AX76" s="36" t="s">
        <v>495</v>
      </c>
      <c r="AY76" s="36">
        <v>5071.8941000000004</v>
      </c>
      <c r="AZ76" s="36">
        <v>4930.2130999999999</v>
      </c>
      <c r="BA76" s="36">
        <v>380.06200000000001</v>
      </c>
      <c r="BB76" s="36">
        <v>526.21400000000006</v>
      </c>
      <c r="BC76" s="44">
        <v>0.38454778430887604</v>
      </c>
      <c r="BD76" s="36" t="s">
        <v>480</v>
      </c>
      <c r="BE76" s="36">
        <v>76.424999999999997</v>
      </c>
      <c r="BF76" s="36">
        <v>52.805999999999997</v>
      </c>
      <c r="BG76" s="36">
        <v>61.378999999999998</v>
      </c>
      <c r="BH76" s="36">
        <v>58.445999999999998</v>
      </c>
      <c r="BI76" s="36">
        <v>92.668000000000006</v>
      </c>
      <c r="BJ76" s="36">
        <v>153.29599999999999</v>
      </c>
      <c r="BK76" s="36">
        <v>55.453000000000003</v>
      </c>
      <c r="BL76" s="36">
        <v>107.494</v>
      </c>
    </row>
    <row r="77" spans="1:64" ht="30" customHeight="1" x14ac:dyDescent="0.2">
      <c r="B77" s="62" t="s">
        <v>475</v>
      </c>
      <c r="C77" s="62" t="e">
        <f>VLOOKUP($B77,#REF!,COLUMNS($B77:C77),0)</f>
        <v>#REF!</v>
      </c>
      <c r="D77" s="66" t="e">
        <f>VLOOKUP($B77,#REF!,COLUMNS($B77:D77),0)</f>
        <v>#REF!</v>
      </c>
      <c r="E77" s="66" t="e">
        <f>VLOOKUP($B77,#REF!,COLUMNS($B77:E77),0)</f>
        <v>#REF!</v>
      </c>
      <c r="F77" s="67" t="e">
        <f>VLOOKUP($B77,#REF!,COLUMNS($B77:F77),0)</f>
        <v>#REF!</v>
      </c>
      <c r="G77" s="68" t="e">
        <f>VLOOKUP($B77,#REF!,COLUMNS($B77:G77),0)</f>
        <v>#REF!</v>
      </c>
      <c r="H77" s="69" t="e">
        <f>VLOOKUP($B77,#REF!,COLUMNS($B77:H77),0)</f>
        <v>#REF!</v>
      </c>
      <c r="I77" s="70" t="e">
        <f>VLOOKUP($B77,#REF!,COLUMNS($B77:I77),0)</f>
        <v>#REF!</v>
      </c>
      <c r="J77" s="71" t="e">
        <f>VLOOKUP($B77,#REF!,COLUMNS($B77:J77),0)</f>
        <v>#REF!</v>
      </c>
      <c r="K77" s="60" t="e">
        <f>VLOOKUP($B77,#REF!,COLUMNS($B77:K77),0)</f>
        <v>#REF!</v>
      </c>
      <c r="L77" s="61" t="e">
        <f>VLOOKUP($B77,#REF!,COLUMNS($B77:L77),0)</f>
        <v>#REF!</v>
      </c>
      <c r="M77" s="61" t="e">
        <f>VLOOKUP($B77,#REF!,COLUMNS($B77:M77),0)</f>
        <v>#REF!</v>
      </c>
      <c r="AD77" s="1" t="s">
        <v>127</v>
      </c>
      <c r="AE77" s="1" t="s">
        <v>128</v>
      </c>
      <c r="AF77" s="36" t="e">
        <f ca="1">_xll.BDP($AD77,AF$10)</f>
        <v>#NAME?</v>
      </c>
      <c r="AG77" s="36" t="e">
        <f ca="1">_xll.BDH($AD77,AG$10,$C$5,$C$5,"EQY_FUND_CRNCY=USD")</f>
        <v>#NAME?</v>
      </c>
      <c r="AH77" s="36" t="e">
        <f ca="1">_xll.BDH($AD77,AH$10,$C$5,$C$5,"EQY_FUND_CRNCY=USD")</f>
        <v>#NAME?</v>
      </c>
      <c r="AI77" s="36" t="e">
        <f ca="1">_xll.BDP($AD77,AI$10,"EQY_FUND_CRNCY=USD","FA_ADJUSTED=Y")</f>
        <v>#NAME?</v>
      </c>
      <c r="AJ77" s="36" t="e">
        <f ca="1">_xll.BDP($AD77,AJ$10,"BEST_FPERIOD_OVERRIDE=1TY","EQY_FUND_CRNCY=USD","FA_ADJUSTED=Y")</f>
        <v>#NAME?</v>
      </c>
      <c r="AK77" s="44" t="e">
        <f t="shared" ca="1" si="3"/>
        <v>#NAME?</v>
      </c>
      <c r="AL77" s="36" t="e">
        <f ca="1">_xll.BDP($AD77,AL$10,"EQY_FUND_CRNCY=USD","FA_ADJUSTED=Y")</f>
        <v>#NAME?</v>
      </c>
      <c r="AM77" s="36" t="e">
        <f ca="1">_xll.BDP($AD77,AM$10,"BEST_FPERIOD_OVERRIDE=1TY","EQY_FUND_CRNCY=USD","FA_ADJUSTED=Y")</f>
        <v>#NAME?</v>
      </c>
      <c r="AN77" s="36" t="e">
        <f ca="1">_xll.BDP($AD77,AN$10,"BEST_FPERIOD_OVERRIDE=1TY","EQY_FUND_CRNCY=USD","FA_ADJUSTED=Y")</f>
        <v>#NAME?</v>
      </c>
      <c r="AO77" s="36" t="e">
        <f ca="1">_xll.BDP($AD77,AO$10,"BEST_FPERIOD_OVERRIDE=1TY","EQY_FUND_CRNCY=USD","FA_ADJUSTED=Y")</f>
        <v>#NAME?</v>
      </c>
      <c r="AP77" s="36" t="e">
        <f ca="1">_xll.BDP($AD77,AP$10,"BEST_FPERIOD_OVERRIDE=1TY","EQY_FUND_CRNCY=USD","FA_ADJUSTED=Y")</f>
        <v>#NAME?</v>
      </c>
      <c r="AQ77" s="36" t="e">
        <f ca="1">_xll.BDP($AD77,AQ$10,"EQY_FUND_CRNCY=USD","FA_ADJUSTED=Y")</f>
        <v>#NAME?</v>
      </c>
      <c r="AR77" s="36" t="e">
        <f ca="1">_xll.BDP($AD77,AR$10,"BEST_FPERIOD_OVERRIDE=1TY","EQY_FUND_CRNCY=USD","FA_ADJUSTED=Y")</f>
        <v>#NAME?</v>
      </c>
      <c r="AS77" s="36" t="e">
        <f ca="1">_xll.BDP($AD77,AS$10,"EQY_FUND_CRNCY=USD","FA_ADJUSTED=Y")</f>
        <v>#NAME?</v>
      </c>
      <c r="AT77" s="36" t="e">
        <f ca="1">_xll.BDP($AD77,AT$10,"BEST_FPERIOD_OVERRIDE=1TY","EQY_FUND_CRNCY=USD","FA_ADJUSTED=Y")</f>
        <v>#NAME?</v>
      </c>
      <c r="AV77" s="1" t="s">
        <v>127</v>
      </c>
      <c r="AW77" s="1" t="s">
        <v>128</v>
      </c>
      <c r="AX77" s="36" t="s">
        <v>505</v>
      </c>
      <c r="AY77" s="36">
        <v>5107.2048999999997</v>
      </c>
      <c r="AZ77" s="36">
        <v>5177.2318999999998</v>
      </c>
      <c r="BA77" s="36">
        <v>614.04600000000005</v>
      </c>
      <c r="BB77" s="36">
        <v>792.19399999999996</v>
      </c>
      <c r="BC77" s="44">
        <v>0.29012158698208257</v>
      </c>
      <c r="BD77" s="36">
        <v>439.7080033569336</v>
      </c>
      <c r="BE77" s="36">
        <v>77.510000000000005</v>
      </c>
      <c r="BF77" s="36">
        <v>129.803</v>
      </c>
      <c r="BG77" s="36">
        <v>258.83699999999999</v>
      </c>
      <c r="BH77" s="36">
        <v>52.734999999999999</v>
      </c>
      <c r="BI77" s="36">
        <v>-23.048000000000005</v>
      </c>
      <c r="BJ77" s="36">
        <v>135.55000000000001</v>
      </c>
      <c r="BK77" s="36">
        <v>-78.538188416806008</v>
      </c>
      <c r="BL77" s="36">
        <v>74.016999999999996</v>
      </c>
    </row>
    <row r="78" spans="1:64" ht="30" customHeight="1" x14ac:dyDescent="0.2">
      <c r="B78" s="62" t="s">
        <v>477</v>
      </c>
      <c r="C78" s="62" t="e">
        <f>VLOOKUP($B78,#REF!,COLUMNS($B78:C78),0)</f>
        <v>#REF!</v>
      </c>
      <c r="D78" s="66" t="e">
        <f>VLOOKUP($B78,#REF!,COLUMNS($B78:D78),0)</f>
        <v>#REF!</v>
      </c>
      <c r="E78" s="66" t="e">
        <f>VLOOKUP($B78,#REF!,COLUMNS($B78:E78),0)</f>
        <v>#REF!</v>
      </c>
      <c r="F78" s="67" t="e">
        <f>VLOOKUP($B78,#REF!,COLUMNS($B78:F78),0)</f>
        <v>#REF!</v>
      </c>
      <c r="G78" s="68" t="e">
        <f>VLOOKUP($B78,#REF!,COLUMNS($B78:G78),0)</f>
        <v>#REF!</v>
      </c>
      <c r="H78" s="69" t="e">
        <f>VLOOKUP($B78,#REF!,COLUMNS($B78:H78),0)</f>
        <v>#REF!</v>
      </c>
      <c r="I78" s="70" t="e">
        <f>VLOOKUP($B78,#REF!,COLUMNS($B78:I78),0)</f>
        <v>#REF!</v>
      </c>
      <c r="J78" s="71" t="e">
        <f>VLOOKUP($B78,#REF!,COLUMNS($B78:J78),0)</f>
        <v>#REF!</v>
      </c>
      <c r="K78" s="60" t="e">
        <f>VLOOKUP($B78,#REF!,COLUMNS($B78:K78),0)</f>
        <v>#REF!</v>
      </c>
      <c r="L78" s="61" t="e">
        <f>VLOOKUP($B78,#REF!,COLUMNS($B78:L78),0)</f>
        <v>#REF!</v>
      </c>
      <c r="M78" s="61" t="e">
        <f>VLOOKUP($B78,#REF!,COLUMNS($B78:M78),0)</f>
        <v>#REF!</v>
      </c>
      <c r="AD78" s="1" t="s">
        <v>129</v>
      </c>
      <c r="AE78" s="1" t="s">
        <v>130</v>
      </c>
      <c r="AF78" s="36" t="e">
        <f ca="1">_xll.BDP($AD78,AF$10)</f>
        <v>#NAME?</v>
      </c>
      <c r="AG78" s="36" t="e">
        <f ca="1">_xll.BDH($AD78,AG$10,$C$5,$C$5,"EQY_FUND_CRNCY=USD")</f>
        <v>#NAME?</v>
      </c>
      <c r="AH78" s="36" t="e">
        <f ca="1">_xll.BDH($AD78,AH$10,$C$5,$C$5,"EQY_FUND_CRNCY=USD")</f>
        <v>#NAME?</v>
      </c>
      <c r="AI78" s="36" t="e">
        <f ca="1">_xll.BDP($AD78,AI$10,"EQY_FUND_CRNCY=USD","FA_ADJUSTED=Y")</f>
        <v>#NAME?</v>
      </c>
      <c r="AJ78" s="36" t="e">
        <f ca="1">_xll.BDP($AD78,AJ$10,"BEST_FPERIOD_OVERRIDE=1TY","EQY_FUND_CRNCY=USD","FA_ADJUSTED=Y")</f>
        <v>#NAME?</v>
      </c>
      <c r="AK78" s="44" t="e">
        <f t="shared" ca="1" si="3"/>
        <v>#NAME?</v>
      </c>
      <c r="AL78" s="36" t="e">
        <f ca="1">_xll.BDP($AD78,AL$10,"EQY_FUND_CRNCY=USD","FA_ADJUSTED=Y")</f>
        <v>#NAME?</v>
      </c>
      <c r="AM78" s="36" t="e">
        <f ca="1">_xll.BDP($AD78,AM$10,"BEST_FPERIOD_OVERRIDE=1TY","EQY_FUND_CRNCY=USD","FA_ADJUSTED=Y")</f>
        <v>#NAME?</v>
      </c>
      <c r="AN78" s="36" t="e">
        <f ca="1">_xll.BDP($AD78,AN$10,"BEST_FPERIOD_OVERRIDE=1TY","EQY_FUND_CRNCY=USD","FA_ADJUSTED=Y")</f>
        <v>#NAME?</v>
      </c>
      <c r="AO78" s="36" t="e">
        <f ca="1">_xll.BDP($AD78,AO$10,"BEST_FPERIOD_OVERRIDE=1TY","EQY_FUND_CRNCY=USD","FA_ADJUSTED=Y")</f>
        <v>#NAME?</v>
      </c>
      <c r="AP78" s="36" t="e">
        <f ca="1">_xll.BDP($AD78,AP$10,"BEST_FPERIOD_OVERRIDE=1TY","EQY_FUND_CRNCY=USD","FA_ADJUSTED=Y")</f>
        <v>#NAME?</v>
      </c>
      <c r="AQ78" s="36" t="e">
        <f ca="1">_xll.BDP($AD78,AQ$10,"EQY_FUND_CRNCY=USD","FA_ADJUSTED=Y")</f>
        <v>#NAME?</v>
      </c>
      <c r="AR78" s="36" t="e">
        <f ca="1">_xll.BDP($AD78,AR$10,"BEST_FPERIOD_OVERRIDE=1TY","EQY_FUND_CRNCY=USD","FA_ADJUSTED=Y")</f>
        <v>#NAME?</v>
      </c>
      <c r="AS78" s="36" t="e">
        <f ca="1">_xll.BDP($AD78,AS$10,"EQY_FUND_CRNCY=USD","FA_ADJUSTED=Y")</f>
        <v>#NAME?</v>
      </c>
      <c r="AT78" s="36" t="e">
        <f ca="1">_xll.BDP($AD78,AT$10,"BEST_FPERIOD_OVERRIDE=1TY","EQY_FUND_CRNCY=USD","FA_ADJUSTED=Y")</f>
        <v>#NAME?</v>
      </c>
      <c r="AV78" s="1" t="s">
        <v>129</v>
      </c>
      <c r="AW78" s="1" t="s">
        <v>130</v>
      </c>
      <c r="AX78" s="36" t="s">
        <v>495</v>
      </c>
      <c r="AY78" s="36">
        <v>4998.8274000000001</v>
      </c>
      <c r="AZ78" s="36">
        <v>4738.1673000000001</v>
      </c>
      <c r="BA78" s="36">
        <v>441.399</v>
      </c>
      <c r="BB78" s="36">
        <v>558.06700000000001</v>
      </c>
      <c r="BC78" s="44">
        <v>0.26431414661111607</v>
      </c>
      <c r="BD78" s="36">
        <v>354.10500488281252</v>
      </c>
      <c r="BE78" s="36">
        <v>81.478999999999999</v>
      </c>
      <c r="BF78" s="36">
        <v>70.37299999999999</v>
      </c>
      <c r="BG78" s="36">
        <v>212.85900000000001</v>
      </c>
      <c r="BH78" s="36">
        <v>56.786999999999999</v>
      </c>
      <c r="BI78" s="36">
        <v>-24.503810126582</v>
      </c>
      <c r="BJ78" s="36">
        <v>59.963000000000001</v>
      </c>
      <c r="BK78" s="36">
        <v>-55.844099999999997</v>
      </c>
      <c r="BL78" s="36">
        <v>37.355000000000004</v>
      </c>
    </row>
    <row r="79" spans="1:64" ht="30" customHeight="1" x14ac:dyDescent="0.2">
      <c r="B79" s="62" t="s">
        <v>478</v>
      </c>
      <c r="C79" s="62" t="e">
        <f>VLOOKUP($B79,#REF!,COLUMNS($B79:C79),0)</f>
        <v>#REF!</v>
      </c>
      <c r="D79" s="66" t="e">
        <f>VLOOKUP($B79,#REF!,COLUMNS($B79:D79),0)</f>
        <v>#REF!</v>
      </c>
      <c r="E79" s="66" t="e">
        <f>VLOOKUP($B79,#REF!,COLUMNS($B79:E79),0)</f>
        <v>#REF!</v>
      </c>
      <c r="F79" s="67" t="e">
        <f>VLOOKUP($B79,#REF!,COLUMNS($B79:F79),0)</f>
        <v>#REF!</v>
      </c>
      <c r="G79" s="68" t="e">
        <f>VLOOKUP($B79,#REF!,COLUMNS($B79:G79),0)</f>
        <v>#REF!</v>
      </c>
      <c r="H79" s="69" t="e">
        <f>VLOOKUP($B79,#REF!,COLUMNS($B79:H79),0)</f>
        <v>#REF!</v>
      </c>
      <c r="I79" s="70" t="e">
        <f>VLOOKUP($B79,#REF!,COLUMNS($B79:I79),0)</f>
        <v>#REF!</v>
      </c>
      <c r="J79" s="71" t="e">
        <f>VLOOKUP($B79,#REF!,COLUMNS($B79:J79),0)</f>
        <v>#REF!</v>
      </c>
      <c r="K79" s="60" t="e">
        <f>VLOOKUP($B79,#REF!,COLUMNS($B79:K79),0)</f>
        <v>#REF!</v>
      </c>
      <c r="L79" s="61" t="e">
        <f>VLOOKUP($B79,#REF!,COLUMNS($B79:L79),0)</f>
        <v>#REF!</v>
      </c>
      <c r="M79" s="61" t="e">
        <f>VLOOKUP($B79,#REF!,COLUMNS($B79:M79),0)</f>
        <v>#REF!</v>
      </c>
      <c r="AD79" s="1" t="s">
        <v>131</v>
      </c>
      <c r="AE79" s="1" t="s">
        <v>132</v>
      </c>
      <c r="AF79" s="36" t="e">
        <f ca="1">_xll.BDP($AD79,AF$10)</f>
        <v>#NAME?</v>
      </c>
      <c r="AG79" s="36" t="e">
        <f ca="1">_xll.BDH($AD79,AG$10,$C$5,$C$5,"EQY_FUND_CRNCY=USD")</f>
        <v>#NAME?</v>
      </c>
      <c r="AH79" s="36" t="e">
        <f ca="1">_xll.BDH($AD79,AH$10,$C$5,$C$5,"EQY_FUND_CRNCY=USD")</f>
        <v>#NAME?</v>
      </c>
      <c r="AI79" s="36" t="e">
        <f ca="1">_xll.BDP($AD79,AI$10,"EQY_FUND_CRNCY=USD","FA_ADJUSTED=Y")</f>
        <v>#NAME?</v>
      </c>
      <c r="AJ79" s="36" t="e">
        <f ca="1">_xll.BDP($AD79,AJ$10,"BEST_FPERIOD_OVERRIDE=1TY","EQY_FUND_CRNCY=USD","FA_ADJUSTED=Y")</f>
        <v>#NAME?</v>
      </c>
      <c r="AK79" s="44" t="e">
        <f t="shared" ref="AK79:AK142" ca="1" si="19">(AJ79/AI79)-1</f>
        <v>#NAME?</v>
      </c>
      <c r="AL79" s="36" t="e">
        <f ca="1">_xll.BDP($AD79,AL$10,"EQY_FUND_CRNCY=USD","FA_ADJUSTED=Y")</f>
        <v>#NAME?</v>
      </c>
      <c r="AM79" s="36" t="e">
        <f ca="1">_xll.BDP($AD79,AM$10,"BEST_FPERIOD_OVERRIDE=1TY","EQY_FUND_CRNCY=USD","FA_ADJUSTED=Y")</f>
        <v>#NAME?</v>
      </c>
      <c r="AN79" s="36" t="e">
        <f ca="1">_xll.BDP($AD79,AN$10,"BEST_FPERIOD_OVERRIDE=1TY","EQY_FUND_CRNCY=USD","FA_ADJUSTED=Y")</f>
        <v>#NAME?</v>
      </c>
      <c r="AO79" s="36" t="e">
        <f ca="1">_xll.BDP($AD79,AO$10,"BEST_FPERIOD_OVERRIDE=1TY","EQY_FUND_CRNCY=USD","FA_ADJUSTED=Y")</f>
        <v>#NAME?</v>
      </c>
      <c r="AP79" s="36" t="e">
        <f ca="1">_xll.BDP($AD79,AP$10,"BEST_FPERIOD_OVERRIDE=1TY","EQY_FUND_CRNCY=USD","FA_ADJUSTED=Y")</f>
        <v>#NAME?</v>
      </c>
      <c r="AQ79" s="36" t="e">
        <f ca="1">_xll.BDP($AD79,AQ$10,"EQY_FUND_CRNCY=USD","FA_ADJUSTED=Y")</f>
        <v>#NAME?</v>
      </c>
      <c r="AR79" s="36" t="e">
        <f ca="1">_xll.BDP($AD79,AR$10,"BEST_FPERIOD_OVERRIDE=1TY","EQY_FUND_CRNCY=USD","FA_ADJUSTED=Y")</f>
        <v>#NAME?</v>
      </c>
      <c r="AS79" s="36" t="e">
        <f ca="1">_xll.BDP($AD79,AS$10,"EQY_FUND_CRNCY=USD","FA_ADJUSTED=Y")</f>
        <v>#NAME?</v>
      </c>
      <c r="AT79" s="36" t="e">
        <f ca="1">_xll.BDP($AD79,AT$10,"BEST_FPERIOD_OVERRIDE=1TY","EQY_FUND_CRNCY=USD","FA_ADJUSTED=Y")</f>
        <v>#NAME?</v>
      </c>
      <c r="AV79" s="1" t="s">
        <v>131</v>
      </c>
      <c r="AW79" s="1" t="s">
        <v>132</v>
      </c>
      <c r="AX79" s="36" t="s">
        <v>505</v>
      </c>
      <c r="AY79" s="36">
        <v>4889.1738999999998</v>
      </c>
      <c r="AZ79" s="36">
        <v>3355.8386999999998</v>
      </c>
      <c r="BA79" s="36">
        <v>882</v>
      </c>
      <c r="BB79" s="36">
        <v>905.96699999999998</v>
      </c>
      <c r="BC79" s="44">
        <v>2.7173469387755E-2</v>
      </c>
      <c r="BD79" s="36">
        <v>675</v>
      </c>
      <c r="BE79" s="36">
        <v>75.55</v>
      </c>
      <c r="BF79" s="36">
        <v>239</v>
      </c>
      <c r="BG79" s="36">
        <v>0</v>
      </c>
      <c r="BH79" s="36" t="s">
        <v>480</v>
      </c>
      <c r="BI79" s="36">
        <v>74</v>
      </c>
      <c r="BJ79" s="36">
        <v>159.923</v>
      </c>
      <c r="BK79" s="36">
        <v>-68.715000000000003</v>
      </c>
      <c r="BL79" s="36">
        <v>88.109000000000009</v>
      </c>
    </row>
    <row r="80" spans="1:64" ht="30" customHeight="1" x14ac:dyDescent="0.2">
      <c r="B80" s="63"/>
      <c r="C80" s="63"/>
      <c r="G80" s="64" t="s">
        <v>483</v>
      </c>
      <c r="H80" s="29" t="e">
        <f>AVERAGE(H75:H79)</f>
        <v>#REF!</v>
      </c>
      <c r="I80" s="30" t="e">
        <f>AVERAGE(I75:I79)</f>
        <v>#REF!</v>
      </c>
      <c r="J80" s="72" t="e">
        <f>AVERAGE(J75:J79)</f>
        <v>#REF!</v>
      </c>
      <c r="K80" s="32" t="e">
        <f>AVERAGE(K75:K79)</f>
        <v>#REF!</v>
      </c>
      <c r="L80" s="33" t="e">
        <f t="shared" ref="L80" si="20">AVERAGE(L75:L79)</f>
        <v>#REF!</v>
      </c>
      <c r="M80" s="33" t="e">
        <f>AVERAGE(M75:M79)</f>
        <v>#REF!</v>
      </c>
      <c r="AD80" s="1" t="s">
        <v>133</v>
      </c>
      <c r="AE80" s="1" t="s">
        <v>134</v>
      </c>
      <c r="AF80" s="36" t="e">
        <f ca="1">_xll.BDP($AD80,AF$10)</f>
        <v>#NAME?</v>
      </c>
      <c r="AG80" s="36" t="e">
        <f ca="1">_xll.BDH($AD80,AG$10,$C$5,$C$5,"EQY_FUND_CRNCY=USD")</f>
        <v>#NAME?</v>
      </c>
      <c r="AH80" s="36" t="e">
        <f ca="1">_xll.BDH($AD80,AH$10,$C$5,$C$5,"EQY_FUND_CRNCY=USD")</f>
        <v>#NAME?</v>
      </c>
      <c r="AI80" s="36" t="e">
        <f ca="1">_xll.BDP($AD80,AI$10,"EQY_FUND_CRNCY=USD","FA_ADJUSTED=Y")</f>
        <v>#NAME?</v>
      </c>
      <c r="AJ80" s="36" t="e">
        <f ca="1">_xll.BDP($AD80,AJ$10,"BEST_FPERIOD_OVERRIDE=1TY","EQY_FUND_CRNCY=USD","FA_ADJUSTED=Y")</f>
        <v>#NAME?</v>
      </c>
      <c r="AK80" s="44" t="e">
        <f t="shared" ca="1" si="19"/>
        <v>#NAME?</v>
      </c>
      <c r="AL80" s="36" t="e">
        <f ca="1">_xll.BDP($AD80,AL$10,"EQY_FUND_CRNCY=USD","FA_ADJUSTED=Y")</f>
        <v>#NAME?</v>
      </c>
      <c r="AM80" s="36" t="e">
        <f ca="1">_xll.BDP($AD80,AM$10,"BEST_FPERIOD_OVERRIDE=1TY","EQY_FUND_CRNCY=USD","FA_ADJUSTED=Y")</f>
        <v>#NAME?</v>
      </c>
      <c r="AN80" s="36" t="e">
        <f ca="1">_xll.BDP($AD80,AN$10,"BEST_FPERIOD_OVERRIDE=1TY","EQY_FUND_CRNCY=USD","FA_ADJUSTED=Y")</f>
        <v>#NAME?</v>
      </c>
      <c r="AO80" s="36" t="e">
        <f ca="1">_xll.BDP($AD80,AO$10,"BEST_FPERIOD_OVERRIDE=1TY","EQY_FUND_CRNCY=USD","FA_ADJUSTED=Y")</f>
        <v>#NAME?</v>
      </c>
      <c r="AP80" s="36" t="e">
        <f ca="1">_xll.BDP($AD80,AP$10,"BEST_FPERIOD_OVERRIDE=1TY","EQY_FUND_CRNCY=USD","FA_ADJUSTED=Y")</f>
        <v>#NAME?</v>
      </c>
      <c r="AQ80" s="36" t="e">
        <f ca="1">_xll.BDP($AD80,AQ$10,"EQY_FUND_CRNCY=USD","FA_ADJUSTED=Y")</f>
        <v>#NAME?</v>
      </c>
      <c r="AR80" s="36" t="e">
        <f ca="1">_xll.BDP($AD80,AR$10,"BEST_FPERIOD_OVERRIDE=1TY","EQY_FUND_CRNCY=USD","FA_ADJUSTED=Y")</f>
        <v>#NAME?</v>
      </c>
      <c r="AS80" s="36" t="e">
        <f ca="1">_xll.BDP($AD80,AS$10,"EQY_FUND_CRNCY=USD","FA_ADJUSTED=Y")</f>
        <v>#NAME?</v>
      </c>
      <c r="AT80" s="36" t="e">
        <f ca="1">_xll.BDP($AD80,AT$10,"BEST_FPERIOD_OVERRIDE=1TY","EQY_FUND_CRNCY=USD","FA_ADJUSTED=Y")</f>
        <v>#NAME?</v>
      </c>
      <c r="AV80" s="1" t="s">
        <v>133</v>
      </c>
      <c r="AW80" s="1" t="s">
        <v>134</v>
      </c>
      <c r="AX80" s="36" t="s">
        <v>495</v>
      </c>
      <c r="AY80" s="36">
        <v>5030.9390999999996</v>
      </c>
      <c r="AZ80" s="36">
        <v>6274.3391000000001</v>
      </c>
      <c r="BA80" s="36">
        <v>750.7</v>
      </c>
      <c r="BB80" s="36">
        <v>763.30000000000007</v>
      </c>
      <c r="BC80" s="44">
        <v>1.6784334621020358E-2</v>
      </c>
      <c r="BD80" s="36">
        <v>293.00000000000006</v>
      </c>
      <c r="BE80" s="36">
        <v>42.375</v>
      </c>
      <c r="BF80" s="36">
        <v>0</v>
      </c>
      <c r="BG80" s="36" t="s">
        <v>480</v>
      </c>
      <c r="BH80" s="36" t="s">
        <v>480</v>
      </c>
      <c r="BI80" s="36">
        <v>90.5</v>
      </c>
      <c r="BJ80" s="36">
        <v>163.22800000000001</v>
      </c>
      <c r="BK80" s="36">
        <v>-9.1999999999999993</v>
      </c>
      <c r="BL80" s="36">
        <v>49.454999999999998</v>
      </c>
    </row>
    <row r="81" spans="1:64" ht="30" customHeight="1" x14ac:dyDescent="0.2">
      <c r="B81" s="63"/>
      <c r="C81" s="63"/>
      <c r="G81" s="64" t="s">
        <v>484</v>
      </c>
      <c r="H81" s="29" t="e">
        <f>MEDIAN(H75:H79)</f>
        <v>#REF!</v>
      </c>
      <c r="I81" s="30" t="e">
        <f>MEDIAN(I75:I79)</f>
        <v>#REF!</v>
      </c>
      <c r="J81" s="72" t="e">
        <f>MEDIAN(J75:J79)</f>
        <v>#REF!</v>
      </c>
      <c r="K81" s="32" t="e">
        <f>MEDIAN(K75:K79)</f>
        <v>#REF!</v>
      </c>
      <c r="L81" s="33" t="e">
        <f t="shared" ref="L81" si="21">MEDIAN(L75:L79)</f>
        <v>#REF!</v>
      </c>
      <c r="M81" s="33" t="e">
        <f>MEDIAN(M75:M79)</f>
        <v>#REF!</v>
      </c>
      <c r="AD81" s="1" t="s">
        <v>135</v>
      </c>
      <c r="AE81" s="1" t="s">
        <v>136</v>
      </c>
      <c r="AF81" s="36" t="e">
        <f ca="1">_xll.BDP($AD81,AF$10)</f>
        <v>#NAME?</v>
      </c>
      <c r="AG81" s="36" t="e">
        <f ca="1">_xll.BDH($AD81,AG$10,$C$5,$C$5,"EQY_FUND_CRNCY=USD")</f>
        <v>#NAME?</v>
      </c>
      <c r="AH81" s="36" t="e">
        <f ca="1">_xll.BDH($AD81,AH$10,$C$5,$C$5,"EQY_FUND_CRNCY=USD")</f>
        <v>#NAME?</v>
      </c>
      <c r="AI81" s="36" t="e">
        <f ca="1">_xll.BDP($AD81,AI$10,"EQY_FUND_CRNCY=USD","FA_ADJUSTED=Y")</f>
        <v>#NAME?</v>
      </c>
      <c r="AJ81" s="36" t="e">
        <f ca="1">_xll.BDP($AD81,AJ$10,"BEST_FPERIOD_OVERRIDE=1TY","EQY_FUND_CRNCY=USD","FA_ADJUSTED=Y")</f>
        <v>#NAME?</v>
      </c>
      <c r="AK81" s="44" t="e">
        <f t="shared" ca="1" si="19"/>
        <v>#NAME?</v>
      </c>
      <c r="AL81" s="36" t="e">
        <f ca="1">_xll.BDP($AD81,AL$10,"EQY_FUND_CRNCY=USD","FA_ADJUSTED=Y")</f>
        <v>#NAME?</v>
      </c>
      <c r="AM81" s="36" t="e">
        <f ca="1">_xll.BDP($AD81,AM$10,"BEST_FPERIOD_OVERRIDE=1TY","EQY_FUND_CRNCY=USD","FA_ADJUSTED=Y")</f>
        <v>#NAME?</v>
      </c>
      <c r="AN81" s="36" t="e">
        <f ca="1">_xll.BDP($AD81,AN$10,"BEST_FPERIOD_OVERRIDE=1TY","EQY_FUND_CRNCY=USD","FA_ADJUSTED=Y")</f>
        <v>#NAME?</v>
      </c>
      <c r="AO81" s="36" t="e">
        <f ca="1">_xll.BDP($AD81,AO$10,"BEST_FPERIOD_OVERRIDE=1TY","EQY_FUND_CRNCY=USD","FA_ADJUSTED=Y")</f>
        <v>#NAME?</v>
      </c>
      <c r="AP81" s="36" t="e">
        <f ca="1">_xll.BDP($AD81,AP$10,"BEST_FPERIOD_OVERRIDE=1TY","EQY_FUND_CRNCY=USD","FA_ADJUSTED=Y")</f>
        <v>#NAME?</v>
      </c>
      <c r="AQ81" s="36" t="e">
        <f ca="1">_xll.BDP($AD81,AQ$10,"EQY_FUND_CRNCY=USD","FA_ADJUSTED=Y")</f>
        <v>#NAME?</v>
      </c>
      <c r="AR81" s="36" t="e">
        <f ca="1">_xll.BDP($AD81,AR$10,"BEST_FPERIOD_OVERRIDE=1TY","EQY_FUND_CRNCY=USD","FA_ADJUSTED=Y")</f>
        <v>#NAME?</v>
      </c>
      <c r="AS81" s="36" t="e">
        <f ca="1">_xll.BDP($AD81,AS$10,"EQY_FUND_CRNCY=USD","FA_ADJUSTED=Y")</f>
        <v>#NAME?</v>
      </c>
      <c r="AT81" s="36" t="e">
        <f ca="1">_xll.BDP($AD81,AT$10,"BEST_FPERIOD_OVERRIDE=1TY","EQY_FUND_CRNCY=USD","FA_ADJUSTED=Y")</f>
        <v>#NAME?</v>
      </c>
      <c r="AV81" s="1" t="s">
        <v>135</v>
      </c>
      <c r="AW81" s="1" t="s">
        <v>136</v>
      </c>
      <c r="AX81" s="36" t="s">
        <v>495</v>
      </c>
      <c r="AY81" s="36">
        <v>4912.9336000000003</v>
      </c>
      <c r="AZ81" s="36">
        <v>6727.3046000000004</v>
      </c>
      <c r="BA81" s="36">
        <v>2007.8210000000001</v>
      </c>
      <c r="BB81" s="36">
        <v>2103.1669999999999</v>
      </c>
      <c r="BC81" s="44">
        <v>4.7487300909792252E-2</v>
      </c>
      <c r="BD81" s="36">
        <v>1132.4420061035157</v>
      </c>
      <c r="BE81" s="36">
        <v>63.65</v>
      </c>
      <c r="BF81" s="36">
        <v>266.09699999999998</v>
      </c>
      <c r="BG81" s="36">
        <v>398.13</v>
      </c>
      <c r="BH81" s="36">
        <v>166.67699999999999</v>
      </c>
      <c r="BI81" s="36">
        <v>344.83600000000001</v>
      </c>
      <c r="BJ81" s="36">
        <v>589</v>
      </c>
      <c r="BK81" s="36">
        <v>21.322419709094</v>
      </c>
      <c r="BL81" s="36">
        <v>352.72500000000002</v>
      </c>
    </row>
    <row r="82" spans="1:64" ht="30" customHeight="1" x14ac:dyDescent="0.2">
      <c r="B82" s="65"/>
      <c r="C82" s="65"/>
      <c r="G82" s="64" t="s">
        <v>485</v>
      </c>
      <c r="H82" s="29" t="e">
        <f>MAX(H75:H79)</f>
        <v>#REF!</v>
      </c>
      <c r="I82" s="30" t="e">
        <f>MAX(I75:I79)</f>
        <v>#REF!</v>
      </c>
      <c r="J82" s="72" t="e">
        <f>MAX(J75:J79)</f>
        <v>#REF!</v>
      </c>
      <c r="K82" s="32" t="e">
        <f>MAX(K75:K79)</f>
        <v>#REF!</v>
      </c>
      <c r="L82" s="33" t="e">
        <f t="shared" ref="L82" si="22">MAX(L75:L79)</f>
        <v>#REF!</v>
      </c>
      <c r="M82" s="33" t="e">
        <f>MAX(M75:M79)</f>
        <v>#REF!</v>
      </c>
      <c r="AD82" s="1" t="s">
        <v>137</v>
      </c>
      <c r="AE82" s="1" t="s">
        <v>138</v>
      </c>
      <c r="AF82" s="36" t="e">
        <f ca="1">_xll.BDP($AD82,AF$10)</f>
        <v>#NAME?</v>
      </c>
      <c r="AG82" s="36" t="e">
        <f ca="1">_xll.BDH($AD82,AG$10,$C$5,$C$5,"EQY_FUND_CRNCY=USD")</f>
        <v>#NAME?</v>
      </c>
      <c r="AH82" s="36" t="e">
        <f ca="1">_xll.BDH($AD82,AH$10,$C$5,$C$5,"EQY_FUND_CRNCY=USD")</f>
        <v>#NAME?</v>
      </c>
      <c r="AI82" s="36" t="e">
        <f ca="1">_xll.BDP($AD82,AI$10,"EQY_FUND_CRNCY=USD","FA_ADJUSTED=Y")</f>
        <v>#NAME?</v>
      </c>
      <c r="AJ82" s="36" t="e">
        <f ca="1">_xll.BDP($AD82,AJ$10,"BEST_FPERIOD_OVERRIDE=1TY","EQY_FUND_CRNCY=USD","FA_ADJUSTED=Y")</f>
        <v>#NAME?</v>
      </c>
      <c r="AK82" s="44" t="e">
        <f t="shared" ca="1" si="19"/>
        <v>#NAME?</v>
      </c>
      <c r="AL82" s="36" t="e">
        <f ca="1">_xll.BDP($AD82,AL$10,"EQY_FUND_CRNCY=USD","FA_ADJUSTED=Y")</f>
        <v>#NAME?</v>
      </c>
      <c r="AM82" s="36" t="e">
        <f ca="1">_xll.BDP($AD82,AM$10,"BEST_FPERIOD_OVERRIDE=1TY","EQY_FUND_CRNCY=USD","FA_ADJUSTED=Y")</f>
        <v>#NAME?</v>
      </c>
      <c r="AN82" s="36" t="e">
        <f ca="1">_xll.BDP($AD82,AN$10,"BEST_FPERIOD_OVERRIDE=1TY","EQY_FUND_CRNCY=USD","FA_ADJUSTED=Y")</f>
        <v>#NAME?</v>
      </c>
      <c r="AO82" s="36" t="e">
        <f ca="1">_xll.BDP($AD82,AO$10,"BEST_FPERIOD_OVERRIDE=1TY","EQY_FUND_CRNCY=USD","FA_ADJUSTED=Y")</f>
        <v>#NAME?</v>
      </c>
      <c r="AP82" s="36" t="e">
        <f ca="1">_xll.BDP($AD82,AP$10,"BEST_FPERIOD_OVERRIDE=1TY","EQY_FUND_CRNCY=USD","FA_ADJUSTED=Y")</f>
        <v>#NAME?</v>
      </c>
      <c r="AQ82" s="36" t="e">
        <f ca="1">_xll.BDP($AD82,AQ$10,"EQY_FUND_CRNCY=USD","FA_ADJUSTED=Y")</f>
        <v>#NAME?</v>
      </c>
      <c r="AR82" s="36" t="e">
        <f ca="1">_xll.BDP($AD82,AR$10,"BEST_FPERIOD_OVERRIDE=1TY","EQY_FUND_CRNCY=USD","FA_ADJUSTED=Y")</f>
        <v>#NAME?</v>
      </c>
      <c r="AS82" s="36" t="e">
        <f ca="1">_xll.BDP($AD82,AS$10,"EQY_FUND_CRNCY=USD","FA_ADJUSTED=Y")</f>
        <v>#NAME?</v>
      </c>
      <c r="AT82" s="36" t="e">
        <f ca="1">_xll.BDP($AD82,AT$10,"BEST_FPERIOD_OVERRIDE=1TY","EQY_FUND_CRNCY=USD","FA_ADJUSTED=Y")</f>
        <v>#NAME?</v>
      </c>
      <c r="AV82" s="1" t="s">
        <v>137</v>
      </c>
      <c r="AW82" s="1" t="s">
        <v>138</v>
      </c>
      <c r="AX82" s="36" t="s">
        <v>495</v>
      </c>
      <c r="AY82" s="36">
        <v>4775.0842000000002</v>
      </c>
      <c r="AZ82" s="36">
        <v>4436.8191999999999</v>
      </c>
      <c r="BA82" s="36">
        <v>383.18099999999998</v>
      </c>
      <c r="BB82" s="36">
        <v>489.97500000000002</v>
      </c>
      <c r="BC82" s="44">
        <v>0.27870379794405276</v>
      </c>
      <c r="BD82" s="36">
        <v>318.38299798583984</v>
      </c>
      <c r="BE82" s="36">
        <v>83.225000000000009</v>
      </c>
      <c r="BF82" s="36">
        <v>74.331999999999994</v>
      </c>
      <c r="BG82" s="36">
        <v>207.02099999999999</v>
      </c>
      <c r="BH82" s="36">
        <v>57.787999999999997</v>
      </c>
      <c r="BI82" s="36">
        <v>-2.2589999999999986</v>
      </c>
      <c r="BJ82" s="36">
        <v>54.381999999999998</v>
      </c>
      <c r="BK82" s="36">
        <v>-33.405200000000001</v>
      </c>
      <c r="BL82" s="36">
        <v>28.193000000000001</v>
      </c>
    </row>
    <row r="83" spans="1:64" ht="30" customHeight="1" x14ac:dyDescent="0.2">
      <c r="B83" s="65"/>
      <c r="C83" s="65"/>
      <c r="G83" s="64" t="s">
        <v>486</v>
      </c>
      <c r="H83" s="29" t="e">
        <f>MIN(H75:H79)</f>
        <v>#REF!</v>
      </c>
      <c r="I83" s="30" t="e">
        <f>MIN(I75:I79)</f>
        <v>#REF!</v>
      </c>
      <c r="J83" s="72" t="e">
        <f>MIN(J75:J79)</f>
        <v>#REF!</v>
      </c>
      <c r="K83" s="32" t="e">
        <f>MIN(K75:K79)</f>
        <v>#REF!</v>
      </c>
      <c r="L83" s="33" t="e">
        <f t="shared" ref="L83" si="23">MIN(L75:L79)</f>
        <v>#REF!</v>
      </c>
      <c r="M83" s="33" t="e">
        <f>MIN(M75:M79)</f>
        <v>#REF!</v>
      </c>
      <c r="AD83" s="1" t="s">
        <v>139</v>
      </c>
      <c r="AE83" s="1" t="s">
        <v>140</v>
      </c>
      <c r="AF83" s="36" t="e">
        <f ca="1">_xll.BDP($AD83,AF$10)</f>
        <v>#NAME?</v>
      </c>
      <c r="AG83" s="36" t="e">
        <f ca="1">_xll.BDH($AD83,AG$10,$C$5,$C$5,"EQY_FUND_CRNCY=USD")</f>
        <v>#NAME?</v>
      </c>
      <c r="AH83" s="36" t="e">
        <f ca="1">_xll.BDH($AD83,AH$10,$C$5,$C$5,"EQY_FUND_CRNCY=USD")</f>
        <v>#NAME?</v>
      </c>
      <c r="AI83" s="36" t="e">
        <f ca="1">_xll.BDP($AD83,AI$10,"EQY_FUND_CRNCY=USD","FA_ADJUSTED=Y")</f>
        <v>#NAME?</v>
      </c>
      <c r="AJ83" s="36" t="e">
        <f ca="1">_xll.BDP($AD83,AJ$10,"BEST_FPERIOD_OVERRIDE=1TY","EQY_FUND_CRNCY=USD","FA_ADJUSTED=Y")</f>
        <v>#NAME?</v>
      </c>
      <c r="AK83" s="44" t="e">
        <f t="shared" ca="1" si="19"/>
        <v>#NAME?</v>
      </c>
      <c r="AL83" s="36" t="e">
        <f ca="1">_xll.BDP($AD83,AL$10,"EQY_FUND_CRNCY=USD","FA_ADJUSTED=Y")</f>
        <v>#NAME?</v>
      </c>
      <c r="AM83" s="36" t="e">
        <f ca="1">_xll.BDP($AD83,AM$10,"BEST_FPERIOD_OVERRIDE=1TY","EQY_FUND_CRNCY=USD","FA_ADJUSTED=Y")</f>
        <v>#NAME?</v>
      </c>
      <c r="AN83" s="36" t="e">
        <f ca="1">_xll.BDP($AD83,AN$10,"BEST_FPERIOD_OVERRIDE=1TY","EQY_FUND_CRNCY=USD","FA_ADJUSTED=Y")</f>
        <v>#NAME?</v>
      </c>
      <c r="AO83" s="36" t="e">
        <f ca="1">_xll.BDP($AD83,AO$10,"BEST_FPERIOD_OVERRIDE=1TY","EQY_FUND_CRNCY=USD","FA_ADJUSTED=Y")</f>
        <v>#NAME?</v>
      </c>
      <c r="AP83" s="36" t="e">
        <f ca="1">_xll.BDP($AD83,AP$10,"BEST_FPERIOD_OVERRIDE=1TY","EQY_FUND_CRNCY=USD","FA_ADJUSTED=Y")</f>
        <v>#NAME?</v>
      </c>
      <c r="AQ83" s="36" t="e">
        <f ca="1">_xll.BDP($AD83,AQ$10,"EQY_FUND_CRNCY=USD","FA_ADJUSTED=Y")</f>
        <v>#NAME?</v>
      </c>
      <c r="AR83" s="36" t="e">
        <f ca="1">_xll.BDP($AD83,AR$10,"BEST_FPERIOD_OVERRIDE=1TY","EQY_FUND_CRNCY=USD","FA_ADJUSTED=Y")</f>
        <v>#NAME?</v>
      </c>
      <c r="AS83" s="36" t="e">
        <f ca="1">_xll.BDP($AD83,AS$10,"EQY_FUND_CRNCY=USD","FA_ADJUSTED=Y")</f>
        <v>#NAME?</v>
      </c>
      <c r="AT83" s="36" t="e">
        <f ca="1">_xll.BDP($AD83,AT$10,"BEST_FPERIOD_OVERRIDE=1TY","EQY_FUND_CRNCY=USD","FA_ADJUSTED=Y")</f>
        <v>#NAME?</v>
      </c>
      <c r="AV83" s="1" t="s">
        <v>139</v>
      </c>
      <c r="AW83" s="1" t="s">
        <v>140</v>
      </c>
      <c r="AX83" s="36" t="s">
        <v>495</v>
      </c>
      <c r="AY83" s="36">
        <v>4558.2957999999999</v>
      </c>
      <c r="AZ83" s="36">
        <v>4485.9957999999997</v>
      </c>
      <c r="BA83" s="36">
        <v>509.43599999999998</v>
      </c>
      <c r="BB83" s="36">
        <v>735.4</v>
      </c>
      <c r="BC83" s="44">
        <v>0.44355718873420802</v>
      </c>
      <c r="BD83" s="36">
        <v>281.04199999999997</v>
      </c>
      <c r="BE83" s="36">
        <v>63.5</v>
      </c>
      <c r="BF83" s="36">
        <v>160.947</v>
      </c>
      <c r="BG83" s="36">
        <v>221.18700000000001</v>
      </c>
      <c r="BH83" s="36">
        <v>67.203999999999994</v>
      </c>
      <c r="BI83" s="36">
        <v>-146.059</v>
      </c>
      <c r="BJ83" s="36">
        <v>-47.813000000000002</v>
      </c>
      <c r="BK83" s="36">
        <v>-163.51499999999999</v>
      </c>
      <c r="BL83" s="36">
        <v>-73.906999999999996</v>
      </c>
    </row>
    <row r="84" spans="1:64" x14ac:dyDescent="0.2">
      <c r="AD84" s="1" t="s">
        <v>141</v>
      </c>
      <c r="AE84" s="1" t="s">
        <v>142</v>
      </c>
      <c r="AF84" s="36" t="e">
        <f ca="1">_xll.BDP($AD84,AF$10)</f>
        <v>#NAME?</v>
      </c>
      <c r="AG84" s="36" t="e">
        <f ca="1">_xll.BDH($AD84,AG$10,$C$5,$C$5,"EQY_FUND_CRNCY=USD")</f>
        <v>#NAME?</v>
      </c>
      <c r="AH84" s="36" t="e">
        <f ca="1">_xll.BDH($AD84,AH$10,$C$5,$C$5,"EQY_FUND_CRNCY=USD")</f>
        <v>#NAME?</v>
      </c>
      <c r="AI84" s="36" t="e">
        <f ca="1">_xll.BDP($AD84,AI$10,"EQY_FUND_CRNCY=USD","FA_ADJUSTED=Y")</f>
        <v>#NAME?</v>
      </c>
      <c r="AJ84" s="36" t="e">
        <f ca="1">_xll.BDP($AD84,AJ$10,"BEST_FPERIOD_OVERRIDE=1TY","EQY_FUND_CRNCY=USD","FA_ADJUSTED=Y")</f>
        <v>#NAME?</v>
      </c>
      <c r="AK84" s="44" t="e">
        <f t="shared" ca="1" si="19"/>
        <v>#NAME?</v>
      </c>
      <c r="AL84" s="36" t="e">
        <f ca="1">_xll.BDP($AD84,AL$10,"EQY_FUND_CRNCY=USD","FA_ADJUSTED=Y")</f>
        <v>#NAME?</v>
      </c>
      <c r="AM84" s="36" t="e">
        <f ca="1">_xll.BDP($AD84,AM$10,"BEST_FPERIOD_OVERRIDE=1TY","EQY_FUND_CRNCY=USD","FA_ADJUSTED=Y")</f>
        <v>#NAME?</v>
      </c>
      <c r="AN84" s="36" t="e">
        <f ca="1">_xll.BDP($AD84,AN$10,"BEST_FPERIOD_OVERRIDE=1TY","EQY_FUND_CRNCY=USD","FA_ADJUSTED=Y")</f>
        <v>#NAME?</v>
      </c>
      <c r="AO84" s="36" t="e">
        <f ca="1">_xll.BDP($AD84,AO$10,"BEST_FPERIOD_OVERRIDE=1TY","EQY_FUND_CRNCY=USD","FA_ADJUSTED=Y")</f>
        <v>#NAME?</v>
      </c>
      <c r="AP84" s="36" t="e">
        <f ca="1">_xll.BDP($AD84,AP$10,"BEST_FPERIOD_OVERRIDE=1TY","EQY_FUND_CRNCY=USD","FA_ADJUSTED=Y")</f>
        <v>#NAME?</v>
      </c>
      <c r="AQ84" s="36" t="e">
        <f ca="1">_xll.BDP($AD84,AQ$10,"EQY_FUND_CRNCY=USD","FA_ADJUSTED=Y")</f>
        <v>#NAME?</v>
      </c>
      <c r="AR84" s="36" t="e">
        <f ca="1">_xll.BDP($AD84,AR$10,"BEST_FPERIOD_OVERRIDE=1TY","EQY_FUND_CRNCY=USD","FA_ADJUSTED=Y")</f>
        <v>#NAME?</v>
      </c>
      <c r="AS84" s="36" t="e">
        <f ca="1">_xll.BDP($AD84,AS$10,"EQY_FUND_CRNCY=USD","FA_ADJUSTED=Y")</f>
        <v>#NAME?</v>
      </c>
      <c r="AT84" s="36" t="e">
        <f ca="1">_xll.BDP($AD84,AT$10,"BEST_FPERIOD_OVERRIDE=1TY","EQY_FUND_CRNCY=USD","FA_ADJUSTED=Y")</f>
        <v>#NAME?</v>
      </c>
      <c r="AV84" s="1" t="s">
        <v>141</v>
      </c>
      <c r="AW84" s="1" t="s">
        <v>142</v>
      </c>
      <c r="AX84" s="36" t="s">
        <v>505</v>
      </c>
      <c r="AY84" s="36">
        <v>4491.0617000000002</v>
      </c>
      <c r="AZ84" s="36" t="s">
        <v>480</v>
      </c>
      <c r="BA84" s="36" t="s">
        <v>480</v>
      </c>
      <c r="BB84" s="36" t="s">
        <v>480</v>
      </c>
      <c r="BC84" s="44" t="e">
        <v>#VALUE!</v>
      </c>
      <c r="BD84" s="36" t="s">
        <v>480</v>
      </c>
      <c r="BE84" s="36" t="s">
        <v>480</v>
      </c>
      <c r="BF84" s="36" t="s">
        <v>480</v>
      </c>
      <c r="BG84" s="36" t="s">
        <v>480</v>
      </c>
      <c r="BH84" s="36" t="s">
        <v>480</v>
      </c>
      <c r="BI84" s="36" t="s">
        <v>480</v>
      </c>
      <c r="BJ84" s="36" t="s">
        <v>480</v>
      </c>
      <c r="BK84" s="36" t="s">
        <v>480</v>
      </c>
      <c r="BL84" s="36" t="s">
        <v>480</v>
      </c>
    </row>
    <row r="85" spans="1:64" ht="30" customHeight="1" x14ac:dyDescent="0.2">
      <c r="A85" s="2" t="s">
        <v>457</v>
      </c>
      <c r="C85" s="45" t="s">
        <v>490</v>
      </c>
      <c r="D85" s="45"/>
      <c r="E85" s="45"/>
      <c r="F85" s="45"/>
      <c r="G85" s="45"/>
      <c r="H85" s="45"/>
      <c r="I85" s="45"/>
      <c r="J85" s="45"/>
      <c r="N85" s="65" t="s">
        <v>457</v>
      </c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1" t="s">
        <v>143</v>
      </c>
      <c r="AE85" s="1" t="s">
        <v>144</v>
      </c>
      <c r="AF85" s="36" t="e">
        <f ca="1">_xll.BDP($AD85,AF$10)</f>
        <v>#NAME?</v>
      </c>
      <c r="AG85" s="36" t="e">
        <f ca="1">_xll.BDH($AD85,AG$10,$C$5,$C$5,"EQY_FUND_CRNCY=USD")</f>
        <v>#NAME?</v>
      </c>
      <c r="AH85" s="36" t="e">
        <f ca="1">_xll.BDH($AD85,AH$10,$C$5,$C$5,"EQY_FUND_CRNCY=USD")</f>
        <v>#NAME?</v>
      </c>
      <c r="AI85" s="36" t="e">
        <f ca="1">_xll.BDP($AD85,AI$10,"EQY_FUND_CRNCY=USD","FA_ADJUSTED=Y")</f>
        <v>#NAME?</v>
      </c>
      <c r="AJ85" s="36" t="e">
        <f ca="1">_xll.BDP($AD85,AJ$10,"BEST_FPERIOD_OVERRIDE=1TY","EQY_FUND_CRNCY=USD","FA_ADJUSTED=Y")</f>
        <v>#NAME?</v>
      </c>
      <c r="AK85" s="44" t="e">
        <f t="shared" ca="1" si="19"/>
        <v>#NAME?</v>
      </c>
      <c r="AL85" s="36" t="e">
        <f ca="1">_xll.BDP($AD85,AL$10,"EQY_FUND_CRNCY=USD","FA_ADJUSTED=Y")</f>
        <v>#NAME?</v>
      </c>
      <c r="AM85" s="36" t="e">
        <f ca="1">_xll.BDP($AD85,AM$10,"BEST_FPERIOD_OVERRIDE=1TY","EQY_FUND_CRNCY=USD","FA_ADJUSTED=Y")</f>
        <v>#NAME?</v>
      </c>
      <c r="AN85" s="36" t="e">
        <f ca="1">_xll.BDP($AD85,AN$10,"BEST_FPERIOD_OVERRIDE=1TY","EQY_FUND_CRNCY=USD","FA_ADJUSTED=Y")</f>
        <v>#NAME?</v>
      </c>
      <c r="AO85" s="36" t="e">
        <f ca="1">_xll.BDP($AD85,AO$10,"BEST_FPERIOD_OVERRIDE=1TY","EQY_FUND_CRNCY=USD","FA_ADJUSTED=Y")</f>
        <v>#NAME?</v>
      </c>
      <c r="AP85" s="36" t="e">
        <f ca="1">_xll.BDP($AD85,AP$10,"BEST_FPERIOD_OVERRIDE=1TY","EQY_FUND_CRNCY=USD","FA_ADJUSTED=Y")</f>
        <v>#NAME?</v>
      </c>
      <c r="AQ85" s="36" t="e">
        <f ca="1">_xll.BDP($AD85,AQ$10,"EQY_FUND_CRNCY=USD","FA_ADJUSTED=Y")</f>
        <v>#NAME?</v>
      </c>
      <c r="AR85" s="36" t="e">
        <f ca="1">_xll.BDP($AD85,AR$10,"BEST_FPERIOD_OVERRIDE=1TY","EQY_FUND_CRNCY=USD","FA_ADJUSTED=Y")</f>
        <v>#NAME?</v>
      </c>
      <c r="AS85" s="36" t="e">
        <f ca="1">_xll.BDP($AD85,AS$10,"EQY_FUND_CRNCY=USD","FA_ADJUSTED=Y")</f>
        <v>#NAME?</v>
      </c>
      <c r="AT85" s="36" t="e">
        <f ca="1">_xll.BDP($AD85,AT$10,"BEST_FPERIOD_OVERRIDE=1TY","EQY_FUND_CRNCY=USD","FA_ADJUSTED=Y")</f>
        <v>#NAME?</v>
      </c>
      <c r="AV85" s="1" t="s">
        <v>143</v>
      </c>
      <c r="AW85" s="1" t="s">
        <v>144</v>
      </c>
      <c r="AX85" s="36" t="s">
        <v>495</v>
      </c>
      <c r="AY85" s="36">
        <v>4410.3314</v>
      </c>
      <c r="AZ85" s="36">
        <v>4560.8833999999997</v>
      </c>
      <c r="BA85" s="36">
        <v>159.935</v>
      </c>
      <c r="BB85" s="36" t="s">
        <v>480</v>
      </c>
      <c r="BC85" s="44" t="e">
        <v>#VALUE!</v>
      </c>
      <c r="BD85" s="36">
        <v>119.19499999999999</v>
      </c>
      <c r="BE85" s="36" t="s">
        <v>480</v>
      </c>
      <c r="BF85" s="36">
        <v>55.640999999999998</v>
      </c>
      <c r="BG85" s="36">
        <v>82.605999999999995</v>
      </c>
      <c r="BH85" s="36">
        <v>28.942</v>
      </c>
      <c r="BI85" s="36">
        <v>-42.927999999999997</v>
      </c>
      <c r="BJ85" s="36" t="s">
        <v>480</v>
      </c>
      <c r="BK85" s="36">
        <v>-52.726999999999997</v>
      </c>
      <c r="BL85" s="36" t="s">
        <v>480</v>
      </c>
    </row>
    <row r="86" spans="1:64" ht="15.75" x14ac:dyDescent="0.2">
      <c r="C86" s="10" t="s">
        <v>491</v>
      </c>
      <c r="D86" s="11" t="s">
        <v>492</v>
      </c>
      <c r="E86" s="14" t="s">
        <v>429</v>
      </c>
      <c r="F86" s="13"/>
      <c r="G86" s="12" t="s">
        <v>430</v>
      </c>
      <c r="H86" s="12" t="s">
        <v>431</v>
      </c>
      <c r="I86" s="15" t="s">
        <v>432</v>
      </c>
      <c r="J86" s="15" t="s">
        <v>433</v>
      </c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1" t="s">
        <v>145</v>
      </c>
      <c r="AE86" s="1" t="s">
        <v>146</v>
      </c>
      <c r="AF86" s="36" t="e">
        <f ca="1">_xll.BDP($AD86,AF$10)</f>
        <v>#NAME?</v>
      </c>
      <c r="AG86" s="36" t="e">
        <f ca="1">_xll.BDH($AD86,AG$10,$C$5,$C$5,"EQY_FUND_CRNCY=USD")</f>
        <v>#NAME?</v>
      </c>
      <c r="AH86" s="36" t="e">
        <f ca="1">_xll.BDH($AD86,AH$10,$C$5,$C$5,"EQY_FUND_CRNCY=USD")</f>
        <v>#NAME?</v>
      </c>
      <c r="AI86" s="36" t="e">
        <f ca="1">_xll.BDP($AD86,AI$10,"EQY_FUND_CRNCY=USD","FA_ADJUSTED=Y")</f>
        <v>#NAME?</v>
      </c>
      <c r="AJ86" s="36" t="e">
        <f ca="1">_xll.BDP($AD86,AJ$10,"BEST_FPERIOD_OVERRIDE=1TY","EQY_FUND_CRNCY=USD","FA_ADJUSTED=Y")</f>
        <v>#NAME?</v>
      </c>
      <c r="AK86" s="44" t="e">
        <f t="shared" ca="1" si="19"/>
        <v>#NAME?</v>
      </c>
      <c r="AL86" s="36" t="e">
        <f ca="1">_xll.BDP($AD86,AL$10,"EQY_FUND_CRNCY=USD","FA_ADJUSTED=Y")</f>
        <v>#NAME?</v>
      </c>
      <c r="AM86" s="36" t="e">
        <f ca="1">_xll.BDP($AD86,AM$10,"BEST_FPERIOD_OVERRIDE=1TY","EQY_FUND_CRNCY=USD","FA_ADJUSTED=Y")</f>
        <v>#NAME?</v>
      </c>
      <c r="AN86" s="36" t="e">
        <f ca="1">_xll.BDP($AD86,AN$10,"BEST_FPERIOD_OVERRIDE=1TY","EQY_FUND_CRNCY=USD","FA_ADJUSTED=Y")</f>
        <v>#NAME?</v>
      </c>
      <c r="AO86" s="36" t="e">
        <f ca="1">_xll.BDP($AD86,AO$10,"BEST_FPERIOD_OVERRIDE=1TY","EQY_FUND_CRNCY=USD","FA_ADJUSTED=Y")</f>
        <v>#NAME?</v>
      </c>
      <c r="AP86" s="36" t="e">
        <f ca="1">_xll.BDP($AD86,AP$10,"BEST_FPERIOD_OVERRIDE=1TY","EQY_FUND_CRNCY=USD","FA_ADJUSTED=Y")</f>
        <v>#NAME?</v>
      </c>
      <c r="AQ86" s="36" t="e">
        <f ca="1">_xll.BDP($AD86,AQ$10,"EQY_FUND_CRNCY=USD","FA_ADJUSTED=Y")</f>
        <v>#NAME?</v>
      </c>
      <c r="AR86" s="36" t="e">
        <f ca="1">_xll.BDP($AD86,AR$10,"BEST_FPERIOD_OVERRIDE=1TY","EQY_FUND_CRNCY=USD","FA_ADJUSTED=Y")</f>
        <v>#NAME?</v>
      </c>
      <c r="AS86" s="36" t="e">
        <f ca="1">_xll.BDP($AD86,AS$10,"EQY_FUND_CRNCY=USD","FA_ADJUSTED=Y")</f>
        <v>#NAME?</v>
      </c>
      <c r="AT86" s="36" t="e">
        <f ca="1">_xll.BDP($AD86,AT$10,"BEST_FPERIOD_OVERRIDE=1TY","EQY_FUND_CRNCY=USD","FA_ADJUSTED=Y")</f>
        <v>#NAME?</v>
      </c>
      <c r="AV86" s="1" t="s">
        <v>145</v>
      </c>
      <c r="AW86" s="1" t="s">
        <v>146</v>
      </c>
      <c r="AX86" s="36" t="s">
        <v>505</v>
      </c>
      <c r="AY86" s="36">
        <v>4182.4776000000002</v>
      </c>
      <c r="AZ86" s="36">
        <v>3853.3966999999998</v>
      </c>
      <c r="BA86" s="36">
        <v>190.17399999999998</v>
      </c>
      <c r="BB86" s="36">
        <v>258.79000000000002</v>
      </c>
      <c r="BC86" s="44">
        <v>0.36080641938435365</v>
      </c>
      <c r="BD86" s="36">
        <v>152.2989994506836</v>
      </c>
      <c r="BE86" s="36">
        <v>80.317000000000007</v>
      </c>
      <c r="BF86" s="36">
        <v>39.378999999999998</v>
      </c>
      <c r="BG86" s="36">
        <v>116.40900000000001</v>
      </c>
      <c r="BH86" s="36">
        <v>31.135000000000002</v>
      </c>
      <c r="BI86" s="36" t="s">
        <v>480</v>
      </c>
      <c r="BJ86" s="36">
        <v>-7.476</v>
      </c>
      <c r="BK86" s="36">
        <v>-29.382999999999999</v>
      </c>
      <c r="BL86" s="36">
        <v>-14.838000000000001</v>
      </c>
    </row>
    <row r="87" spans="1:64" ht="30" customHeight="1" x14ac:dyDescent="0.2">
      <c r="C87" s="18"/>
      <c r="D87" s="18"/>
      <c r="E87" s="19" t="s">
        <v>440</v>
      </c>
      <c r="F87" s="20" t="s">
        <v>441</v>
      </c>
      <c r="G87" s="19" t="s">
        <v>441</v>
      </c>
      <c r="H87" s="19" t="s">
        <v>440</v>
      </c>
      <c r="I87" s="20" t="s">
        <v>440</v>
      </c>
      <c r="J87" s="20" t="s">
        <v>440</v>
      </c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1" t="s">
        <v>147</v>
      </c>
      <c r="AE87" s="1" t="s">
        <v>148</v>
      </c>
      <c r="AF87" s="36" t="e">
        <f ca="1">_xll.BDP($AD87,AF$10)</f>
        <v>#NAME?</v>
      </c>
      <c r="AG87" s="36" t="e">
        <f ca="1">_xll.BDH($AD87,AG$10,$C$5,$C$5,"EQY_FUND_CRNCY=USD")</f>
        <v>#NAME?</v>
      </c>
      <c r="AH87" s="36" t="e">
        <f ca="1">_xll.BDH($AD87,AH$10,$C$5,$C$5,"EQY_FUND_CRNCY=USD")</f>
        <v>#NAME?</v>
      </c>
      <c r="AI87" s="36" t="e">
        <f ca="1">_xll.BDP($AD87,AI$10,"EQY_FUND_CRNCY=USD","FA_ADJUSTED=Y")</f>
        <v>#NAME?</v>
      </c>
      <c r="AJ87" s="36" t="e">
        <f ca="1">_xll.BDP($AD87,AJ$10,"BEST_FPERIOD_OVERRIDE=1TY","EQY_FUND_CRNCY=USD","FA_ADJUSTED=Y")</f>
        <v>#NAME?</v>
      </c>
      <c r="AK87" s="44" t="e">
        <f t="shared" ca="1" si="19"/>
        <v>#NAME?</v>
      </c>
      <c r="AL87" s="36" t="e">
        <f ca="1">_xll.BDP($AD87,AL$10,"EQY_FUND_CRNCY=USD","FA_ADJUSTED=Y")</f>
        <v>#NAME?</v>
      </c>
      <c r="AM87" s="36" t="e">
        <f ca="1">_xll.BDP($AD87,AM$10,"BEST_FPERIOD_OVERRIDE=1TY","EQY_FUND_CRNCY=USD","FA_ADJUSTED=Y")</f>
        <v>#NAME?</v>
      </c>
      <c r="AN87" s="36" t="e">
        <f ca="1">_xll.BDP($AD87,AN$10,"BEST_FPERIOD_OVERRIDE=1TY","EQY_FUND_CRNCY=USD","FA_ADJUSTED=Y")</f>
        <v>#NAME?</v>
      </c>
      <c r="AO87" s="36" t="e">
        <f ca="1">_xll.BDP($AD87,AO$10,"BEST_FPERIOD_OVERRIDE=1TY","EQY_FUND_CRNCY=USD","FA_ADJUSTED=Y")</f>
        <v>#NAME?</v>
      </c>
      <c r="AP87" s="36" t="e">
        <f ca="1">_xll.BDP($AD87,AP$10,"BEST_FPERIOD_OVERRIDE=1TY","EQY_FUND_CRNCY=USD","FA_ADJUSTED=Y")</f>
        <v>#NAME?</v>
      </c>
      <c r="AQ87" s="36" t="e">
        <f ca="1">_xll.BDP($AD87,AQ$10,"EQY_FUND_CRNCY=USD","FA_ADJUSTED=Y")</f>
        <v>#NAME?</v>
      </c>
      <c r="AR87" s="36" t="e">
        <f ca="1">_xll.BDP($AD87,AR$10,"BEST_FPERIOD_OVERRIDE=1TY","EQY_FUND_CRNCY=USD","FA_ADJUSTED=Y")</f>
        <v>#NAME?</v>
      </c>
      <c r="AS87" s="36" t="e">
        <f ca="1">_xll.BDP($AD87,AS$10,"EQY_FUND_CRNCY=USD","FA_ADJUSTED=Y")</f>
        <v>#NAME?</v>
      </c>
      <c r="AT87" s="36" t="e">
        <f ca="1">_xll.BDP($AD87,AT$10,"BEST_FPERIOD_OVERRIDE=1TY","EQY_FUND_CRNCY=USD","FA_ADJUSTED=Y")</f>
        <v>#NAME?</v>
      </c>
      <c r="AV87" s="1" t="s">
        <v>147</v>
      </c>
      <c r="AW87" s="1" t="s">
        <v>148</v>
      </c>
      <c r="AX87" s="36" t="s">
        <v>495</v>
      </c>
      <c r="AY87" s="36">
        <v>4131.2433000000001</v>
      </c>
      <c r="AZ87" s="36">
        <v>3887.6603</v>
      </c>
      <c r="BA87" s="36">
        <v>851.31600000000003</v>
      </c>
      <c r="BB87" s="36">
        <v>927.80000000000007</v>
      </c>
      <c r="BC87" s="44">
        <v>8.9842079791757845E-2</v>
      </c>
      <c r="BD87" s="36">
        <v>558.17699633789061</v>
      </c>
      <c r="BE87" s="36">
        <v>64.025000000000006</v>
      </c>
      <c r="BF87" s="36">
        <v>162.886</v>
      </c>
      <c r="BG87" s="36">
        <v>307.20999999999998</v>
      </c>
      <c r="BH87" s="36">
        <v>52.152999999999999</v>
      </c>
      <c r="BI87" s="36">
        <v>16.656999999999996</v>
      </c>
      <c r="BJ87" s="36">
        <v>104.4</v>
      </c>
      <c r="BK87" s="36">
        <v>16.697999999999997</v>
      </c>
      <c r="BL87" s="36">
        <v>69.878</v>
      </c>
    </row>
    <row r="88" spans="1:64" ht="30" customHeight="1" x14ac:dyDescent="0.2">
      <c r="C88" s="73" t="s">
        <v>417</v>
      </c>
      <c r="D88" s="47" t="s">
        <v>493</v>
      </c>
      <c r="E88" s="50" t="e">
        <f t="shared" ref="E88:J88" si="24">H$9</f>
        <v>#DIV/0!</v>
      </c>
      <c r="F88" s="51" t="e">
        <f t="shared" si="24"/>
        <v>#DIV/0!</v>
      </c>
      <c r="G88" s="74" t="e">
        <f t="shared" si="24"/>
        <v>#DIV/0!</v>
      </c>
      <c r="H88" s="52" t="e">
        <f t="shared" si="24"/>
        <v>#DIV/0!</v>
      </c>
      <c r="I88" s="53" t="e">
        <f t="shared" si="24"/>
        <v>#DIV/0!</v>
      </c>
      <c r="J88" s="53" t="e">
        <f t="shared" si="24"/>
        <v>#DIV/0!</v>
      </c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1" t="s">
        <v>149</v>
      </c>
      <c r="AE88" s="1" t="s">
        <v>150</v>
      </c>
      <c r="AF88" s="36" t="e">
        <f ca="1">_xll.BDP($AD88,AF$10)</f>
        <v>#NAME?</v>
      </c>
      <c r="AG88" s="36" t="e">
        <f ca="1">_xll.BDH($AD88,AG$10,$C$5,$C$5,"EQY_FUND_CRNCY=USD")</f>
        <v>#NAME?</v>
      </c>
      <c r="AH88" s="36" t="e">
        <f ca="1">_xll.BDH($AD88,AH$10,$C$5,$C$5,"EQY_FUND_CRNCY=USD")</f>
        <v>#NAME?</v>
      </c>
      <c r="AI88" s="36" t="e">
        <f ca="1">_xll.BDP($AD88,AI$10,"EQY_FUND_CRNCY=USD","FA_ADJUSTED=Y")</f>
        <v>#NAME?</v>
      </c>
      <c r="AJ88" s="36" t="e">
        <f ca="1">_xll.BDP($AD88,AJ$10,"BEST_FPERIOD_OVERRIDE=1TY","EQY_FUND_CRNCY=USD","FA_ADJUSTED=Y")</f>
        <v>#NAME?</v>
      </c>
      <c r="AK88" s="44" t="e">
        <f t="shared" ca="1" si="19"/>
        <v>#NAME?</v>
      </c>
      <c r="AL88" s="36" t="e">
        <f ca="1">_xll.BDP($AD88,AL$10,"EQY_FUND_CRNCY=USD","FA_ADJUSTED=Y")</f>
        <v>#NAME?</v>
      </c>
      <c r="AM88" s="36" t="e">
        <f ca="1">_xll.BDP($AD88,AM$10,"BEST_FPERIOD_OVERRIDE=1TY","EQY_FUND_CRNCY=USD","FA_ADJUSTED=Y")</f>
        <v>#NAME?</v>
      </c>
      <c r="AN88" s="36" t="e">
        <f ca="1">_xll.BDP($AD88,AN$10,"BEST_FPERIOD_OVERRIDE=1TY","EQY_FUND_CRNCY=USD","FA_ADJUSTED=Y")</f>
        <v>#NAME?</v>
      </c>
      <c r="AO88" s="36" t="e">
        <f ca="1">_xll.BDP($AD88,AO$10,"BEST_FPERIOD_OVERRIDE=1TY","EQY_FUND_CRNCY=USD","FA_ADJUSTED=Y")</f>
        <v>#NAME?</v>
      </c>
      <c r="AP88" s="36" t="e">
        <f ca="1">_xll.BDP($AD88,AP$10,"BEST_FPERIOD_OVERRIDE=1TY","EQY_FUND_CRNCY=USD","FA_ADJUSTED=Y")</f>
        <v>#NAME?</v>
      </c>
      <c r="AQ88" s="36" t="e">
        <f ca="1">_xll.BDP($AD88,AQ$10,"EQY_FUND_CRNCY=USD","FA_ADJUSTED=Y")</f>
        <v>#NAME?</v>
      </c>
      <c r="AR88" s="36" t="e">
        <f ca="1">_xll.BDP($AD88,AR$10,"BEST_FPERIOD_OVERRIDE=1TY","EQY_FUND_CRNCY=USD","FA_ADJUSTED=Y")</f>
        <v>#NAME?</v>
      </c>
      <c r="AS88" s="36" t="e">
        <f ca="1">_xll.BDP($AD88,AS$10,"EQY_FUND_CRNCY=USD","FA_ADJUSTED=Y")</f>
        <v>#NAME?</v>
      </c>
      <c r="AT88" s="36" t="e">
        <f ca="1">_xll.BDP($AD88,AT$10,"BEST_FPERIOD_OVERRIDE=1TY","EQY_FUND_CRNCY=USD","FA_ADJUSTED=Y")</f>
        <v>#NAME?</v>
      </c>
      <c r="AV88" s="1" t="s">
        <v>149</v>
      </c>
      <c r="AW88" s="1" t="s">
        <v>150</v>
      </c>
      <c r="AX88" s="36" t="s">
        <v>506</v>
      </c>
      <c r="AY88" s="36">
        <v>4143.2241999999997</v>
      </c>
      <c r="AZ88" s="36">
        <v>5314.2241999999997</v>
      </c>
      <c r="BA88" s="36">
        <v>5780</v>
      </c>
      <c r="BB88" s="36">
        <v>5298.5830000000005</v>
      </c>
      <c r="BC88" s="44">
        <v>-8.3290138408304459E-2</v>
      </c>
      <c r="BD88" s="36">
        <v>1057</v>
      </c>
      <c r="BE88" s="36">
        <v>18.580000000000002</v>
      </c>
      <c r="BF88" s="36">
        <v>13</v>
      </c>
      <c r="BG88" s="36" t="s">
        <v>480</v>
      </c>
      <c r="BH88" s="36" t="s">
        <v>480</v>
      </c>
      <c r="BI88" s="36">
        <v>689</v>
      </c>
      <c r="BJ88" s="36">
        <v>679.75</v>
      </c>
      <c r="BK88" s="36">
        <v>34.552340425531995</v>
      </c>
      <c r="BL88" s="36">
        <v>248.583</v>
      </c>
    </row>
    <row r="89" spans="1:64" ht="30" customHeight="1" x14ac:dyDescent="0.2">
      <c r="C89" s="75" t="s">
        <v>494</v>
      </c>
      <c r="D89" s="55">
        <f>COUNTA(B16:B32)</f>
        <v>17</v>
      </c>
      <c r="E89" s="58" t="e">
        <f t="shared" ref="E89:J89" si="25">H33</f>
        <v>#REF!</v>
      </c>
      <c r="F89" s="59" t="e">
        <f t="shared" si="25"/>
        <v>#REF!</v>
      </c>
      <c r="G89" s="76" t="e">
        <f t="shared" si="25"/>
        <v>#REF!</v>
      </c>
      <c r="H89" s="60" t="e">
        <f t="shared" si="25"/>
        <v>#REF!</v>
      </c>
      <c r="I89" s="61" t="e">
        <f t="shared" si="25"/>
        <v>#REF!</v>
      </c>
      <c r="J89" s="61" t="e">
        <f t="shared" si="25"/>
        <v>#REF!</v>
      </c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1" t="s">
        <v>151</v>
      </c>
      <c r="AE89" s="1" t="s">
        <v>152</v>
      </c>
      <c r="AF89" s="36" t="e">
        <f ca="1">_xll.BDP($AD89,AF$10)</f>
        <v>#NAME?</v>
      </c>
      <c r="AG89" s="36" t="e">
        <f ca="1">_xll.BDH($AD89,AG$10,$C$5,$C$5,"EQY_FUND_CRNCY=USD")</f>
        <v>#NAME?</v>
      </c>
      <c r="AH89" s="36" t="e">
        <f ca="1">_xll.BDH($AD89,AH$10,$C$5,$C$5,"EQY_FUND_CRNCY=USD")</f>
        <v>#NAME?</v>
      </c>
      <c r="AI89" s="36" t="e">
        <f ca="1">_xll.BDP($AD89,AI$10,"EQY_FUND_CRNCY=USD","FA_ADJUSTED=Y")</f>
        <v>#NAME?</v>
      </c>
      <c r="AJ89" s="36" t="e">
        <f ca="1">_xll.BDP($AD89,AJ$10,"BEST_FPERIOD_OVERRIDE=1TY","EQY_FUND_CRNCY=USD","FA_ADJUSTED=Y")</f>
        <v>#NAME?</v>
      </c>
      <c r="AK89" s="44" t="e">
        <f t="shared" ca="1" si="19"/>
        <v>#NAME?</v>
      </c>
      <c r="AL89" s="36" t="e">
        <f ca="1">_xll.BDP($AD89,AL$10,"EQY_FUND_CRNCY=USD","FA_ADJUSTED=Y")</f>
        <v>#NAME?</v>
      </c>
      <c r="AM89" s="36" t="e">
        <f ca="1">_xll.BDP($AD89,AM$10,"BEST_FPERIOD_OVERRIDE=1TY","EQY_FUND_CRNCY=USD","FA_ADJUSTED=Y")</f>
        <v>#NAME?</v>
      </c>
      <c r="AN89" s="36" t="e">
        <f ca="1">_xll.BDP($AD89,AN$10,"BEST_FPERIOD_OVERRIDE=1TY","EQY_FUND_CRNCY=USD","FA_ADJUSTED=Y")</f>
        <v>#NAME?</v>
      </c>
      <c r="AO89" s="36" t="e">
        <f ca="1">_xll.BDP($AD89,AO$10,"BEST_FPERIOD_OVERRIDE=1TY","EQY_FUND_CRNCY=USD","FA_ADJUSTED=Y")</f>
        <v>#NAME?</v>
      </c>
      <c r="AP89" s="36" t="e">
        <f ca="1">_xll.BDP($AD89,AP$10,"BEST_FPERIOD_OVERRIDE=1TY","EQY_FUND_CRNCY=USD","FA_ADJUSTED=Y")</f>
        <v>#NAME?</v>
      </c>
      <c r="AQ89" s="36" t="e">
        <f ca="1">_xll.BDP($AD89,AQ$10,"EQY_FUND_CRNCY=USD","FA_ADJUSTED=Y")</f>
        <v>#NAME?</v>
      </c>
      <c r="AR89" s="36" t="e">
        <f ca="1">_xll.BDP($AD89,AR$10,"BEST_FPERIOD_OVERRIDE=1TY","EQY_FUND_CRNCY=USD","FA_ADJUSTED=Y")</f>
        <v>#NAME?</v>
      </c>
      <c r="AS89" s="36" t="e">
        <f ca="1">_xll.BDP($AD89,AS$10,"EQY_FUND_CRNCY=USD","FA_ADJUSTED=Y")</f>
        <v>#NAME?</v>
      </c>
      <c r="AT89" s="36" t="e">
        <f ca="1">_xll.BDP($AD89,AT$10,"BEST_FPERIOD_OVERRIDE=1TY","EQY_FUND_CRNCY=USD","FA_ADJUSTED=Y")</f>
        <v>#NAME?</v>
      </c>
      <c r="AV89" s="1" t="s">
        <v>151</v>
      </c>
      <c r="AW89" s="1" t="s">
        <v>152</v>
      </c>
      <c r="AX89" s="36" t="s">
        <v>506</v>
      </c>
      <c r="AY89" s="36">
        <v>4212.7368999999999</v>
      </c>
      <c r="AZ89" s="36">
        <v>3967.4378999999999</v>
      </c>
      <c r="BA89" s="36">
        <v>2454.6930000000002</v>
      </c>
      <c r="BB89" s="36">
        <v>2523.6790000000001</v>
      </c>
      <c r="BC89" s="44">
        <v>2.8103718061688321E-2</v>
      </c>
      <c r="BD89" s="36">
        <v>618.02799414062497</v>
      </c>
      <c r="BE89" s="36">
        <v>24.150000000000002</v>
      </c>
      <c r="BF89" s="36">
        <v>0</v>
      </c>
      <c r="BG89" s="36" t="s">
        <v>480</v>
      </c>
      <c r="BH89" s="36" t="s">
        <v>480</v>
      </c>
      <c r="BI89" s="36">
        <v>376.36900000000003</v>
      </c>
      <c r="BJ89" s="36">
        <v>350.94</v>
      </c>
      <c r="BK89" s="36">
        <v>229.65975</v>
      </c>
      <c r="BL89" s="36">
        <v>216.108</v>
      </c>
    </row>
    <row r="90" spans="1:64" ht="30" customHeight="1" x14ac:dyDescent="0.2">
      <c r="C90" s="75" t="s">
        <v>495</v>
      </c>
      <c r="D90" s="55">
        <f>COUNTA(B42:B47)</f>
        <v>6</v>
      </c>
      <c r="E90" s="58" t="e">
        <f t="shared" ref="E90:J90" si="26">H48</f>
        <v>#REF!</v>
      </c>
      <c r="F90" s="59" t="e">
        <f t="shared" si="26"/>
        <v>#REF!</v>
      </c>
      <c r="G90" s="76" t="e">
        <f t="shared" si="26"/>
        <v>#REF!</v>
      </c>
      <c r="H90" s="60" t="e">
        <f t="shared" si="26"/>
        <v>#REF!</v>
      </c>
      <c r="I90" s="61" t="e">
        <f t="shared" si="26"/>
        <v>#REF!</v>
      </c>
      <c r="J90" s="61" t="e">
        <f t="shared" si="26"/>
        <v>#REF!</v>
      </c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  <c r="AA90" s="65"/>
      <c r="AB90" s="65"/>
      <c r="AC90" s="65"/>
      <c r="AD90" s="1" t="s">
        <v>153</v>
      </c>
      <c r="AE90" s="1" t="s">
        <v>154</v>
      </c>
      <c r="AF90" s="36" t="e">
        <f ca="1">_xll.BDP($AD90,AF$10)</f>
        <v>#NAME?</v>
      </c>
      <c r="AG90" s="36" t="e">
        <f ca="1">_xll.BDH($AD90,AG$10,$C$5,$C$5,"EQY_FUND_CRNCY=USD")</f>
        <v>#NAME?</v>
      </c>
      <c r="AH90" s="36" t="e">
        <f ca="1">_xll.BDH($AD90,AH$10,$C$5,$C$5,"EQY_FUND_CRNCY=USD")</f>
        <v>#NAME?</v>
      </c>
      <c r="AI90" s="36" t="e">
        <f ca="1">_xll.BDP($AD90,AI$10,"EQY_FUND_CRNCY=USD","FA_ADJUSTED=Y")</f>
        <v>#NAME?</v>
      </c>
      <c r="AJ90" s="36" t="e">
        <f ca="1">_xll.BDP($AD90,AJ$10,"BEST_FPERIOD_OVERRIDE=1TY","EQY_FUND_CRNCY=USD","FA_ADJUSTED=Y")</f>
        <v>#NAME?</v>
      </c>
      <c r="AK90" s="44" t="e">
        <f t="shared" ca="1" si="19"/>
        <v>#NAME?</v>
      </c>
      <c r="AL90" s="36" t="e">
        <f ca="1">_xll.BDP($AD90,AL$10,"EQY_FUND_CRNCY=USD","FA_ADJUSTED=Y")</f>
        <v>#NAME?</v>
      </c>
      <c r="AM90" s="36" t="e">
        <f ca="1">_xll.BDP($AD90,AM$10,"BEST_FPERIOD_OVERRIDE=1TY","EQY_FUND_CRNCY=USD","FA_ADJUSTED=Y")</f>
        <v>#NAME?</v>
      </c>
      <c r="AN90" s="36" t="e">
        <f ca="1">_xll.BDP($AD90,AN$10,"BEST_FPERIOD_OVERRIDE=1TY","EQY_FUND_CRNCY=USD","FA_ADJUSTED=Y")</f>
        <v>#NAME?</v>
      </c>
      <c r="AO90" s="36" t="e">
        <f ca="1">_xll.BDP($AD90,AO$10,"BEST_FPERIOD_OVERRIDE=1TY","EQY_FUND_CRNCY=USD","FA_ADJUSTED=Y")</f>
        <v>#NAME?</v>
      </c>
      <c r="AP90" s="36" t="e">
        <f ca="1">_xll.BDP($AD90,AP$10,"BEST_FPERIOD_OVERRIDE=1TY","EQY_FUND_CRNCY=USD","FA_ADJUSTED=Y")</f>
        <v>#NAME?</v>
      </c>
      <c r="AQ90" s="36" t="e">
        <f ca="1">_xll.BDP($AD90,AQ$10,"EQY_FUND_CRNCY=USD","FA_ADJUSTED=Y")</f>
        <v>#NAME?</v>
      </c>
      <c r="AR90" s="36" t="e">
        <f ca="1">_xll.BDP($AD90,AR$10,"BEST_FPERIOD_OVERRIDE=1TY","EQY_FUND_CRNCY=USD","FA_ADJUSTED=Y")</f>
        <v>#NAME?</v>
      </c>
      <c r="AS90" s="36" t="e">
        <f ca="1">_xll.BDP($AD90,AS$10,"EQY_FUND_CRNCY=USD","FA_ADJUSTED=Y")</f>
        <v>#NAME?</v>
      </c>
      <c r="AT90" s="36" t="e">
        <f ca="1">_xll.BDP($AD90,AT$10,"BEST_FPERIOD_OVERRIDE=1TY","EQY_FUND_CRNCY=USD","FA_ADJUSTED=Y")</f>
        <v>#NAME?</v>
      </c>
      <c r="AV90" s="1" t="s">
        <v>153</v>
      </c>
      <c r="AW90" s="1" t="s">
        <v>154</v>
      </c>
      <c r="AX90" s="36" t="s">
        <v>495</v>
      </c>
      <c r="AY90" s="36">
        <v>4064.9578000000001</v>
      </c>
      <c r="AZ90" s="36">
        <v>4064.2968000000001</v>
      </c>
      <c r="BA90" s="36">
        <v>1130.17</v>
      </c>
      <c r="BB90" s="36">
        <v>1221.8890000000001</v>
      </c>
      <c r="BC90" s="44">
        <v>8.1155047470734543E-2</v>
      </c>
      <c r="BD90" s="36">
        <v>883.36700305175782</v>
      </c>
      <c r="BE90" s="36">
        <v>82.8</v>
      </c>
      <c r="BF90" s="36">
        <v>156.73099999999999</v>
      </c>
      <c r="BG90" s="36">
        <v>346.96100000000001</v>
      </c>
      <c r="BH90" s="36">
        <v>160.36600000000001</v>
      </c>
      <c r="BI90" s="36">
        <v>389.65500000000003</v>
      </c>
      <c r="BJ90" s="36">
        <v>448.25</v>
      </c>
      <c r="BK90" s="36">
        <v>85.247472264912005</v>
      </c>
      <c r="BL90" s="36">
        <v>282.01300000000003</v>
      </c>
    </row>
    <row r="91" spans="1:64" ht="30" customHeight="1" x14ac:dyDescent="0.2">
      <c r="C91" s="77" t="s">
        <v>496</v>
      </c>
      <c r="D91" s="66">
        <f>COUNTA(B57:B65)</f>
        <v>9</v>
      </c>
      <c r="E91" s="69" t="e">
        <f>H66</f>
        <v>#REF!</v>
      </c>
      <c r="F91" s="70" t="e">
        <f t="shared" ref="F91:J91" si="27">I66</f>
        <v>#REF!</v>
      </c>
      <c r="G91" s="78" t="e">
        <f t="shared" si="27"/>
        <v>#REF!</v>
      </c>
      <c r="H91" s="71" t="e">
        <f t="shared" si="27"/>
        <v>#REF!</v>
      </c>
      <c r="I91" s="79" t="e">
        <f t="shared" si="27"/>
        <v>#REF!</v>
      </c>
      <c r="J91" s="79" t="e">
        <f t="shared" si="27"/>
        <v>#REF!</v>
      </c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  <c r="AA91" s="65"/>
      <c r="AB91" s="65"/>
      <c r="AC91" s="65"/>
      <c r="AD91" s="1" t="s">
        <v>155</v>
      </c>
      <c r="AE91" s="1" t="s">
        <v>156</v>
      </c>
      <c r="AF91" s="36" t="e">
        <f ca="1">_xll.BDP($AD91,AF$10)</f>
        <v>#NAME?</v>
      </c>
      <c r="AG91" s="36" t="e">
        <f ca="1">_xll.BDH($AD91,AG$10,$C$5,$C$5,"EQY_FUND_CRNCY=USD")</f>
        <v>#NAME?</v>
      </c>
      <c r="AH91" s="36" t="e">
        <f ca="1">_xll.BDH($AD91,AH$10,$C$5,$C$5,"EQY_FUND_CRNCY=USD")</f>
        <v>#NAME?</v>
      </c>
      <c r="AI91" s="36" t="e">
        <f ca="1">_xll.BDP($AD91,AI$10,"EQY_FUND_CRNCY=USD","FA_ADJUSTED=Y")</f>
        <v>#NAME?</v>
      </c>
      <c r="AJ91" s="36" t="e">
        <f ca="1">_xll.BDP($AD91,AJ$10,"BEST_FPERIOD_OVERRIDE=1TY","EQY_FUND_CRNCY=USD","FA_ADJUSTED=Y")</f>
        <v>#NAME?</v>
      </c>
      <c r="AK91" s="44" t="e">
        <f t="shared" ca="1" si="19"/>
        <v>#NAME?</v>
      </c>
      <c r="AL91" s="36" t="e">
        <f ca="1">_xll.BDP($AD91,AL$10,"EQY_FUND_CRNCY=USD","FA_ADJUSTED=Y")</f>
        <v>#NAME?</v>
      </c>
      <c r="AM91" s="36" t="e">
        <f ca="1">_xll.BDP($AD91,AM$10,"BEST_FPERIOD_OVERRIDE=1TY","EQY_FUND_CRNCY=USD","FA_ADJUSTED=Y")</f>
        <v>#NAME?</v>
      </c>
      <c r="AN91" s="36" t="e">
        <f ca="1">_xll.BDP($AD91,AN$10,"BEST_FPERIOD_OVERRIDE=1TY","EQY_FUND_CRNCY=USD","FA_ADJUSTED=Y")</f>
        <v>#NAME?</v>
      </c>
      <c r="AO91" s="36" t="e">
        <f ca="1">_xll.BDP($AD91,AO$10,"BEST_FPERIOD_OVERRIDE=1TY","EQY_FUND_CRNCY=USD","FA_ADJUSTED=Y")</f>
        <v>#NAME?</v>
      </c>
      <c r="AP91" s="36" t="e">
        <f ca="1">_xll.BDP($AD91,AP$10,"BEST_FPERIOD_OVERRIDE=1TY","EQY_FUND_CRNCY=USD","FA_ADJUSTED=Y")</f>
        <v>#NAME?</v>
      </c>
      <c r="AQ91" s="36" t="e">
        <f ca="1">_xll.BDP($AD91,AQ$10,"EQY_FUND_CRNCY=USD","FA_ADJUSTED=Y")</f>
        <v>#NAME?</v>
      </c>
      <c r="AR91" s="36" t="e">
        <f ca="1">_xll.BDP($AD91,AR$10,"BEST_FPERIOD_OVERRIDE=1TY","EQY_FUND_CRNCY=USD","FA_ADJUSTED=Y")</f>
        <v>#NAME?</v>
      </c>
      <c r="AS91" s="36" t="e">
        <f ca="1">_xll.BDP($AD91,AS$10,"EQY_FUND_CRNCY=USD","FA_ADJUSTED=Y")</f>
        <v>#NAME?</v>
      </c>
      <c r="AT91" s="36" t="e">
        <f ca="1">_xll.BDP($AD91,AT$10,"BEST_FPERIOD_OVERRIDE=1TY","EQY_FUND_CRNCY=USD","FA_ADJUSTED=Y")</f>
        <v>#NAME?</v>
      </c>
      <c r="AV91" s="1" t="s">
        <v>155</v>
      </c>
      <c r="AW91" s="1" t="s">
        <v>156</v>
      </c>
      <c r="AX91" s="36" t="s">
        <v>495</v>
      </c>
      <c r="AY91" s="36">
        <v>3530.201</v>
      </c>
      <c r="AZ91" s="36">
        <v>3256.0626999999999</v>
      </c>
      <c r="BA91" s="36">
        <v>219.095</v>
      </c>
      <c r="BB91" s="36">
        <v>265.79300000000001</v>
      </c>
      <c r="BC91" s="44">
        <v>0.21314041853990284</v>
      </c>
      <c r="BD91" s="36">
        <v>150.86900170898437</v>
      </c>
      <c r="BE91" s="36">
        <v>71.73</v>
      </c>
      <c r="BF91" s="36">
        <v>44.536000000000001</v>
      </c>
      <c r="BG91" s="36">
        <v>88.721999999999994</v>
      </c>
      <c r="BH91" s="36">
        <v>38.578000000000003</v>
      </c>
      <c r="BI91" s="36">
        <v>-34.963000000000001</v>
      </c>
      <c r="BJ91" s="36">
        <v>4.0910000000000002</v>
      </c>
      <c r="BK91" s="36">
        <v>-49.332999999999998</v>
      </c>
      <c r="BL91" s="36">
        <v>-6.7450000000000001</v>
      </c>
    </row>
    <row r="92" spans="1:64" ht="30" customHeight="1" x14ac:dyDescent="0.2">
      <c r="C92" s="80" t="s">
        <v>497</v>
      </c>
      <c r="D92" s="81">
        <f>COUNTA(B75:B79)</f>
        <v>5</v>
      </c>
      <c r="E92" s="82" t="e">
        <f>H80</f>
        <v>#REF!</v>
      </c>
      <c r="F92" s="83" t="e">
        <f t="shared" ref="F92:J92" si="28">I80</f>
        <v>#REF!</v>
      </c>
      <c r="G92" s="84" t="e">
        <f t="shared" si="28"/>
        <v>#REF!</v>
      </c>
      <c r="H92" s="85" t="e">
        <f t="shared" si="28"/>
        <v>#REF!</v>
      </c>
      <c r="I92" s="86" t="e">
        <f t="shared" si="28"/>
        <v>#REF!</v>
      </c>
      <c r="J92" s="86" t="e">
        <f t="shared" si="28"/>
        <v>#REF!</v>
      </c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65"/>
      <c r="AA92" s="65"/>
      <c r="AB92" s="65"/>
      <c r="AC92" s="65"/>
      <c r="AD92" s="1" t="s">
        <v>157</v>
      </c>
      <c r="AE92" s="1" t="s">
        <v>158</v>
      </c>
      <c r="AF92" s="36" t="e">
        <f ca="1">_xll.BDP($AD92,AF$10)</f>
        <v>#NAME?</v>
      </c>
      <c r="AG92" s="36" t="e">
        <f ca="1">_xll.BDH($AD92,AG$10,$C$5,$C$5,"EQY_FUND_CRNCY=USD")</f>
        <v>#NAME?</v>
      </c>
      <c r="AH92" s="36" t="e">
        <f ca="1">_xll.BDH($AD92,AH$10,$C$5,$C$5,"EQY_FUND_CRNCY=USD")</f>
        <v>#NAME?</v>
      </c>
      <c r="AI92" s="36" t="e">
        <f ca="1">_xll.BDP($AD92,AI$10,"EQY_FUND_CRNCY=USD","FA_ADJUSTED=Y")</f>
        <v>#NAME?</v>
      </c>
      <c r="AJ92" s="36" t="e">
        <f ca="1">_xll.BDP($AD92,AJ$10,"BEST_FPERIOD_OVERRIDE=1TY","EQY_FUND_CRNCY=USD","FA_ADJUSTED=Y")</f>
        <v>#NAME?</v>
      </c>
      <c r="AK92" s="44" t="e">
        <f t="shared" ca="1" si="19"/>
        <v>#NAME?</v>
      </c>
      <c r="AL92" s="36" t="e">
        <f ca="1">_xll.BDP($AD92,AL$10,"EQY_FUND_CRNCY=USD","FA_ADJUSTED=Y")</f>
        <v>#NAME?</v>
      </c>
      <c r="AM92" s="36" t="e">
        <f ca="1">_xll.BDP($AD92,AM$10,"BEST_FPERIOD_OVERRIDE=1TY","EQY_FUND_CRNCY=USD","FA_ADJUSTED=Y")</f>
        <v>#NAME?</v>
      </c>
      <c r="AN92" s="36" t="e">
        <f ca="1">_xll.BDP($AD92,AN$10,"BEST_FPERIOD_OVERRIDE=1TY","EQY_FUND_CRNCY=USD","FA_ADJUSTED=Y")</f>
        <v>#NAME?</v>
      </c>
      <c r="AO92" s="36" t="e">
        <f ca="1">_xll.BDP($AD92,AO$10,"BEST_FPERIOD_OVERRIDE=1TY","EQY_FUND_CRNCY=USD","FA_ADJUSTED=Y")</f>
        <v>#NAME?</v>
      </c>
      <c r="AP92" s="36" t="e">
        <f ca="1">_xll.BDP($AD92,AP$10,"BEST_FPERIOD_OVERRIDE=1TY","EQY_FUND_CRNCY=USD","FA_ADJUSTED=Y")</f>
        <v>#NAME?</v>
      </c>
      <c r="AQ92" s="36" t="e">
        <f ca="1">_xll.BDP($AD92,AQ$10,"EQY_FUND_CRNCY=USD","FA_ADJUSTED=Y")</f>
        <v>#NAME?</v>
      </c>
      <c r="AR92" s="36" t="e">
        <f ca="1">_xll.BDP($AD92,AR$10,"BEST_FPERIOD_OVERRIDE=1TY","EQY_FUND_CRNCY=USD","FA_ADJUSTED=Y")</f>
        <v>#NAME?</v>
      </c>
      <c r="AS92" s="36" t="e">
        <f ca="1">_xll.BDP($AD92,AS$10,"EQY_FUND_CRNCY=USD","FA_ADJUSTED=Y")</f>
        <v>#NAME?</v>
      </c>
      <c r="AT92" s="36" t="e">
        <f ca="1">_xll.BDP($AD92,AT$10,"BEST_FPERIOD_OVERRIDE=1TY","EQY_FUND_CRNCY=USD","FA_ADJUSTED=Y")</f>
        <v>#NAME?</v>
      </c>
      <c r="AV92" s="1" t="s">
        <v>157</v>
      </c>
      <c r="AW92" s="1" t="s">
        <v>158</v>
      </c>
      <c r="AX92" s="36" t="s">
        <v>495</v>
      </c>
      <c r="AY92" s="36">
        <v>3622.2921999999999</v>
      </c>
      <c r="AZ92" s="36">
        <v>4272.2191999999995</v>
      </c>
      <c r="BA92" s="36">
        <v>1158.5079999999998</v>
      </c>
      <c r="BB92" s="36">
        <v>1252.3330000000001</v>
      </c>
      <c r="BC92" s="44">
        <v>8.0987787740784078E-2</v>
      </c>
      <c r="BD92" s="36">
        <v>974.26899780273436</v>
      </c>
      <c r="BE92" s="36">
        <v>83.78</v>
      </c>
      <c r="BF92" s="36">
        <v>46.003999999999998</v>
      </c>
      <c r="BG92" s="36">
        <v>330.29599999999999</v>
      </c>
      <c r="BH92" s="36">
        <v>323.517</v>
      </c>
      <c r="BI92" s="36">
        <v>412.85069230769199</v>
      </c>
      <c r="BJ92" s="36">
        <v>528.46699999999998</v>
      </c>
      <c r="BK92" s="36">
        <v>150.78399999999999</v>
      </c>
      <c r="BL92" s="36">
        <v>330.483</v>
      </c>
    </row>
    <row r="93" spans="1:64" x14ac:dyDescent="0.2">
      <c r="C93" s="87"/>
      <c r="D93" s="87"/>
      <c r="E93" s="87"/>
      <c r="F93" s="87"/>
      <c r="G93" s="87"/>
      <c r="H93" s="87"/>
      <c r="I93" s="87"/>
      <c r="J93" s="87"/>
      <c r="K93" s="87"/>
      <c r="L93" s="87"/>
      <c r="M93" s="87"/>
      <c r="AD93" s="1" t="s">
        <v>159</v>
      </c>
      <c r="AE93" s="1" t="s">
        <v>160</v>
      </c>
      <c r="AF93" s="36" t="e">
        <f ca="1">_xll.BDP($AD93,AF$10)</f>
        <v>#NAME?</v>
      </c>
      <c r="AG93" s="36" t="e">
        <f ca="1">_xll.BDH($AD93,AG$10,$C$5,$C$5,"EQY_FUND_CRNCY=USD")</f>
        <v>#NAME?</v>
      </c>
      <c r="AH93" s="36" t="e">
        <f ca="1">_xll.BDH($AD93,AH$10,$C$5,$C$5,"EQY_FUND_CRNCY=USD")</f>
        <v>#NAME?</v>
      </c>
      <c r="AI93" s="36" t="e">
        <f ca="1">_xll.BDP($AD93,AI$10,"EQY_FUND_CRNCY=USD","FA_ADJUSTED=Y")</f>
        <v>#NAME?</v>
      </c>
      <c r="AJ93" s="36" t="e">
        <f ca="1">_xll.BDP($AD93,AJ$10,"BEST_FPERIOD_OVERRIDE=1TY","EQY_FUND_CRNCY=USD","FA_ADJUSTED=Y")</f>
        <v>#NAME?</v>
      </c>
      <c r="AK93" s="44" t="e">
        <f t="shared" ca="1" si="19"/>
        <v>#NAME?</v>
      </c>
      <c r="AL93" s="36" t="e">
        <f ca="1">_xll.BDP($AD93,AL$10,"EQY_FUND_CRNCY=USD","FA_ADJUSTED=Y")</f>
        <v>#NAME?</v>
      </c>
      <c r="AM93" s="36" t="e">
        <f ca="1">_xll.BDP($AD93,AM$10,"BEST_FPERIOD_OVERRIDE=1TY","EQY_FUND_CRNCY=USD","FA_ADJUSTED=Y")</f>
        <v>#NAME?</v>
      </c>
      <c r="AN93" s="36" t="e">
        <f ca="1">_xll.BDP($AD93,AN$10,"BEST_FPERIOD_OVERRIDE=1TY","EQY_FUND_CRNCY=USD","FA_ADJUSTED=Y")</f>
        <v>#NAME?</v>
      </c>
      <c r="AO93" s="36" t="e">
        <f ca="1">_xll.BDP($AD93,AO$10,"BEST_FPERIOD_OVERRIDE=1TY","EQY_FUND_CRNCY=USD","FA_ADJUSTED=Y")</f>
        <v>#NAME?</v>
      </c>
      <c r="AP93" s="36" t="e">
        <f ca="1">_xll.BDP($AD93,AP$10,"BEST_FPERIOD_OVERRIDE=1TY","EQY_FUND_CRNCY=USD","FA_ADJUSTED=Y")</f>
        <v>#NAME?</v>
      </c>
      <c r="AQ93" s="36" t="e">
        <f ca="1">_xll.BDP($AD93,AQ$10,"EQY_FUND_CRNCY=USD","FA_ADJUSTED=Y")</f>
        <v>#NAME?</v>
      </c>
      <c r="AR93" s="36" t="e">
        <f ca="1">_xll.BDP($AD93,AR$10,"BEST_FPERIOD_OVERRIDE=1TY","EQY_FUND_CRNCY=USD","FA_ADJUSTED=Y")</f>
        <v>#NAME?</v>
      </c>
      <c r="AS93" s="36" t="e">
        <f ca="1">_xll.BDP($AD93,AS$10,"EQY_FUND_CRNCY=USD","FA_ADJUSTED=Y")</f>
        <v>#NAME?</v>
      </c>
      <c r="AT93" s="36" t="e">
        <f ca="1">_xll.BDP($AD93,AT$10,"BEST_FPERIOD_OVERRIDE=1TY","EQY_FUND_CRNCY=USD","FA_ADJUSTED=Y")</f>
        <v>#NAME?</v>
      </c>
      <c r="AV93" s="1" t="s">
        <v>159</v>
      </c>
      <c r="AW93" s="1" t="s">
        <v>160</v>
      </c>
      <c r="AX93" s="36" t="s">
        <v>506</v>
      </c>
      <c r="AY93" s="36">
        <v>3592.2889</v>
      </c>
      <c r="AZ93" s="36">
        <v>5315.9659000000001</v>
      </c>
      <c r="BA93" s="36">
        <v>1870.5889999999999</v>
      </c>
      <c r="BB93" s="36">
        <v>1850.3410000000001</v>
      </c>
      <c r="BC93" s="44">
        <v>-1.0824398090654719E-2</v>
      </c>
      <c r="BD93" s="36">
        <v>918.13100402832038</v>
      </c>
      <c r="BE93" s="36">
        <v>51.018000000000001</v>
      </c>
      <c r="BF93" s="36">
        <v>0</v>
      </c>
      <c r="BG93" s="36" t="s">
        <v>480</v>
      </c>
      <c r="BH93" s="36" t="s">
        <v>480</v>
      </c>
      <c r="BI93" s="36">
        <v>460.75</v>
      </c>
      <c r="BJ93" s="36">
        <v>487.44200000000001</v>
      </c>
      <c r="BK93" s="36">
        <v>156.14600000000002</v>
      </c>
      <c r="BL93" s="36">
        <v>221.86700000000002</v>
      </c>
    </row>
    <row r="94" spans="1:64" ht="30" customHeight="1" x14ac:dyDescent="0.2">
      <c r="A94" s="2" t="s">
        <v>457</v>
      </c>
      <c r="B94" s="45" t="s">
        <v>495</v>
      </c>
      <c r="C94" s="45"/>
      <c r="N94" s="2" t="s">
        <v>457</v>
      </c>
      <c r="AD94" s="1" t="s">
        <v>161</v>
      </c>
      <c r="AE94" s="1" t="s">
        <v>162</v>
      </c>
      <c r="AF94" s="36" t="e">
        <f ca="1">_xll.BDP($AD94,AF$10)</f>
        <v>#NAME?</v>
      </c>
      <c r="AG94" s="36" t="e">
        <f ca="1">_xll.BDH($AD94,AG$10,$C$5,$C$5,"EQY_FUND_CRNCY=USD")</f>
        <v>#NAME?</v>
      </c>
      <c r="AH94" s="36" t="e">
        <f ca="1">_xll.BDH($AD94,AH$10,$C$5,$C$5,"EQY_FUND_CRNCY=USD")</f>
        <v>#NAME?</v>
      </c>
      <c r="AI94" s="36" t="e">
        <f ca="1">_xll.BDP($AD94,AI$10,"EQY_FUND_CRNCY=USD","FA_ADJUSTED=Y")</f>
        <v>#NAME?</v>
      </c>
      <c r="AJ94" s="36" t="e">
        <f ca="1">_xll.BDP($AD94,AJ$10,"BEST_FPERIOD_OVERRIDE=1TY","EQY_FUND_CRNCY=USD","FA_ADJUSTED=Y")</f>
        <v>#NAME?</v>
      </c>
      <c r="AK94" s="44" t="e">
        <f t="shared" ca="1" si="19"/>
        <v>#NAME?</v>
      </c>
      <c r="AL94" s="36" t="e">
        <f ca="1">_xll.BDP($AD94,AL$10,"EQY_FUND_CRNCY=USD","FA_ADJUSTED=Y")</f>
        <v>#NAME?</v>
      </c>
      <c r="AM94" s="36" t="e">
        <f ca="1">_xll.BDP($AD94,AM$10,"BEST_FPERIOD_OVERRIDE=1TY","EQY_FUND_CRNCY=USD","FA_ADJUSTED=Y")</f>
        <v>#NAME?</v>
      </c>
      <c r="AN94" s="36" t="e">
        <f ca="1">_xll.BDP($AD94,AN$10,"BEST_FPERIOD_OVERRIDE=1TY","EQY_FUND_CRNCY=USD","FA_ADJUSTED=Y")</f>
        <v>#NAME?</v>
      </c>
      <c r="AO94" s="36" t="e">
        <f ca="1">_xll.BDP($AD94,AO$10,"BEST_FPERIOD_OVERRIDE=1TY","EQY_FUND_CRNCY=USD","FA_ADJUSTED=Y")</f>
        <v>#NAME?</v>
      </c>
      <c r="AP94" s="36" t="e">
        <f ca="1">_xll.BDP($AD94,AP$10,"BEST_FPERIOD_OVERRIDE=1TY","EQY_FUND_CRNCY=USD","FA_ADJUSTED=Y")</f>
        <v>#NAME?</v>
      </c>
      <c r="AQ94" s="36" t="e">
        <f ca="1">_xll.BDP($AD94,AQ$10,"EQY_FUND_CRNCY=USD","FA_ADJUSTED=Y")</f>
        <v>#NAME?</v>
      </c>
      <c r="AR94" s="36" t="e">
        <f ca="1">_xll.BDP($AD94,AR$10,"BEST_FPERIOD_OVERRIDE=1TY","EQY_FUND_CRNCY=USD","FA_ADJUSTED=Y")</f>
        <v>#NAME?</v>
      </c>
      <c r="AS94" s="36" t="e">
        <f ca="1">_xll.BDP($AD94,AS$10,"EQY_FUND_CRNCY=USD","FA_ADJUSTED=Y")</f>
        <v>#NAME?</v>
      </c>
      <c r="AT94" s="36" t="e">
        <f ca="1">_xll.BDP($AD94,AT$10,"BEST_FPERIOD_OVERRIDE=1TY","EQY_FUND_CRNCY=USD","FA_ADJUSTED=Y")</f>
        <v>#NAME?</v>
      </c>
      <c r="AV94" s="1" t="s">
        <v>161</v>
      </c>
      <c r="AW94" s="1" t="s">
        <v>162</v>
      </c>
      <c r="AX94" s="36" t="s">
        <v>495</v>
      </c>
      <c r="AY94" s="36">
        <v>3651.6462000000001</v>
      </c>
      <c r="AZ94" s="36">
        <v>3162.8121999999998</v>
      </c>
      <c r="BA94" s="36">
        <v>346.63900000000001</v>
      </c>
      <c r="BB94" s="36">
        <v>473.83300000000003</v>
      </c>
      <c r="BC94" s="44">
        <v>0.3669350534706135</v>
      </c>
      <c r="BD94" s="36">
        <v>287.72500283813474</v>
      </c>
      <c r="BE94" s="36">
        <v>78.55</v>
      </c>
      <c r="BF94" s="36">
        <v>45.925999999999995</v>
      </c>
      <c r="BG94" s="36">
        <v>150.923</v>
      </c>
      <c r="BH94" s="36">
        <v>62.664999999999999</v>
      </c>
      <c r="BI94" s="36">
        <v>-26.742999999999999</v>
      </c>
      <c r="BJ94" s="36">
        <v>23.045000000000002</v>
      </c>
      <c r="BK94" s="36">
        <v>-47.448000000000008</v>
      </c>
      <c r="BL94" s="36">
        <v>-2.9330000000000003</v>
      </c>
    </row>
    <row r="95" spans="1:64" ht="15.6" customHeight="1" x14ac:dyDescent="0.2">
      <c r="B95" s="10" t="s">
        <v>424</v>
      </c>
      <c r="C95" s="10" t="s">
        <v>425</v>
      </c>
      <c r="AD95" s="1" t="s">
        <v>163</v>
      </c>
      <c r="AE95" s="1" t="s">
        <v>164</v>
      </c>
      <c r="AF95" s="36" t="e">
        <f ca="1">_xll.BDP($AD95,AF$10)</f>
        <v>#NAME?</v>
      </c>
      <c r="AG95" s="36" t="e">
        <f ca="1">_xll.BDH($AD95,AG$10,$C$5,$C$5,"EQY_FUND_CRNCY=USD")</f>
        <v>#NAME?</v>
      </c>
      <c r="AH95" s="36" t="e">
        <f ca="1">_xll.BDH($AD95,AH$10,$C$5,$C$5,"EQY_FUND_CRNCY=USD")</f>
        <v>#NAME?</v>
      </c>
      <c r="AI95" s="36" t="e">
        <f ca="1">_xll.BDP($AD95,AI$10,"EQY_FUND_CRNCY=USD","FA_ADJUSTED=Y")</f>
        <v>#NAME?</v>
      </c>
      <c r="AJ95" s="36" t="e">
        <f ca="1">_xll.BDP($AD95,AJ$10,"BEST_FPERIOD_OVERRIDE=1TY","EQY_FUND_CRNCY=USD","FA_ADJUSTED=Y")</f>
        <v>#NAME?</v>
      </c>
      <c r="AK95" s="44" t="e">
        <f t="shared" ca="1" si="19"/>
        <v>#NAME?</v>
      </c>
      <c r="AL95" s="36" t="e">
        <f ca="1">_xll.BDP($AD95,AL$10,"EQY_FUND_CRNCY=USD","FA_ADJUSTED=Y")</f>
        <v>#NAME?</v>
      </c>
      <c r="AM95" s="36" t="e">
        <f ca="1">_xll.BDP($AD95,AM$10,"BEST_FPERIOD_OVERRIDE=1TY","EQY_FUND_CRNCY=USD","FA_ADJUSTED=Y")</f>
        <v>#NAME?</v>
      </c>
      <c r="AN95" s="36" t="e">
        <f ca="1">_xll.BDP($AD95,AN$10,"BEST_FPERIOD_OVERRIDE=1TY","EQY_FUND_CRNCY=USD","FA_ADJUSTED=Y")</f>
        <v>#NAME?</v>
      </c>
      <c r="AO95" s="36" t="e">
        <f ca="1">_xll.BDP($AD95,AO$10,"BEST_FPERIOD_OVERRIDE=1TY","EQY_FUND_CRNCY=USD","FA_ADJUSTED=Y")</f>
        <v>#NAME?</v>
      </c>
      <c r="AP95" s="36" t="e">
        <f ca="1">_xll.BDP($AD95,AP$10,"BEST_FPERIOD_OVERRIDE=1TY","EQY_FUND_CRNCY=USD","FA_ADJUSTED=Y")</f>
        <v>#NAME?</v>
      </c>
      <c r="AQ95" s="36" t="e">
        <f ca="1">_xll.BDP($AD95,AQ$10,"EQY_FUND_CRNCY=USD","FA_ADJUSTED=Y")</f>
        <v>#NAME?</v>
      </c>
      <c r="AR95" s="36" t="e">
        <f ca="1">_xll.BDP($AD95,AR$10,"BEST_FPERIOD_OVERRIDE=1TY","EQY_FUND_CRNCY=USD","FA_ADJUSTED=Y")</f>
        <v>#NAME?</v>
      </c>
      <c r="AS95" s="36" t="e">
        <f ca="1">_xll.BDP($AD95,AS$10,"EQY_FUND_CRNCY=USD","FA_ADJUSTED=Y")</f>
        <v>#NAME?</v>
      </c>
      <c r="AT95" s="36" t="e">
        <f ca="1">_xll.BDP($AD95,AT$10,"BEST_FPERIOD_OVERRIDE=1TY","EQY_FUND_CRNCY=USD","FA_ADJUSTED=Y")</f>
        <v>#NAME?</v>
      </c>
      <c r="AV95" s="1" t="s">
        <v>163</v>
      </c>
      <c r="AW95" s="1" t="s">
        <v>164</v>
      </c>
      <c r="AX95" s="36" t="s">
        <v>495</v>
      </c>
      <c r="AY95" s="36">
        <v>3424.6939000000002</v>
      </c>
      <c r="AZ95" s="36">
        <v>3579.8489</v>
      </c>
      <c r="BA95" s="36">
        <v>833.04499999999996</v>
      </c>
      <c r="BB95" s="36">
        <v>871.04500000000007</v>
      </c>
      <c r="BC95" s="44">
        <v>4.5615783060939163E-2</v>
      </c>
      <c r="BD95" s="36">
        <v>461.10500335693359</v>
      </c>
      <c r="BE95" s="36">
        <v>61.056000000000004</v>
      </c>
      <c r="BF95" s="36">
        <v>89.911000000000001</v>
      </c>
      <c r="BG95" s="36">
        <v>173.52500000000001</v>
      </c>
      <c r="BH95" s="36">
        <v>94.87</v>
      </c>
      <c r="BI95" s="36">
        <v>162.346</v>
      </c>
      <c r="BJ95" s="36">
        <v>184.31399999999999</v>
      </c>
      <c r="BK95" s="36">
        <v>80.155496400630994</v>
      </c>
      <c r="BL95" s="36">
        <v>118.879</v>
      </c>
    </row>
    <row r="96" spans="1:64" ht="30" customHeight="1" x14ac:dyDescent="0.2">
      <c r="B96" s="54" t="s">
        <v>465</v>
      </c>
      <c r="C96" s="54" t="e">
        <f>VLOOKUP($B96,#REF!,COLUMNS($B96:C96),0)</f>
        <v>#REF!</v>
      </c>
      <c r="AD96" s="1" t="s">
        <v>165</v>
      </c>
      <c r="AE96" s="1" t="s">
        <v>166</v>
      </c>
      <c r="AF96" s="36" t="e">
        <f ca="1">_xll.BDP($AD96,AF$10)</f>
        <v>#NAME?</v>
      </c>
      <c r="AG96" s="36" t="e">
        <f ca="1">_xll.BDH($AD96,AG$10,$C$5,$C$5,"EQY_FUND_CRNCY=USD")</f>
        <v>#NAME?</v>
      </c>
      <c r="AH96" s="36" t="e">
        <f ca="1">_xll.BDH($AD96,AH$10,$C$5,$C$5,"EQY_FUND_CRNCY=USD")</f>
        <v>#NAME?</v>
      </c>
      <c r="AI96" s="36" t="e">
        <f ca="1">_xll.BDP($AD96,AI$10,"EQY_FUND_CRNCY=USD","FA_ADJUSTED=Y")</f>
        <v>#NAME?</v>
      </c>
      <c r="AJ96" s="36" t="e">
        <f ca="1">_xll.BDP($AD96,AJ$10,"BEST_FPERIOD_OVERRIDE=1TY","EQY_FUND_CRNCY=USD","FA_ADJUSTED=Y")</f>
        <v>#NAME?</v>
      </c>
      <c r="AK96" s="44" t="e">
        <f t="shared" ca="1" si="19"/>
        <v>#NAME?</v>
      </c>
      <c r="AL96" s="36" t="e">
        <f ca="1">_xll.BDP($AD96,AL$10,"EQY_FUND_CRNCY=USD","FA_ADJUSTED=Y")</f>
        <v>#NAME?</v>
      </c>
      <c r="AM96" s="36" t="e">
        <f ca="1">_xll.BDP($AD96,AM$10,"BEST_FPERIOD_OVERRIDE=1TY","EQY_FUND_CRNCY=USD","FA_ADJUSTED=Y")</f>
        <v>#NAME?</v>
      </c>
      <c r="AN96" s="36" t="e">
        <f ca="1">_xll.BDP($AD96,AN$10,"BEST_FPERIOD_OVERRIDE=1TY","EQY_FUND_CRNCY=USD","FA_ADJUSTED=Y")</f>
        <v>#NAME?</v>
      </c>
      <c r="AO96" s="36" t="e">
        <f ca="1">_xll.BDP($AD96,AO$10,"BEST_FPERIOD_OVERRIDE=1TY","EQY_FUND_CRNCY=USD","FA_ADJUSTED=Y")</f>
        <v>#NAME?</v>
      </c>
      <c r="AP96" s="36" t="e">
        <f ca="1">_xll.BDP($AD96,AP$10,"BEST_FPERIOD_OVERRIDE=1TY","EQY_FUND_CRNCY=USD","FA_ADJUSTED=Y")</f>
        <v>#NAME?</v>
      </c>
      <c r="AQ96" s="36" t="e">
        <f ca="1">_xll.BDP($AD96,AQ$10,"EQY_FUND_CRNCY=USD","FA_ADJUSTED=Y")</f>
        <v>#NAME?</v>
      </c>
      <c r="AR96" s="36" t="e">
        <f ca="1">_xll.BDP($AD96,AR$10,"BEST_FPERIOD_OVERRIDE=1TY","EQY_FUND_CRNCY=USD","FA_ADJUSTED=Y")</f>
        <v>#NAME?</v>
      </c>
      <c r="AS96" s="36" t="e">
        <f ca="1">_xll.BDP($AD96,AS$10,"EQY_FUND_CRNCY=USD","FA_ADJUSTED=Y")</f>
        <v>#NAME?</v>
      </c>
      <c r="AT96" s="36" t="e">
        <f ca="1">_xll.BDP($AD96,AT$10,"BEST_FPERIOD_OVERRIDE=1TY","EQY_FUND_CRNCY=USD","FA_ADJUSTED=Y")</f>
        <v>#NAME?</v>
      </c>
      <c r="AV96" s="1" t="s">
        <v>165</v>
      </c>
      <c r="AW96" s="1" t="s">
        <v>166</v>
      </c>
      <c r="AX96" s="36" t="s">
        <v>505</v>
      </c>
      <c r="AY96" s="36">
        <v>3332.6280000000002</v>
      </c>
      <c r="AZ96" s="36">
        <v>3196.73</v>
      </c>
      <c r="BA96" s="36">
        <v>793.64200000000005</v>
      </c>
      <c r="BB96" s="36">
        <v>853.05899999999997</v>
      </c>
      <c r="BC96" s="44">
        <v>7.4866249518044548E-2</v>
      </c>
      <c r="BD96" s="36">
        <v>520.84100958251952</v>
      </c>
      <c r="BE96" s="36">
        <v>74.894000000000005</v>
      </c>
      <c r="BF96" s="36">
        <v>243.273</v>
      </c>
      <c r="BG96" s="36">
        <v>371.935</v>
      </c>
      <c r="BH96" s="36">
        <v>125.59699999999999</v>
      </c>
      <c r="BI96" s="36">
        <v>-128.273</v>
      </c>
      <c r="BJ96" s="36">
        <v>121.242</v>
      </c>
      <c r="BK96" s="36">
        <v>-257.473708220025</v>
      </c>
      <c r="BL96" s="36">
        <v>23.024000000000001</v>
      </c>
    </row>
    <row r="97" spans="2:64" ht="30" customHeight="1" x14ac:dyDescent="0.2">
      <c r="B97" s="62" t="s">
        <v>470</v>
      </c>
      <c r="C97" s="54" t="e">
        <f>VLOOKUP($B97,#REF!,COLUMNS($B97:C97),0)</f>
        <v>#REF!</v>
      </c>
      <c r="AD97" s="1" t="s">
        <v>167</v>
      </c>
      <c r="AE97" s="1" t="s">
        <v>168</v>
      </c>
      <c r="AF97" s="36" t="e">
        <f ca="1">_xll.BDP($AD97,AF$10)</f>
        <v>#NAME?</v>
      </c>
      <c r="AG97" s="36" t="e">
        <f ca="1">_xll.BDH($AD97,AG$10,$C$5,$C$5,"EQY_FUND_CRNCY=USD")</f>
        <v>#NAME?</v>
      </c>
      <c r="AH97" s="36" t="e">
        <f ca="1">_xll.BDH($AD97,AH$10,$C$5,$C$5,"EQY_FUND_CRNCY=USD")</f>
        <v>#NAME?</v>
      </c>
      <c r="AI97" s="36" t="e">
        <f ca="1">_xll.BDP($AD97,AI$10,"EQY_FUND_CRNCY=USD","FA_ADJUSTED=Y")</f>
        <v>#NAME?</v>
      </c>
      <c r="AJ97" s="36" t="e">
        <f ca="1">_xll.BDP($AD97,AJ$10,"BEST_FPERIOD_OVERRIDE=1TY","EQY_FUND_CRNCY=USD","FA_ADJUSTED=Y")</f>
        <v>#NAME?</v>
      </c>
      <c r="AK97" s="44" t="e">
        <f t="shared" ca="1" si="19"/>
        <v>#NAME?</v>
      </c>
      <c r="AL97" s="36" t="e">
        <f ca="1">_xll.BDP($AD97,AL$10,"EQY_FUND_CRNCY=USD","FA_ADJUSTED=Y")</f>
        <v>#NAME?</v>
      </c>
      <c r="AM97" s="36" t="e">
        <f ca="1">_xll.BDP($AD97,AM$10,"BEST_FPERIOD_OVERRIDE=1TY","EQY_FUND_CRNCY=USD","FA_ADJUSTED=Y")</f>
        <v>#NAME?</v>
      </c>
      <c r="AN97" s="36" t="e">
        <f ca="1">_xll.BDP($AD97,AN$10,"BEST_FPERIOD_OVERRIDE=1TY","EQY_FUND_CRNCY=USD","FA_ADJUSTED=Y")</f>
        <v>#NAME?</v>
      </c>
      <c r="AO97" s="36" t="e">
        <f ca="1">_xll.BDP($AD97,AO$10,"BEST_FPERIOD_OVERRIDE=1TY","EQY_FUND_CRNCY=USD","FA_ADJUSTED=Y")</f>
        <v>#NAME?</v>
      </c>
      <c r="AP97" s="36" t="e">
        <f ca="1">_xll.BDP($AD97,AP$10,"BEST_FPERIOD_OVERRIDE=1TY","EQY_FUND_CRNCY=USD","FA_ADJUSTED=Y")</f>
        <v>#NAME?</v>
      </c>
      <c r="AQ97" s="36" t="e">
        <f ca="1">_xll.BDP($AD97,AQ$10,"EQY_FUND_CRNCY=USD","FA_ADJUSTED=Y")</f>
        <v>#NAME?</v>
      </c>
      <c r="AR97" s="36" t="e">
        <f ca="1">_xll.BDP($AD97,AR$10,"BEST_FPERIOD_OVERRIDE=1TY","EQY_FUND_CRNCY=USD","FA_ADJUSTED=Y")</f>
        <v>#NAME?</v>
      </c>
      <c r="AS97" s="36" t="e">
        <f ca="1">_xll.BDP($AD97,AS$10,"EQY_FUND_CRNCY=USD","FA_ADJUSTED=Y")</f>
        <v>#NAME?</v>
      </c>
      <c r="AT97" s="36" t="e">
        <f ca="1">_xll.BDP($AD97,AT$10,"BEST_FPERIOD_OVERRIDE=1TY","EQY_FUND_CRNCY=USD","FA_ADJUSTED=Y")</f>
        <v>#NAME?</v>
      </c>
      <c r="AV97" s="1" t="s">
        <v>167</v>
      </c>
      <c r="AW97" s="1" t="s">
        <v>168</v>
      </c>
      <c r="AX97" s="36" t="s">
        <v>495</v>
      </c>
      <c r="AY97" s="36">
        <v>3339.4326000000001</v>
      </c>
      <c r="AZ97" s="36">
        <v>3202.2395999999999</v>
      </c>
      <c r="BA97" s="36">
        <v>377.52699999999999</v>
      </c>
      <c r="BB97" s="36">
        <v>452.61400000000003</v>
      </c>
      <c r="BC97" s="44">
        <v>0.19889173489578238</v>
      </c>
      <c r="BD97" s="36">
        <v>228.32999908447266</v>
      </c>
      <c r="BE97" s="36">
        <v>66.656999999999996</v>
      </c>
      <c r="BF97" s="36">
        <v>37.644999999999996</v>
      </c>
      <c r="BG97" s="36">
        <v>95.483999999999995</v>
      </c>
      <c r="BH97" s="36">
        <v>79.251999999999995</v>
      </c>
      <c r="BI97" s="36">
        <v>46.511999999999993</v>
      </c>
      <c r="BJ97" s="36">
        <v>125.129</v>
      </c>
      <c r="BK97" s="36">
        <v>3.8283299999999998</v>
      </c>
      <c r="BL97" s="36">
        <v>76.643000000000001</v>
      </c>
    </row>
    <row r="98" spans="2:64" ht="30" customHeight="1" x14ac:dyDescent="0.2">
      <c r="B98" s="62" t="s">
        <v>471</v>
      </c>
      <c r="C98" s="54" t="e">
        <f>VLOOKUP($B98,#REF!,COLUMNS($B98:C98),0)</f>
        <v>#REF!</v>
      </c>
      <c r="AD98" s="1" t="s">
        <v>169</v>
      </c>
      <c r="AE98" s="1" t="s">
        <v>170</v>
      </c>
      <c r="AF98" s="36" t="e">
        <f ca="1">_xll.BDP($AD98,AF$10)</f>
        <v>#NAME?</v>
      </c>
      <c r="AG98" s="36" t="e">
        <f ca="1">_xll.BDH($AD98,AG$10,$C$5,$C$5,"EQY_FUND_CRNCY=USD")</f>
        <v>#NAME?</v>
      </c>
      <c r="AH98" s="36" t="e">
        <f ca="1">_xll.BDH($AD98,AH$10,$C$5,$C$5,"EQY_FUND_CRNCY=USD")</f>
        <v>#NAME?</v>
      </c>
      <c r="AI98" s="36" t="e">
        <f ca="1">_xll.BDP($AD98,AI$10,"EQY_FUND_CRNCY=USD","FA_ADJUSTED=Y")</f>
        <v>#NAME?</v>
      </c>
      <c r="AJ98" s="36" t="e">
        <f ca="1">_xll.BDP($AD98,AJ$10,"BEST_FPERIOD_OVERRIDE=1TY","EQY_FUND_CRNCY=USD","FA_ADJUSTED=Y")</f>
        <v>#NAME?</v>
      </c>
      <c r="AK98" s="44" t="e">
        <f t="shared" ca="1" si="19"/>
        <v>#NAME?</v>
      </c>
      <c r="AL98" s="36" t="e">
        <f ca="1">_xll.BDP($AD98,AL$10,"EQY_FUND_CRNCY=USD","FA_ADJUSTED=Y")</f>
        <v>#NAME?</v>
      </c>
      <c r="AM98" s="36" t="e">
        <f ca="1">_xll.BDP($AD98,AM$10,"BEST_FPERIOD_OVERRIDE=1TY","EQY_FUND_CRNCY=USD","FA_ADJUSTED=Y")</f>
        <v>#NAME?</v>
      </c>
      <c r="AN98" s="36" t="e">
        <f ca="1">_xll.BDP($AD98,AN$10,"BEST_FPERIOD_OVERRIDE=1TY","EQY_FUND_CRNCY=USD","FA_ADJUSTED=Y")</f>
        <v>#NAME?</v>
      </c>
      <c r="AO98" s="36" t="e">
        <f ca="1">_xll.BDP($AD98,AO$10,"BEST_FPERIOD_OVERRIDE=1TY","EQY_FUND_CRNCY=USD","FA_ADJUSTED=Y")</f>
        <v>#NAME?</v>
      </c>
      <c r="AP98" s="36" t="e">
        <f ca="1">_xll.BDP($AD98,AP$10,"BEST_FPERIOD_OVERRIDE=1TY","EQY_FUND_CRNCY=USD","FA_ADJUSTED=Y")</f>
        <v>#NAME?</v>
      </c>
      <c r="AQ98" s="36" t="e">
        <f ca="1">_xll.BDP($AD98,AQ$10,"EQY_FUND_CRNCY=USD","FA_ADJUSTED=Y")</f>
        <v>#NAME?</v>
      </c>
      <c r="AR98" s="36" t="e">
        <f ca="1">_xll.BDP($AD98,AR$10,"BEST_FPERIOD_OVERRIDE=1TY","EQY_FUND_CRNCY=USD","FA_ADJUSTED=Y")</f>
        <v>#NAME?</v>
      </c>
      <c r="AS98" s="36" t="e">
        <f ca="1">_xll.BDP($AD98,AS$10,"EQY_FUND_CRNCY=USD","FA_ADJUSTED=Y")</f>
        <v>#NAME?</v>
      </c>
      <c r="AT98" s="36" t="e">
        <f ca="1">_xll.BDP($AD98,AT$10,"BEST_FPERIOD_OVERRIDE=1TY","EQY_FUND_CRNCY=USD","FA_ADJUSTED=Y")</f>
        <v>#NAME?</v>
      </c>
      <c r="AV98" s="1" t="s">
        <v>169</v>
      </c>
      <c r="AW98" s="1" t="s">
        <v>170</v>
      </c>
      <c r="AX98" s="36" t="s">
        <v>495</v>
      </c>
      <c r="AY98" s="36">
        <v>3406.6007</v>
      </c>
      <c r="AZ98" s="36">
        <v>3692.9135000000001</v>
      </c>
      <c r="BA98" s="36">
        <v>166.82400000000001</v>
      </c>
      <c r="BB98" s="36">
        <v>257.7</v>
      </c>
      <c r="BC98" s="44">
        <v>0.54474176377499628</v>
      </c>
      <c r="BD98" s="36">
        <v>116.99600000000001</v>
      </c>
      <c r="BE98" s="36">
        <v>75.674999999999997</v>
      </c>
      <c r="BF98" s="36">
        <v>0</v>
      </c>
      <c r="BG98" s="36">
        <v>103.47799999999999</v>
      </c>
      <c r="BH98" s="36">
        <v>46.970999999999997</v>
      </c>
      <c r="BI98" s="36">
        <v>-66.082999999999998</v>
      </c>
      <c r="BJ98" s="36">
        <v>-48.283000000000001</v>
      </c>
      <c r="BK98" s="36">
        <v>-95.293880000000001</v>
      </c>
      <c r="BL98" s="36">
        <v>-59.25</v>
      </c>
    </row>
    <row r="99" spans="2:64" ht="30" customHeight="1" x14ac:dyDescent="0.2">
      <c r="B99" s="62" t="s">
        <v>473</v>
      </c>
      <c r="C99" s="54" t="e">
        <f>VLOOKUP($B99,#REF!,COLUMNS($B99:C99),0)</f>
        <v>#REF!</v>
      </c>
      <c r="AD99" s="1" t="s">
        <v>171</v>
      </c>
      <c r="AE99" s="1" t="s">
        <v>172</v>
      </c>
      <c r="AF99" s="36" t="e">
        <f ca="1">_xll.BDP($AD99,AF$10)</f>
        <v>#NAME?</v>
      </c>
      <c r="AG99" s="36" t="e">
        <f ca="1">_xll.BDH($AD99,AG$10,$C$5,$C$5,"EQY_FUND_CRNCY=USD")</f>
        <v>#NAME?</v>
      </c>
      <c r="AH99" s="36" t="e">
        <f ca="1">_xll.BDH($AD99,AH$10,$C$5,$C$5,"EQY_FUND_CRNCY=USD")</f>
        <v>#NAME?</v>
      </c>
      <c r="AI99" s="36" t="e">
        <f ca="1">_xll.BDP($AD99,AI$10,"EQY_FUND_CRNCY=USD","FA_ADJUSTED=Y")</f>
        <v>#NAME?</v>
      </c>
      <c r="AJ99" s="36" t="e">
        <f ca="1">_xll.BDP($AD99,AJ$10,"BEST_FPERIOD_OVERRIDE=1TY","EQY_FUND_CRNCY=USD","FA_ADJUSTED=Y")</f>
        <v>#NAME?</v>
      </c>
      <c r="AK99" s="44" t="e">
        <f t="shared" ca="1" si="19"/>
        <v>#NAME?</v>
      </c>
      <c r="AL99" s="36" t="e">
        <f ca="1">_xll.BDP($AD99,AL$10,"EQY_FUND_CRNCY=USD","FA_ADJUSTED=Y")</f>
        <v>#NAME?</v>
      </c>
      <c r="AM99" s="36" t="e">
        <f ca="1">_xll.BDP($AD99,AM$10,"BEST_FPERIOD_OVERRIDE=1TY","EQY_FUND_CRNCY=USD","FA_ADJUSTED=Y")</f>
        <v>#NAME?</v>
      </c>
      <c r="AN99" s="36" t="e">
        <f ca="1">_xll.BDP($AD99,AN$10,"BEST_FPERIOD_OVERRIDE=1TY","EQY_FUND_CRNCY=USD","FA_ADJUSTED=Y")</f>
        <v>#NAME?</v>
      </c>
      <c r="AO99" s="36" t="e">
        <f ca="1">_xll.BDP($AD99,AO$10,"BEST_FPERIOD_OVERRIDE=1TY","EQY_FUND_CRNCY=USD","FA_ADJUSTED=Y")</f>
        <v>#NAME?</v>
      </c>
      <c r="AP99" s="36" t="e">
        <f ca="1">_xll.BDP($AD99,AP$10,"BEST_FPERIOD_OVERRIDE=1TY","EQY_FUND_CRNCY=USD","FA_ADJUSTED=Y")</f>
        <v>#NAME?</v>
      </c>
      <c r="AQ99" s="36" t="e">
        <f ca="1">_xll.BDP($AD99,AQ$10,"EQY_FUND_CRNCY=USD","FA_ADJUSTED=Y")</f>
        <v>#NAME?</v>
      </c>
      <c r="AR99" s="36" t="e">
        <f ca="1">_xll.BDP($AD99,AR$10,"BEST_FPERIOD_OVERRIDE=1TY","EQY_FUND_CRNCY=USD","FA_ADJUSTED=Y")</f>
        <v>#NAME?</v>
      </c>
      <c r="AS99" s="36" t="e">
        <f ca="1">_xll.BDP($AD99,AS$10,"EQY_FUND_CRNCY=USD","FA_ADJUSTED=Y")</f>
        <v>#NAME?</v>
      </c>
      <c r="AT99" s="36" t="e">
        <f ca="1">_xll.BDP($AD99,AT$10,"BEST_FPERIOD_OVERRIDE=1TY","EQY_FUND_CRNCY=USD","FA_ADJUSTED=Y")</f>
        <v>#NAME?</v>
      </c>
      <c r="AV99" s="1" t="s">
        <v>171</v>
      </c>
      <c r="AW99" s="1" t="s">
        <v>172</v>
      </c>
      <c r="AX99" s="36" t="s">
        <v>495</v>
      </c>
      <c r="AY99" s="36">
        <v>2926.9940999999999</v>
      </c>
      <c r="AZ99" s="36">
        <v>2833.0971</v>
      </c>
      <c r="BA99" s="36">
        <v>558.87699999999995</v>
      </c>
      <c r="BB99" s="36">
        <v>561.4</v>
      </c>
      <c r="BC99" s="44">
        <v>4.5144101474923204E-3</v>
      </c>
      <c r="BD99" s="36">
        <v>322.08900360107418</v>
      </c>
      <c r="BE99" s="36">
        <v>56.7</v>
      </c>
      <c r="BF99" s="36">
        <v>57.704000000000001</v>
      </c>
      <c r="BG99" s="36">
        <v>47.481999999999999</v>
      </c>
      <c r="BH99" s="36">
        <v>46.054000000000002</v>
      </c>
      <c r="BI99" s="36">
        <v>152.07</v>
      </c>
      <c r="BJ99" s="36">
        <v>131.92500000000001</v>
      </c>
      <c r="BK99" s="36">
        <v>105.80647999999999</v>
      </c>
      <c r="BL99" s="36">
        <v>94.12</v>
      </c>
    </row>
    <row r="100" spans="2:64" ht="30" customHeight="1" x14ac:dyDescent="0.2">
      <c r="B100" s="62" t="s">
        <v>478</v>
      </c>
      <c r="C100" s="54" t="e">
        <f>VLOOKUP($B100,#REF!,COLUMNS($B100:C100),0)</f>
        <v>#REF!</v>
      </c>
      <c r="AD100" s="1" t="s">
        <v>173</v>
      </c>
      <c r="AE100" s="1" t="s">
        <v>174</v>
      </c>
      <c r="AF100" s="36" t="e">
        <f ca="1">_xll.BDP($AD100,AF$10)</f>
        <v>#NAME?</v>
      </c>
      <c r="AG100" s="36" t="e">
        <f ca="1">_xll.BDH($AD100,AG$10,$C$5,$C$5,"EQY_FUND_CRNCY=USD")</f>
        <v>#NAME?</v>
      </c>
      <c r="AH100" s="36" t="e">
        <f ca="1">_xll.BDH($AD100,AH$10,$C$5,$C$5,"EQY_FUND_CRNCY=USD")</f>
        <v>#NAME?</v>
      </c>
      <c r="AI100" s="36" t="e">
        <f ca="1">_xll.BDP($AD100,AI$10,"EQY_FUND_CRNCY=USD","FA_ADJUSTED=Y")</f>
        <v>#NAME?</v>
      </c>
      <c r="AJ100" s="36" t="e">
        <f ca="1">_xll.BDP($AD100,AJ$10,"BEST_FPERIOD_OVERRIDE=1TY","EQY_FUND_CRNCY=USD","FA_ADJUSTED=Y")</f>
        <v>#NAME?</v>
      </c>
      <c r="AK100" s="44" t="e">
        <f t="shared" ca="1" si="19"/>
        <v>#NAME?</v>
      </c>
      <c r="AL100" s="36" t="e">
        <f ca="1">_xll.BDP($AD100,AL$10,"EQY_FUND_CRNCY=USD","FA_ADJUSTED=Y")</f>
        <v>#NAME?</v>
      </c>
      <c r="AM100" s="36" t="e">
        <f ca="1">_xll.BDP($AD100,AM$10,"BEST_FPERIOD_OVERRIDE=1TY","EQY_FUND_CRNCY=USD","FA_ADJUSTED=Y")</f>
        <v>#NAME?</v>
      </c>
      <c r="AN100" s="36" t="e">
        <f ca="1">_xll.BDP($AD100,AN$10,"BEST_FPERIOD_OVERRIDE=1TY","EQY_FUND_CRNCY=USD","FA_ADJUSTED=Y")</f>
        <v>#NAME?</v>
      </c>
      <c r="AO100" s="36" t="e">
        <f ca="1">_xll.BDP($AD100,AO$10,"BEST_FPERIOD_OVERRIDE=1TY","EQY_FUND_CRNCY=USD","FA_ADJUSTED=Y")</f>
        <v>#NAME?</v>
      </c>
      <c r="AP100" s="36" t="e">
        <f ca="1">_xll.BDP($AD100,AP$10,"BEST_FPERIOD_OVERRIDE=1TY","EQY_FUND_CRNCY=USD","FA_ADJUSTED=Y")</f>
        <v>#NAME?</v>
      </c>
      <c r="AQ100" s="36" t="e">
        <f ca="1">_xll.BDP($AD100,AQ$10,"EQY_FUND_CRNCY=USD","FA_ADJUSTED=Y")</f>
        <v>#NAME?</v>
      </c>
      <c r="AR100" s="36" t="e">
        <f ca="1">_xll.BDP($AD100,AR$10,"BEST_FPERIOD_OVERRIDE=1TY","EQY_FUND_CRNCY=USD","FA_ADJUSTED=Y")</f>
        <v>#NAME?</v>
      </c>
      <c r="AS100" s="36" t="e">
        <f ca="1">_xll.BDP($AD100,AS$10,"EQY_FUND_CRNCY=USD","FA_ADJUSTED=Y")</f>
        <v>#NAME?</v>
      </c>
      <c r="AT100" s="36" t="e">
        <f ca="1">_xll.BDP($AD100,AT$10,"BEST_FPERIOD_OVERRIDE=1TY","EQY_FUND_CRNCY=USD","FA_ADJUSTED=Y")</f>
        <v>#NAME?</v>
      </c>
      <c r="AV100" s="1" t="s">
        <v>173</v>
      </c>
      <c r="AW100" s="1" t="s">
        <v>174</v>
      </c>
      <c r="AX100" s="36" t="s">
        <v>505</v>
      </c>
      <c r="AY100" s="36">
        <v>2917.6007</v>
      </c>
      <c r="AZ100" s="36">
        <v>2532.3746999999998</v>
      </c>
      <c r="BA100" s="36">
        <v>255.43600000000001</v>
      </c>
      <c r="BB100" s="36">
        <v>303.84500000000003</v>
      </c>
      <c r="BC100" s="44">
        <v>0.18951518188509064</v>
      </c>
      <c r="BD100" s="36">
        <v>196.15400054931641</v>
      </c>
      <c r="BE100" s="36">
        <v>78.582000000000008</v>
      </c>
      <c r="BF100" s="36">
        <v>42.815999999999995</v>
      </c>
      <c r="BG100" s="36">
        <v>63.854999999999997</v>
      </c>
      <c r="BH100" s="36">
        <v>35.334000000000003</v>
      </c>
      <c r="BI100" s="36">
        <v>67.129000000000005</v>
      </c>
      <c r="BJ100" s="36">
        <v>109.622</v>
      </c>
      <c r="BK100" s="36">
        <v>42.557038674647998</v>
      </c>
      <c r="BL100" s="36">
        <v>67.052999999999997</v>
      </c>
    </row>
    <row r="101" spans="2:64" ht="30" customHeight="1" x14ac:dyDescent="0.2">
      <c r="B101" s="88" t="s">
        <v>482</v>
      </c>
      <c r="C101" s="89" t="e">
        <f>VLOOKUP($B101,#REF!,COLUMNS($B101:C101),0)</f>
        <v>#REF!</v>
      </c>
      <c r="AD101" s="1" t="s">
        <v>175</v>
      </c>
      <c r="AE101" s="1" t="s">
        <v>176</v>
      </c>
      <c r="AF101" s="36" t="e">
        <f ca="1">_xll.BDP($AD101,AF$10)</f>
        <v>#NAME?</v>
      </c>
      <c r="AG101" s="36" t="e">
        <f ca="1">_xll.BDH($AD101,AG$10,$C$5,$C$5,"EQY_FUND_CRNCY=USD")</f>
        <v>#NAME?</v>
      </c>
      <c r="AH101" s="36" t="e">
        <f ca="1">_xll.BDH($AD101,AH$10,$C$5,$C$5,"EQY_FUND_CRNCY=USD")</f>
        <v>#NAME?</v>
      </c>
      <c r="AI101" s="36" t="e">
        <f ca="1">_xll.BDP($AD101,AI$10,"EQY_FUND_CRNCY=USD","FA_ADJUSTED=Y")</f>
        <v>#NAME?</v>
      </c>
      <c r="AJ101" s="36" t="e">
        <f ca="1">_xll.BDP($AD101,AJ$10,"BEST_FPERIOD_OVERRIDE=1TY","EQY_FUND_CRNCY=USD","FA_ADJUSTED=Y")</f>
        <v>#NAME?</v>
      </c>
      <c r="AK101" s="44" t="e">
        <f t="shared" ca="1" si="19"/>
        <v>#NAME?</v>
      </c>
      <c r="AL101" s="36" t="e">
        <f ca="1">_xll.BDP($AD101,AL$10,"EQY_FUND_CRNCY=USD","FA_ADJUSTED=Y")</f>
        <v>#NAME?</v>
      </c>
      <c r="AM101" s="36" t="e">
        <f ca="1">_xll.BDP($AD101,AM$10,"BEST_FPERIOD_OVERRIDE=1TY","EQY_FUND_CRNCY=USD","FA_ADJUSTED=Y")</f>
        <v>#NAME?</v>
      </c>
      <c r="AN101" s="36" t="e">
        <f ca="1">_xll.BDP($AD101,AN$10,"BEST_FPERIOD_OVERRIDE=1TY","EQY_FUND_CRNCY=USD","FA_ADJUSTED=Y")</f>
        <v>#NAME?</v>
      </c>
      <c r="AO101" s="36" t="e">
        <f ca="1">_xll.BDP($AD101,AO$10,"BEST_FPERIOD_OVERRIDE=1TY","EQY_FUND_CRNCY=USD","FA_ADJUSTED=Y")</f>
        <v>#NAME?</v>
      </c>
      <c r="AP101" s="36" t="e">
        <f ca="1">_xll.BDP($AD101,AP$10,"BEST_FPERIOD_OVERRIDE=1TY","EQY_FUND_CRNCY=USD","FA_ADJUSTED=Y")</f>
        <v>#NAME?</v>
      </c>
      <c r="AQ101" s="36" t="e">
        <f ca="1">_xll.BDP($AD101,AQ$10,"EQY_FUND_CRNCY=USD","FA_ADJUSTED=Y")</f>
        <v>#NAME?</v>
      </c>
      <c r="AR101" s="36" t="e">
        <f ca="1">_xll.BDP($AD101,AR$10,"BEST_FPERIOD_OVERRIDE=1TY","EQY_FUND_CRNCY=USD","FA_ADJUSTED=Y")</f>
        <v>#NAME?</v>
      </c>
      <c r="AS101" s="36" t="e">
        <f ca="1">_xll.BDP($AD101,AS$10,"EQY_FUND_CRNCY=USD","FA_ADJUSTED=Y")</f>
        <v>#NAME?</v>
      </c>
      <c r="AT101" s="36" t="e">
        <f ca="1">_xll.BDP($AD101,AT$10,"BEST_FPERIOD_OVERRIDE=1TY","EQY_FUND_CRNCY=USD","FA_ADJUSTED=Y")</f>
        <v>#NAME?</v>
      </c>
      <c r="AV101" s="1" t="s">
        <v>175</v>
      </c>
      <c r="AW101" s="1" t="s">
        <v>176</v>
      </c>
      <c r="AX101" s="36" t="s">
        <v>495</v>
      </c>
      <c r="AY101" s="36">
        <v>2921.7831000000001</v>
      </c>
      <c r="AZ101" s="36">
        <v>3540.5491000000002</v>
      </c>
      <c r="BA101" s="36">
        <v>996.43500000000006</v>
      </c>
      <c r="BB101" s="36">
        <v>1060</v>
      </c>
      <c r="BC101" s="44">
        <v>6.3792419977218628E-2</v>
      </c>
      <c r="BD101" s="36">
        <v>549.45199468994144</v>
      </c>
      <c r="BE101" s="36">
        <v>53.332999999999998</v>
      </c>
      <c r="BF101" s="36">
        <v>136.92099999999999</v>
      </c>
      <c r="BG101" s="36">
        <v>107.88500000000001</v>
      </c>
      <c r="BH101" s="36">
        <v>153.03200000000001</v>
      </c>
      <c r="BI101" s="36">
        <v>214.69400000000002</v>
      </c>
      <c r="BJ101" s="36">
        <v>279.60000000000002</v>
      </c>
      <c r="BK101" s="36">
        <v>48.026550000000007</v>
      </c>
      <c r="BL101" s="36">
        <v>108.74000000000001</v>
      </c>
    </row>
    <row r="102" spans="2:64" ht="30" customHeight="1" x14ac:dyDescent="0.2">
      <c r="B102" s="87"/>
      <c r="C102" s="87"/>
      <c r="AD102" s="1" t="s">
        <v>177</v>
      </c>
      <c r="AE102" s="1" t="s">
        <v>178</v>
      </c>
      <c r="AF102" s="36" t="e">
        <f ca="1">_xll.BDP($AD102,AF$10)</f>
        <v>#NAME?</v>
      </c>
      <c r="AG102" s="36" t="e">
        <f ca="1">_xll.BDH($AD102,AG$10,$C$5,$C$5,"EQY_FUND_CRNCY=USD")</f>
        <v>#NAME?</v>
      </c>
      <c r="AH102" s="36" t="e">
        <f ca="1">_xll.BDH($AD102,AH$10,$C$5,$C$5,"EQY_FUND_CRNCY=USD")</f>
        <v>#NAME?</v>
      </c>
      <c r="AI102" s="36" t="e">
        <f ca="1">_xll.BDP($AD102,AI$10,"EQY_FUND_CRNCY=USD","FA_ADJUSTED=Y")</f>
        <v>#NAME?</v>
      </c>
      <c r="AJ102" s="36" t="e">
        <f ca="1">_xll.BDP($AD102,AJ$10,"BEST_FPERIOD_OVERRIDE=1TY","EQY_FUND_CRNCY=USD","FA_ADJUSTED=Y")</f>
        <v>#NAME?</v>
      </c>
      <c r="AK102" s="44" t="e">
        <f t="shared" ca="1" si="19"/>
        <v>#NAME?</v>
      </c>
      <c r="AL102" s="36" t="e">
        <f ca="1">_xll.BDP($AD102,AL$10,"EQY_FUND_CRNCY=USD","FA_ADJUSTED=Y")</f>
        <v>#NAME?</v>
      </c>
      <c r="AM102" s="36" t="e">
        <f ca="1">_xll.BDP($AD102,AM$10,"BEST_FPERIOD_OVERRIDE=1TY","EQY_FUND_CRNCY=USD","FA_ADJUSTED=Y")</f>
        <v>#NAME?</v>
      </c>
      <c r="AN102" s="36" t="e">
        <f ca="1">_xll.BDP($AD102,AN$10,"BEST_FPERIOD_OVERRIDE=1TY","EQY_FUND_CRNCY=USD","FA_ADJUSTED=Y")</f>
        <v>#NAME?</v>
      </c>
      <c r="AO102" s="36" t="e">
        <f ca="1">_xll.BDP($AD102,AO$10,"BEST_FPERIOD_OVERRIDE=1TY","EQY_FUND_CRNCY=USD","FA_ADJUSTED=Y")</f>
        <v>#NAME?</v>
      </c>
      <c r="AP102" s="36" t="e">
        <f ca="1">_xll.BDP($AD102,AP$10,"BEST_FPERIOD_OVERRIDE=1TY","EQY_FUND_CRNCY=USD","FA_ADJUSTED=Y")</f>
        <v>#NAME?</v>
      </c>
      <c r="AQ102" s="36" t="e">
        <f ca="1">_xll.BDP($AD102,AQ$10,"EQY_FUND_CRNCY=USD","FA_ADJUSTED=Y")</f>
        <v>#NAME?</v>
      </c>
      <c r="AR102" s="36" t="e">
        <f ca="1">_xll.BDP($AD102,AR$10,"BEST_FPERIOD_OVERRIDE=1TY","EQY_FUND_CRNCY=USD","FA_ADJUSTED=Y")</f>
        <v>#NAME?</v>
      </c>
      <c r="AS102" s="36" t="e">
        <f ca="1">_xll.BDP($AD102,AS$10,"EQY_FUND_CRNCY=USD","FA_ADJUSTED=Y")</f>
        <v>#NAME?</v>
      </c>
      <c r="AT102" s="36" t="e">
        <f ca="1">_xll.BDP($AD102,AT$10,"BEST_FPERIOD_OVERRIDE=1TY","EQY_FUND_CRNCY=USD","FA_ADJUSTED=Y")</f>
        <v>#NAME?</v>
      </c>
      <c r="AV102" s="1" t="s">
        <v>177</v>
      </c>
      <c r="AW102" s="1" t="s">
        <v>178</v>
      </c>
      <c r="AX102" s="36" t="s">
        <v>495</v>
      </c>
      <c r="AY102" s="36">
        <v>2940.2168000000001</v>
      </c>
      <c r="AZ102" s="36">
        <v>3342.4558000000002</v>
      </c>
      <c r="BA102" s="36">
        <v>1198.9859999999999</v>
      </c>
      <c r="BB102" s="36">
        <v>1271.2</v>
      </c>
      <c r="BC102" s="44">
        <v>6.0229227030174082E-2</v>
      </c>
      <c r="BD102" s="36">
        <v>770.49898681640627</v>
      </c>
      <c r="BE102" s="36">
        <v>65.567000000000007</v>
      </c>
      <c r="BF102" s="36">
        <v>190.643</v>
      </c>
      <c r="BG102" s="36" t="s">
        <v>480</v>
      </c>
      <c r="BH102" s="36" t="s">
        <v>480</v>
      </c>
      <c r="BI102" s="36">
        <v>212.02799999999999</v>
      </c>
      <c r="BJ102" s="36">
        <v>291.33300000000003</v>
      </c>
      <c r="BK102" s="36">
        <v>54.014695631445996</v>
      </c>
      <c r="BL102" s="36">
        <v>213.55</v>
      </c>
    </row>
    <row r="103" spans="2:64" ht="30" customHeight="1" x14ac:dyDescent="0.2">
      <c r="B103" s="45" t="s">
        <v>496</v>
      </c>
      <c r="C103" s="45"/>
      <c r="AD103" s="1" t="s">
        <v>179</v>
      </c>
      <c r="AE103" s="1" t="s">
        <v>180</v>
      </c>
      <c r="AF103" s="36" t="e">
        <f ca="1">_xll.BDP($AD103,AF$10)</f>
        <v>#NAME?</v>
      </c>
      <c r="AG103" s="36" t="e">
        <f ca="1">_xll.BDH($AD103,AG$10,$C$5,$C$5,"EQY_FUND_CRNCY=USD")</f>
        <v>#NAME?</v>
      </c>
      <c r="AH103" s="36" t="e">
        <f ca="1">_xll.BDH($AD103,AH$10,$C$5,$C$5,"EQY_FUND_CRNCY=USD")</f>
        <v>#NAME?</v>
      </c>
      <c r="AI103" s="36" t="e">
        <f ca="1">_xll.BDP($AD103,AI$10,"EQY_FUND_CRNCY=USD","FA_ADJUSTED=Y")</f>
        <v>#NAME?</v>
      </c>
      <c r="AJ103" s="36" t="e">
        <f ca="1">_xll.BDP($AD103,AJ$10,"BEST_FPERIOD_OVERRIDE=1TY","EQY_FUND_CRNCY=USD","FA_ADJUSTED=Y")</f>
        <v>#NAME?</v>
      </c>
      <c r="AK103" s="44" t="e">
        <f t="shared" ca="1" si="19"/>
        <v>#NAME?</v>
      </c>
      <c r="AL103" s="36" t="e">
        <f ca="1">_xll.BDP($AD103,AL$10,"EQY_FUND_CRNCY=USD","FA_ADJUSTED=Y")</f>
        <v>#NAME?</v>
      </c>
      <c r="AM103" s="36" t="e">
        <f ca="1">_xll.BDP($AD103,AM$10,"BEST_FPERIOD_OVERRIDE=1TY","EQY_FUND_CRNCY=USD","FA_ADJUSTED=Y")</f>
        <v>#NAME?</v>
      </c>
      <c r="AN103" s="36" t="e">
        <f ca="1">_xll.BDP($AD103,AN$10,"BEST_FPERIOD_OVERRIDE=1TY","EQY_FUND_CRNCY=USD","FA_ADJUSTED=Y")</f>
        <v>#NAME?</v>
      </c>
      <c r="AO103" s="36" t="e">
        <f ca="1">_xll.BDP($AD103,AO$10,"BEST_FPERIOD_OVERRIDE=1TY","EQY_FUND_CRNCY=USD","FA_ADJUSTED=Y")</f>
        <v>#NAME?</v>
      </c>
      <c r="AP103" s="36" t="e">
        <f ca="1">_xll.BDP($AD103,AP$10,"BEST_FPERIOD_OVERRIDE=1TY","EQY_FUND_CRNCY=USD","FA_ADJUSTED=Y")</f>
        <v>#NAME?</v>
      </c>
      <c r="AQ103" s="36" t="e">
        <f ca="1">_xll.BDP($AD103,AQ$10,"EQY_FUND_CRNCY=USD","FA_ADJUSTED=Y")</f>
        <v>#NAME?</v>
      </c>
      <c r="AR103" s="36" t="e">
        <f ca="1">_xll.BDP($AD103,AR$10,"BEST_FPERIOD_OVERRIDE=1TY","EQY_FUND_CRNCY=USD","FA_ADJUSTED=Y")</f>
        <v>#NAME?</v>
      </c>
      <c r="AS103" s="36" t="e">
        <f ca="1">_xll.BDP($AD103,AS$10,"EQY_FUND_CRNCY=USD","FA_ADJUSTED=Y")</f>
        <v>#NAME?</v>
      </c>
      <c r="AT103" s="36" t="e">
        <f ca="1">_xll.BDP($AD103,AT$10,"BEST_FPERIOD_OVERRIDE=1TY","EQY_FUND_CRNCY=USD","FA_ADJUSTED=Y")</f>
        <v>#NAME?</v>
      </c>
      <c r="AV103" s="1" t="s">
        <v>179</v>
      </c>
      <c r="AW103" s="1" t="s">
        <v>180</v>
      </c>
      <c r="AX103" s="36" t="s">
        <v>495</v>
      </c>
      <c r="AY103" s="36">
        <v>2813.1309000000001</v>
      </c>
      <c r="AZ103" s="36">
        <v>2710.8598999999999</v>
      </c>
      <c r="BA103" s="36">
        <v>519.38200000000006</v>
      </c>
      <c r="BB103" s="36">
        <v>532.57500000000005</v>
      </c>
      <c r="BC103" s="44">
        <v>2.540134236457936E-2</v>
      </c>
      <c r="BD103" s="36">
        <v>372.4000010986328</v>
      </c>
      <c r="BE103" s="36">
        <v>74.260000000000005</v>
      </c>
      <c r="BF103" s="36">
        <v>61.974999999999994</v>
      </c>
      <c r="BG103" s="36">
        <v>240.27099999999999</v>
      </c>
      <c r="BH103" s="36">
        <v>84.588999999999999</v>
      </c>
      <c r="BI103" s="36">
        <v>15.740000000000002</v>
      </c>
      <c r="BJ103" s="36">
        <v>115.2</v>
      </c>
      <c r="BK103" s="36">
        <v>-40.478999999999999</v>
      </c>
      <c r="BL103" s="36">
        <v>56.395000000000003</v>
      </c>
    </row>
    <row r="104" spans="2:64" ht="15.6" customHeight="1" x14ac:dyDescent="0.2">
      <c r="B104" s="10" t="s">
        <v>424</v>
      </c>
      <c r="C104" s="10" t="s">
        <v>425</v>
      </c>
      <c r="AD104" s="1" t="s">
        <v>181</v>
      </c>
      <c r="AE104" s="1" t="s">
        <v>182</v>
      </c>
      <c r="AF104" s="36" t="e">
        <f ca="1">_xll.BDP($AD104,AF$10)</f>
        <v>#NAME?</v>
      </c>
      <c r="AG104" s="36" t="e">
        <f ca="1">_xll.BDH($AD104,AG$10,$C$5,$C$5,"EQY_FUND_CRNCY=USD")</f>
        <v>#NAME?</v>
      </c>
      <c r="AH104" s="36" t="e">
        <f ca="1">_xll.BDH($AD104,AH$10,$C$5,$C$5,"EQY_FUND_CRNCY=USD")</f>
        <v>#NAME?</v>
      </c>
      <c r="AI104" s="36" t="e">
        <f ca="1">_xll.BDP($AD104,AI$10,"EQY_FUND_CRNCY=USD","FA_ADJUSTED=Y")</f>
        <v>#NAME?</v>
      </c>
      <c r="AJ104" s="36" t="e">
        <f ca="1">_xll.BDP($AD104,AJ$10,"BEST_FPERIOD_OVERRIDE=1TY","EQY_FUND_CRNCY=USD","FA_ADJUSTED=Y")</f>
        <v>#NAME?</v>
      </c>
      <c r="AK104" s="44" t="e">
        <f t="shared" ca="1" si="19"/>
        <v>#NAME?</v>
      </c>
      <c r="AL104" s="36" t="e">
        <f ca="1">_xll.BDP($AD104,AL$10,"EQY_FUND_CRNCY=USD","FA_ADJUSTED=Y")</f>
        <v>#NAME?</v>
      </c>
      <c r="AM104" s="36" t="e">
        <f ca="1">_xll.BDP($AD104,AM$10,"BEST_FPERIOD_OVERRIDE=1TY","EQY_FUND_CRNCY=USD","FA_ADJUSTED=Y")</f>
        <v>#NAME?</v>
      </c>
      <c r="AN104" s="36" t="e">
        <f ca="1">_xll.BDP($AD104,AN$10,"BEST_FPERIOD_OVERRIDE=1TY","EQY_FUND_CRNCY=USD","FA_ADJUSTED=Y")</f>
        <v>#NAME?</v>
      </c>
      <c r="AO104" s="36" t="e">
        <f ca="1">_xll.BDP($AD104,AO$10,"BEST_FPERIOD_OVERRIDE=1TY","EQY_FUND_CRNCY=USD","FA_ADJUSTED=Y")</f>
        <v>#NAME?</v>
      </c>
      <c r="AP104" s="36" t="e">
        <f ca="1">_xll.BDP($AD104,AP$10,"BEST_FPERIOD_OVERRIDE=1TY","EQY_FUND_CRNCY=USD","FA_ADJUSTED=Y")</f>
        <v>#NAME?</v>
      </c>
      <c r="AQ104" s="36" t="e">
        <f ca="1">_xll.BDP($AD104,AQ$10,"EQY_FUND_CRNCY=USD","FA_ADJUSTED=Y")</f>
        <v>#NAME?</v>
      </c>
      <c r="AR104" s="36" t="e">
        <f ca="1">_xll.BDP($AD104,AR$10,"BEST_FPERIOD_OVERRIDE=1TY","EQY_FUND_CRNCY=USD","FA_ADJUSTED=Y")</f>
        <v>#NAME?</v>
      </c>
      <c r="AS104" s="36" t="e">
        <f ca="1">_xll.BDP($AD104,AS$10,"EQY_FUND_CRNCY=USD","FA_ADJUSTED=Y")</f>
        <v>#NAME?</v>
      </c>
      <c r="AT104" s="36" t="e">
        <f ca="1">_xll.BDP($AD104,AT$10,"BEST_FPERIOD_OVERRIDE=1TY","EQY_FUND_CRNCY=USD","FA_ADJUSTED=Y")</f>
        <v>#NAME?</v>
      </c>
      <c r="AV104" s="1" t="s">
        <v>181</v>
      </c>
      <c r="AW104" s="1" t="s">
        <v>182</v>
      </c>
      <c r="AX104" s="36" t="s">
        <v>495</v>
      </c>
      <c r="AY104" s="36">
        <v>2765.9047</v>
      </c>
      <c r="AZ104" s="36">
        <v>2781.2797</v>
      </c>
      <c r="BA104" s="36">
        <v>394.09599999999995</v>
      </c>
      <c r="BB104" s="36">
        <v>427.56700000000001</v>
      </c>
      <c r="BC104" s="44">
        <v>8.4931082781860345E-2</v>
      </c>
      <c r="BD104" s="36">
        <v>220.96600073242186</v>
      </c>
      <c r="BE104" s="36">
        <v>57.550000000000004</v>
      </c>
      <c r="BF104" s="36">
        <v>57.309999999999995</v>
      </c>
      <c r="BG104" s="36">
        <v>85.912000000000006</v>
      </c>
      <c r="BH104" s="36">
        <v>49.837000000000003</v>
      </c>
      <c r="BI104" s="36">
        <v>54.477999999999994</v>
      </c>
      <c r="BJ104" s="36">
        <v>103.52500000000001</v>
      </c>
      <c r="BK104" s="36">
        <v>4.2689791113369981</v>
      </c>
      <c r="BL104" s="36">
        <v>61.438000000000002</v>
      </c>
    </row>
    <row r="105" spans="2:64" ht="30" customHeight="1" x14ac:dyDescent="0.2">
      <c r="B105" s="54" t="s">
        <v>467</v>
      </c>
      <c r="C105" s="54" t="e">
        <f>VLOOKUP($B105,#REF!,COLUMNS($B105:C105),0)</f>
        <v>#REF!</v>
      </c>
      <c r="AD105" s="1" t="s">
        <v>183</v>
      </c>
      <c r="AE105" s="1" t="s">
        <v>184</v>
      </c>
      <c r="AF105" s="36" t="e">
        <f ca="1">_xll.BDP($AD105,AF$10)</f>
        <v>#NAME?</v>
      </c>
      <c r="AG105" s="36" t="e">
        <f ca="1">_xll.BDH($AD105,AG$10,$C$5,$C$5,"EQY_FUND_CRNCY=USD")</f>
        <v>#NAME?</v>
      </c>
      <c r="AH105" s="36" t="e">
        <f ca="1">_xll.BDH($AD105,AH$10,$C$5,$C$5,"EQY_FUND_CRNCY=USD")</f>
        <v>#NAME?</v>
      </c>
      <c r="AI105" s="36" t="e">
        <f ca="1">_xll.BDP($AD105,AI$10,"EQY_FUND_CRNCY=USD","FA_ADJUSTED=Y")</f>
        <v>#NAME?</v>
      </c>
      <c r="AJ105" s="36" t="e">
        <f ca="1">_xll.BDP($AD105,AJ$10,"BEST_FPERIOD_OVERRIDE=1TY","EQY_FUND_CRNCY=USD","FA_ADJUSTED=Y")</f>
        <v>#NAME?</v>
      </c>
      <c r="AK105" s="44" t="e">
        <f t="shared" ca="1" si="19"/>
        <v>#NAME?</v>
      </c>
      <c r="AL105" s="36" t="e">
        <f ca="1">_xll.BDP($AD105,AL$10,"EQY_FUND_CRNCY=USD","FA_ADJUSTED=Y")</f>
        <v>#NAME?</v>
      </c>
      <c r="AM105" s="36" t="e">
        <f ca="1">_xll.BDP($AD105,AM$10,"BEST_FPERIOD_OVERRIDE=1TY","EQY_FUND_CRNCY=USD","FA_ADJUSTED=Y")</f>
        <v>#NAME?</v>
      </c>
      <c r="AN105" s="36" t="e">
        <f ca="1">_xll.BDP($AD105,AN$10,"BEST_FPERIOD_OVERRIDE=1TY","EQY_FUND_CRNCY=USD","FA_ADJUSTED=Y")</f>
        <v>#NAME?</v>
      </c>
      <c r="AO105" s="36" t="e">
        <f ca="1">_xll.BDP($AD105,AO$10,"BEST_FPERIOD_OVERRIDE=1TY","EQY_FUND_CRNCY=USD","FA_ADJUSTED=Y")</f>
        <v>#NAME?</v>
      </c>
      <c r="AP105" s="36" t="e">
        <f ca="1">_xll.BDP($AD105,AP$10,"BEST_FPERIOD_OVERRIDE=1TY","EQY_FUND_CRNCY=USD","FA_ADJUSTED=Y")</f>
        <v>#NAME?</v>
      </c>
      <c r="AQ105" s="36" t="e">
        <f ca="1">_xll.BDP($AD105,AQ$10,"EQY_FUND_CRNCY=USD","FA_ADJUSTED=Y")</f>
        <v>#NAME?</v>
      </c>
      <c r="AR105" s="36" t="e">
        <f ca="1">_xll.BDP($AD105,AR$10,"BEST_FPERIOD_OVERRIDE=1TY","EQY_FUND_CRNCY=USD","FA_ADJUSTED=Y")</f>
        <v>#NAME?</v>
      </c>
      <c r="AS105" s="36" t="e">
        <f ca="1">_xll.BDP($AD105,AS$10,"EQY_FUND_CRNCY=USD","FA_ADJUSTED=Y")</f>
        <v>#NAME?</v>
      </c>
      <c r="AT105" s="36" t="e">
        <f ca="1">_xll.BDP($AD105,AT$10,"BEST_FPERIOD_OVERRIDE=1TY","EQY_FUND_CRNCY=USD","FA_ADJUSTED=Y")</f>
        <v>#NAME?</v>
      </c>
      <c r="AV105" s="1" t="s">
        <v>183</v>
      </c>
      <c r="AW105" s="1" t="s">
        <v>184</v>
      </c>
      <c r="AX105" s="36" t="s">
        <v>495</v>
      </c>
      <c r="AY105" s="36">
        <v>2781.9353000000001</v>
      </c>
      <c r="AZ105" s="36">
        <v>2538.9832999999999</v>
      </c>
      <c r="BA105" s="36">
        <v>462.851</v>
      </c>
      <c r="BB105" s="36">
        <v>534.75</v>
      </c>
      <c r="BC105" s="44">
        <v>0.15533940728225715</v>
      </c>
      <c r="BD105" s="36">
        <v>273.98900335693361</v>
      </c>
      <c r="BE105" s="36">
        <v>59.332999999999998</v>
      </c>
      <c r="BF105" s="36">
        <v>69.265999999999991</v>
      </c>
      <c r="BG105" s="36">
        <v>65.042000000000002</v>
      </c>
      <c r="BH105" s="36">
        <v>79.686000000000007</v>
      </c>
      <c r="BI105" s="36">
        <v>85.867999999999995</v>
      </c>
      <c r="BJ105" s="36">
        <v>150.49700000000001</v>
      </c>
      <c r="BK105" s="36">
        <v>19.337490000000003</v>
      </c>
      <c r="BL105" s="36">
        <v>76.745000000000005</v>
      </c>
    </row>
    <row r="106" spans="2:64" ht="30" customHeight="1" x14ac:dyDescent="0.2">
      <c r="B106" s="62" t="s">
        <v>468</v>
      </c>
      <c r="C106" s="62" t="e">
        <f>VLOOKUP($B106,#REF!,COLUMNS($B106:C106),0)</f>
        <v>#REF!</v>
      </c>
      <c r="AD106" s="1" t="s">
        <v>185</v>
      </c>
      <c r="AE106" s="1" t="s">
        <v>186</v>
      </c>
      <c r="AF106" s="36" t="e">
        <f ca="1">_xll.BDP($AD106,AF$10)</f>
        <v>#NAME?</v>
      </c>
      <c r="AG106" s="36" t="e">
        <f ca="1">_xll.BDH($AD106,AG$10,$C$5,$C$5,"EQY_FUND_CRNCY=USD")</f>
        <v>#NAME?</v>
      </c>
      <c r="AH106" s="36" t="e">
        <f ca="1">_xll.BDH($AD106,AH$10,$C$5,$C$5,"EQY_FUND_CRNCY=USD")</f>
        <v>#NAME?</v>
      </c>
      <c r="AI106" s="36" t="e">
        <f ca="1">_xll.BDP($AD106,AI$10,"EQY_FUND_CRNCY=USD","FA_ADJUSTED=Y")</f>
        <v>#NAME?</v>
      </c>
      <c r="AJ106" s="36" t="e">
        <f ca="1">_xll.BDP($AD106,AJ$10,"BEST_FPERIOD_OVERRIDE=1TY","EQY_FUND_CRNCY=USD","FA_ADJUSTED=Y")</f>
        <v>#NAME?</v>
      </c>
      <c r="AK106" s="44" t="e">
        <f t="shared" ca="1" si="19"/>
        <v>#NAME?</v>
      </c>
      <c r="AL106" s="36" t="e">
        <f ca="1">_xll.BDP($AD106,AL$10,"EQY_FUND_CRNCY=USD","FA_ADJUSTED=Y")</f>
        <v>#NAME?</v>
      </c>
      <c r="AM106" s="36" t="e">
        <f ca="1">_xll.BDP($AD106,AM$10,"BEST_FPERIOD_OVERRIDE=1TY","EQY_FUND_CRNCY=USD","FA_ADJUSTED=Y")</f>
        <v>#NAME?</v>
      </c>
      <c r="AN106" s="36" t="e">
        <f ca="1">_xll.BDP($AD106,AN$10,"BEST_FPERIOD_OVERRIDE=1TY","EQY_FUND_CRNCY=USD","FA_ADJUSTED=Y")</f>
        <v>#NAME?</v>
      </c>
      <c r="AO106" s="36" t="e">
        <f ca="1">_xll.BDP($AD106,AO$10,"BEST_FPERIOD_OVERRIDE=1TY","EQY_FUND_CRNCY=USD","FA_ADJUSTED=Y")</f>
        <v>#NAME?</v>
      </c>
      <c r="AP106" s="36" t="e">
        <f ca="1">_xll.BDP($AD106,AP$10,"BEST_FPERIOD_OVERRIDE=1TY","EQY_FUND_CRNCY=USD","FA_ADJUSTED=Y")</f>
        <v>#NAME?</v>
      </c>
      <c r="AQ106" s="36" t="e">
        <f ca="1">_xll.BDP($AD106,AQ$10,"EQY_FUND_CRNCY=USD","FA_ADJUSTED=Y")</f>
        <v>#NAME?</v>
      </c>
      <c r="AR106" s="36" t="e">
        <f ca="1">_xll.BDP($AD106,AR$10,"BEST_FPERIOD_OVERRIDE=1TY","EQY_FUND_CRNCY=USD","FA_ADJUSTED=Y")</f>
        <v>#NAME?</v>
      </c>
      <c r="AS106" s="36" t="e">
        <f ca="1">_xll.BDP($AD106,AS$10,"EQY_FUND_CRNCY=USD","FA_ADJUSTED=Y")</f>
        <v>#NAME?</v>
      </c>
      <c r="AT106" s="36" t="e">
        <f ca="1">_xll.BDP($AD106,AT$10,"BEST_FPERIOD_OVERRIDE=1TY","EQY_FUND_CRNCY=USD","FA_ADJUSTED=Y")</f>
        <v>#NAME?</v>
      </c>
      <c r="AV106" s="1" t="s">
        <v>185</v>
      </c>
      <c r="AW106" s="1" t="s">
        <v>186</v>
      </c>
      <c r="AX106" s="36" t="s">
        <v>495</v>
      </c>
      <c r="AY106" s="36">
        <v>2694.8279000000002</v>
      </c>
      <c r="AZ106" s="36">
        <v>2584.7898</v>
      </c>
      <c r="BA106" s="36">
        <v>554.70800000000008</v>
      </c>
      <c r="BB106" s="36">
        <v>668.68299999999999</v>
      </c>
      <c r="BC106" s="44">
        <v>0.20546846268667451</v>
      </c>
      <c r="BD106" s="36">
        <v>403.28800524902346</v>
      </c>
      <c r="BE106" s="36">
        <v>73.040000000000006</v>
      </c>
      <c r="BF106" s="36">
        <v>136.791</v>
      </c>
      <c r="BG106" s="36">
        <v>303.31900000000002</v>
      </c>
      <c r="BH106" s="36">
        <v>84.805000000000007</v>
      </c>
      <c r="BI106" s="36">
        <v>-104.10600000000001</v>
      </c>
      <c r="BJ106" s="36">
        <v>37.133000000000003</v>
      </c>
      <c r="BK106" s="36">
        <v>-150.31100000000001</v>
      </c>
      <c r="BL106" s="36">
        <v>-2.8890000000000002</v>
      </c>
    </row>
    <row r="107" spans="2:64" ht="30" customHeight="1" x14ac:dyDescent="0.2">
      <c r="B107" s="62" t="s">
        <v>469</v>
      </c>
      <c r="C107" s="62" t="e">
        <f>VLOOKUP($B107,#REF!,COLUMNS($B107:C107),0)</f>
        <v>#REF!</v>
      </c>
      <c r="AD107" s="1" t="s">
        <v>187</v>
      </c>
      <c r="AE107" s="1" t="s">
        <v>188</v>
      </c>
      <c r="AF107" s="36" t="e">
        <f ca="1">_xll.BDP($AD107,AF$10)</f>
        <v>#NAME?</v>
      </c>
      <c r="AG107" s="36" t="e">
        <f ca="1">_xll.BDH($AD107,AG$10,$C$5,$C$5,"EQY_FUND_CRNCY=USD")</f>
        <v>#NAME?</v>
      </c>
      <c r="AH107" s="36" t="e">
        <f ca="1">_xll.BDH($AD107,AH$10,$C$5,$C$5,"EQY_FUND_CRNCY=USD")</f>
        <v>#NAME?</v>
      </c>
      <c r="AI107" s="36" t="e">
        <f ca="1">_xll.BDP($AD107,AI$10,"EQY_FUND_CRNCY=USD","FA_ADJUSTED=Y")</f>
        <v>#NAME?</v>
      </c>
      <c r="AJ107" s="36" t="e">
        <f ca="1">_xll.BDP($AD107,AJ$10,"BEST_FPERIOD_OVERRIDE=1TY","EQY_FUND_CRNCY=USD","FA_ADJUSTED=Y")</f>
        <v>#NAME?</v>
      </c>
      <c r="AK107" s="44" t="e">
        <f t="shared" ca="1" si="19"/>
        <v>#NAME?</v>
      </c>
      <c r="AL107" s="36" t="e">
        <f ca="1">_xll.BDP($AD107,AL$10,"EQY_FUND_CRNCY=USD","FA_ADJUSTED=Y")</f>
        <v>#NAME?</v>
      </c>
      <c r="AM107" s="36" t="e">
        <f ca="1">_xll.BDP($AD107,AM$10,"BEST_FPERIOD_OVERRIDE=1TY","EQY_FUND_CRNCY=USD","FA_ADJUSTED=Y")</f>
        <v>#NAME?</v>
      </c>
      <c r="AN107" s="36" t="e">
        <f ca="1">_xll.BDP($AD107,AN$10,"BEST_FPERIOD_OVERRIDE=1TY","EQY_FUND_CRNCY=USD","FA_ADJUSTED=Y")</f>
        <v>#NAME?</v>
      </c>
      <c r="AO107" s="36" t="e">
        <f ca="1">_xll.BDP($AD107,AO$10,"BEST_FPERIOD_OVERRIDE=1TY","EQY_FUND_CRNCY=USD","FA_ADJUSTED=Y")</f>
        <v>#NAME?</v>
      </c>
      <c r="AP107" s="36" t="e">
        <f ca="1">_xll.BDP($AD107,AP$10,"BEST_FPERIOD_OVERRIDE=1TY","EQY_FUND_CRNCY=USD","FA_ADJUSTED=Y")</f>
        <v>#NAME?</v>
      </c>
      <c r="AQ107" s="36" t="e">
        <f ca="1">_xll.BDP($AD107,AQ$10,"EQY_FUND_CRNCY=USD","FA_ADJUSTED=Y")</f>
        <v>#NAME?</v>
      </c>
      <c r="AR107" s="36" t="e">
        <f ca="1">_xll.BDP($AD107,AR$10,"BEST_FPERIOD_OVERRIDE=1TY","EQY_FUND_CRNCY=USD","FA_ADJUSTED=Y")</f>
        <v>#NAME?</v>
      </c>
      <c r="AS107" s="36" t="e">
        <f ca="1">_xll.BDP($AD107,AS$10,"EQY_FUND_CRNCY=USD","FA_ADJUSTED=Y")</f>
        <v>#NAME?</v>
      </c>
      <c r="AT107" s="36" t="e">
        <f ca="1">_xll.BDP($AD107,AT$10,"BEST_FPERIOD_OVERRIDE=1TY","EQY_FUND_CRNCY=USD","FA_ADJUSTED=Y")</f>
        <v>#NAME?</v>
      </c>
      <c r="AV107" s="1" t="s">
        <v>187</v>
      </c>
      <c r="AW107" s="1" t="s">
        <v>188</v>
      </c>
      <c r="AX107" s="36" t="s">
        <v>505</v>
      </c>
      <c r="AY107" s="36">
        <v>2707.2824000000001</v>
      </c>
      <c r="AZ107" s="36">
        <v>2961.8824</v>
      </c>
      <c r="BA107" s="36">
        <v>187.727</v>
      </c>
      <c r="BB107" s="36">
        <v>294.17700000000002</v>
      </c>
      <c r="BC107" s="44">
        <v>0.56704682863946054</v>
      </c>
      <c r="BD107" s="36">
        <v>162.13900000000001</v>
      </c>
      <c r="BE107" s="36">
        <v>82.54</v>
      </c>
      <c r="BF107" s="36">
        <v>57.672999999999995</v>
      </c>
      <c r="BG107" s="36">
        <v>116.29900000000001</v>
      </c>
      <c r="BH107" s="36">
        <v>28.927</v>
      </c>
      <c r="BI107" s="36">
        <v>-36.067999999999998</v>
      </c>
      <c r="BJ107" s="36">
        <v>-63.645000000000003</v>
      </c>
      <c r="BK107" s="36">
        <v>-41.021999999999998</v>
      </c>
      <c r="BL107" s="36">
        <v>-68.793000000000006</v>
      </c>
    </row>
    <row r="108" spans="2:64" ht="30" customHeight="1" x14ac:dyDescent="0.2">
      <c r="B108" s="62" t="s">
        <v>472</v>
      </c>
      <c r="C108" s="62" t="e">
        <f>VLOOKUP($B108,#REF!,COLUMNS($B108:C108),0)</f>
        <v>#REF!</v>
      </c>
      <c r="AD108" s="1" t="s">
        <v>189</v>
      </c>
      <c r="AE108" s="1" t="s">
        <v>190</v>
      </c>
      <c r="AF108" s="36" t="e">
        <f ca="1">_xll.BDP($AD108,AF$10)</f>
        <v>#NAME?</v>
      </c>
      <c r="AG108" s="36" t="e">
        <f ca="1">_xll.BDH($AD108,AG$10,$C$5,$C$5,"EQY_FUND_CRNCY=USD")</f>
        <v>#NAME?</v>
      </c>
      <c r="AH108" s="36" t="e">
        <f ca="1">_xll.BDH($AD108,AH$10,$C$5,$C$5,"EQY_FUND_CRNCY=USD")</f>
        <v>#NAME?</v>
      </c>
      <c r="AI108" s="36" t="e">
        <f ca="1">_xll.BDP($AD108,AI$10,"EQY_FUND_CRNCY=USD","FA_ADJUSTED=Y")</f>
        <v>#NAME?</v>
      </c>
      <c r="AJ108" s="36" t="e">
        <f ca="1">_xll.BDP($AD108,AJ$10,"BEST_FPERIOD_OVERRIDE=1TY","EQY_FUND_CRNCY=USD","FA_ADJUSTED=Y")</f>
        <v>#NAME?</v>
      </c>
      <c r="AK108" s="44" t="e">
        <f t="shared" ca="1" si="19"/>
        <v>#NAME?</v>
      </c>
      <c r="AL108" s="36" t="e">
        <f ca="1">_xll.BDP($AD108,AL$10,"EQY_FUND_CRNCY=USD","FA_ADJUSTED=Y")</f>
        <v>#NAME?</v>
      </c>
      <c r="AM108" s="36" t="e">
        <f ca="1">_xll.BDP($AD108,AM$10,"BEST_FPERIOD_OVERRIDE=1TY","EQY_FUND_CRNCY=USD","FA_ADJUSTED=Y")</f>
        <v>#NAME?</v>
      </c>
      <c r="AN108" s="36" t="e">
        <f ca="1">_xll.BDP($AD108,AN$10,"BEST_FPERIOD_OVERRIDE=1TY","EQY_FUND_CRNCY=USD","FA_ADJUSTED=Y")</f>
        <v>#NAME?</v>
      </c>
      <c r="AO108" s="36" t="e">
        <f ca="1">_xll.BDP($AD108,AO$10,"BEST_FPERIOD_OVERRIDE=1TY","EQY_FUND_CRNCY=USD","FA_ADJUSTED=Y")</f>
        <v>#NAME?</v>
      </c>
      <c r="AP108" s="36" t="e">
        <f ca="1">_xll.BDP($AD108,AP$10,"BEST_FPERIOD_OVERRIDE=1TY","EQY_FUND_CRNCY=USD","FA_ADJUSTED=Y")</f>
        <v>#NAME?</v>
      </c>
      <c r="AQ108" s="36" t="e">
        <f ca="1">_xll.BDP($AD108,AQ$10,"EQY_FUND_CRNCY=USD","FA_ADJUSTED=Y")</f>
        <v>#NAME?</v>
      </c>
      <c r="AR108" s="36" t="e">
        <f ca="1">_xll.BDP($AD108,AR$10,"BEST_FPERIOD_OVERRIDE=1TY","EQY_FUND_CRNCY=USD","FA_ADJUSTED=Y")</f>
        <v>#NAME?</v>
      </c>
      <c r="AS108" s="36" t="e">
        <f ca="1">_xll.BDP($AD108,AS$10,"EQY_FUND_CRNCY=USD","FA_ADJUSTED=Y")</f>
        <v>#NAME?</v>
      </c>
      <c r="AT108" s="36" t="e">
        <f ca="1">_xll.BDP($AD108,AT$10,"BEST_FPERIOD_OVERRIDE=1TY","EQY_FUND_CRNCY=USD","FA_ADJUSTED=Y")</f>
        <v>#NAME?</v>
      </c>
      <c r="AV108" s="1" t="s">
        <v>189</v>
      </c>
      <c r="AW108" s="1" t="s">
        <v>190</v>
      </c>
      <c r="AX108" s="36" t="s">
        <v>495</v>
      </c>
      <c r="AY108" s="36">
        <v>2698.6026999999999</v>
      </c>
      <c r="AZ108" s="36">
        <v>2363.1176</v>
      </c>
      <c r="BA108" s="36">
        <v>162.35999999999999</v>
      </c>
      <c r="BB108" s="36">
        <v>224.28800000000001</v>
      </c>
      <c r="BC108" s="44">
        <v>0.3814239960581427</v>
      </c>
      <c r="BD108" s="36">
        <v>140.40400271606444</v>
      </c>
      <c r="BE108" s="36">
        <v>87.478000000000009</v>
      </c>
      <c r="BF108" s="36">
        <v>29.341999999999999</v>
      </c>
      <c r="BG108" s="36">
        <v>66.42</v>
      </c>
      <c r="BH108" s="36">
        <v>32.241</v>
      </c>
      <c r="BI108" s="36">
        <v>-13.546000000000001</v>
      </c>
      <c r="BJ108" s="36">
        <v>-7.2229999999999999</v>
      </c>
      <c r="BK108" s="36">
        <v>-19.666589999999999</v>
      </c>
      <c r="BL108" s="36">
        <v>-15.01</v>
      </c>
    </row>
    <row r="109" spans="2:64" ht="30" customHeight="1" x14ac:dyDescent="0.2">
      <c r="B109" s="62" t="s">
        <v>474</v>
      </c>
      <c r="C109" s="62" t="e">
        <f>VLOOKUP($B109,#REF!,COLUMNS($B109:C109),0)</f>
        <v>#REF!</v>
      </c>
      <c r="AD109" s="1" t="s">
        <v>191</v>
      </c>
      <c r="AE109" s="1" t="s">
        <v>192</v>
      </c>
      <c r="AF109" s="36" t="e">
        <f ca="1">_xll.BDP($AD109,AF$10)</f>
        <v>#NAME?</v>
      </c>
      <c r="AG109" s="36" t="e">
        <f ca="1">_xll.BDH($AD109,AG$10,$C$5,$C$5,"EQY_FUND_CRNCY=USD")</f>
        <v>#NAME?</v>
      </c>
      <c r="AH109" s="36" t="e">
        <f ca="1">_xll.BDH($AD109,AH$10,$C$5,$C$5,"EQY_FUND_CRNCY=USD")</f>
        <v>#NAME?</v>
      </c>
      <c r="AI109" s="36" t="e">
        <f ca="1">_xll.BDP($AD109,AI$10,"EQY_FUND_CRNCY=USD","FA_ADJUSTED=Y")</f>
        <v>#NAME?</v>
      </c>
      <c r="AJ109" s="36" t="e">
        <f ca="1">_xll.BDP($AD109,AJ$10,"BEST_FPERIOD_OVERRIDE=1TY","EQY_FUND_CRNCY=USD","FA_ADJUSTED=Y")</f>
        <v>#NAME?</v>
      </c>
      <c r="AK109" s="44" t="e">
        <f t="shared" ca="1" si="19"/>
        <v>#NAME?</v>
      </c>
      <c r="AL109" s="36" t="e">
        <f ca="1">_xll.BDP($AD109,AL$10,"EQY_FUND_CRNCY=USD","FA_ADJUSTED=Y")</f>
        <v>#NAME?</v>
      </c>
      <c r="AM109" s="36" t="e">
        <f ca="1">_xll.BDP($AD109,AM$10,"BEST_FPERIOD_OVERRIDE=1TY","EQY_FUND_CRNCY=USD","FA_ADJUSTED=Y")</f>
        <v>#NAME?</v>
      </c>
      <c r="AN109" s="36" t="e">
        <f ca="1">_xll.BDP($AD109,AN$10,"BEST_FPERIOD_OVERRIDE=1TY","EQY_FUND_CRNCY=USD","FA_ADJUSTED=Y")</f>
        <v>#NAME?</v>
      </c>
      <c r="AO109" s="36" t="e">
        <f ca="1">_xll.BDP($AD109,AO$10,"BEST_FPERIOD_OVERRIDE=1TY","EQY_FUND_CRNCY=USD","FA_ADJUSTED=Y")</f>
        <v>#NAME?</v>
      </c>
      <c r="AP109" s="36" t="e">
        <f ca="1">_xll.BDP($AD109,AP$10,"BEST_FPERIOD_OVERRIDE=1TY","EQY_FUND_CRNCY=USD","FA_ADJUSTED=Y")</f>
        <v>#NAME?</v>
      </c>
      <c r="AQ109" s="36" t="e">
        <f ca="1">_xll.BDP($AD109,AQ$10,"EQY_FUND_CRNCY=USD","FA_ADJUSTED=Y")</f>
        <v>#NAME?</v>
      </c>
      <c r="AR109" s="36" t="e">
        <f ca="1">_xll.BDP($AD109,AR$10,"BEST_FPERIOD_OVERRIDE=1TY","EQY_FUND_CRNCY=USD","FA_ADJUSTED=Y")</f>
        <v>#NAME?</v>
      </c>
      <c r="AS109" s="36" t="e">
        <f ca="1">_xll.BDP($AD109,AS$10,"EQY_FUND_CRNCY=USD","FA_ADJUSTED=Y")</f>
        <v>#NAME?</v>
      </c>
      <c r="AT109" s="36" t="e">
        <f ca="1">_xll.BDP($AD109,AT$10,"BEST_FPERIOD_OVERRIDE=1TY","EQY_FUND_CRNCY=USD","FA_ADJUSTED=Y")</f>
        <v>#NAME?</v>
      </c>
      <c r="AV109" s="1" t="s">
        <v>191</v>
      </c>
      <c r="AW109" s="1" t="s">
        <v>192</v>
      </c>
      <c r="AX109" s="36" t="s">
        <v>505</v>
      </c>
      <c r="AY109" s="36">
        <v>2711.1356000000001</v>
      </c>
      <c r="AZ109" s="36">
        <v>2249.4695999999999</v>
      </c>
      <c r="BA109" s="36">
        <v>709.59799999999996</v>
      </c>
      <c r="BB109" s="36">
        <v>761.19500000000005</v>
      </c>
      <c r="BC109" s="44">
        <v>7.2713000882189682E-2</v>
      </c>
      <c r="BD109" s="36">
        <v>605.50099267578128</v>
      </c>
      <c r="BE109" s="36">
        <v>84.97</v>
      </c>
      <c r="BF109" s="36">
        <v>94.164000000000001</v>
      </c>
      <c r="BG109" s="36">
        <v>410.72699999999998</v>
      </c>
      <c r="BH109" s="36">
        <v>87.575000000000003</v>
      </c>
      <c r="BI109" s="36">
        <v>20.122</v>
      </c>
      <c r="BJ109" s="36">
        <v>127.75</v>
      </c>
      <c r="BK109" s="36">
        <v>-7.6881895614599998</v>
      </c>
      <c r="BL109" s="36">
        <v>84.094999999999999</v>
      </c>
    </row>
    <row r="110" spans="2:64" ht="30" customHeight="1" x14ac:dyDescent="0.2">
      <c r="B110" s="62" t="s">
        <v>475</v>
      </c>
      <c r="C110" s="62" t="e">
        <f>VLOOKUP($B110,#REF!,COLUMNS($B110:C110),0)</f>
        <v>#REF!</v>
      </c>
      <c r="AD110" s="1" t="s">
        <v>193</v>
      </c>
      <c r="AE110" s="1" t="s">
        <v>194</v>
      </c>
      <c r="AF110" s="36" t="e">
        <f ca="1">_xll.BDP($AD110,AF$10)</f>
        <v>#NAME?</v>
      </c>
      <c r="AG110" s="36" t="e">
        <f ca="1">_xll.BDH($AD110,AG$10,$C$5,$C$5,"EQY_FUND_CRNCY=USD")</f>
        <v>#NAME?</v>
      </c>
      <c r="AH110" s="36" t="e">
        <f ca="1">_xll.BDH($AD110,AH$10,$C$5,$C$5,"EQY_FUND_CRNCY=USD")</f>
        <v>#NAME?</v>
      </c>
      <c r="AI110" s="36" t="e">
        <f ca="1">_xll.BDP($AD110,AI$10,"EQY_FUND_CRNCY=USD","FA_ADJUSTED=Y")</f>
        <v>#NAME?</v>
      </c>
      <c r="AJ110" s="36" t="e">
        <f ca="1">_xll.BDP($AD110,AJ$10,"BEST_FPERIOD_OVERRIDE=1TY","EQY_FUND_CRNCY=USD","FA_ADJUSTED=Y")</f>
        <v>#NAME?</v>
      </c>
      <c r="AK110" s="44" t="e">
        <f t="shared" ca="1" si="19"/>
        <v>#NAME?</v>
      </c>
      <c r="AL110" s="36" t="e">
        <f ca="1">_xll.BDP($AD110,AL$10,"EQY_FUND_CRNCY=USD","FA_ADJUSTED=Y")</f>
        <v>#NAME?</v>
      </c>
      <c r="AM110" s="36" t="e">
        <f ca="1">_xll.BDP($AD110,AM$10,"BEST_FPERIOD_OVERRIDE=1TY","EQY_FUND_CRNCY=USD","FA_ADJUSTED=Y")</f>
        <v>#NAME?</v>
      </c>
      <c r="AN110" s="36" t="e">
        <f ca="1">_xll.BDP($AD110,AN$10,"BEST_FPERIOD_OVERRIDE=1TY","EQY_FUND_CRNCY=USD","FA_ADJUSTED=Y")</f>
        <v>#NAME?</v>
      </c>
      <c r="AO110" s="36" t="e">
        <f ca="1">_xll.BDP($AD110,AO$10,"BEST_FPERIOD_OVERRIDE=1TY","EQY_FUND_CRNCY=USD","FA_ADJUSTED=Y")</f>
        <v>#NAME?</v>
      </c>
      <c r="AP110" s="36" t="e">
        <f ca="1">_xll.BDP($AD110,AP$10,"BEST_FPERIOD_OVERRIDE=1TY","EQY_FUND_CRNCY=USD","FA_ADJUSTED=Y")</f>
        <v>#NAME?</v>
      </c>
      <c r="AQ110" s="36" t="e">
        <f ca="1">_xll.BDP($AD110,AQ$10,"EQY_FUND_CRNCY=USD","FA_ADJUSTED=Y")</f>
        <v>#NAME?</v>
      </c>
      <c r="AR110" s="36" t="e">
        <f ca="1">_xll.BDP($AD110,AR$10,"BEST_FPERIOD_OVERRIDE=1TY","EQY_FUND_CRNCY=USD","FA_ADJUSTED=Y")</f>
        <v>#NAME?</v>
      </c>
      <c r="AS110" s="36" t="e">
        <f ca="1">_xll.BDP($AD110,AS$10,"EQY_FUND_CRNCY=USD","FA_ADJUSTED=Y")</f>
        <v>#NAME?</v>
      </c>
      <c r="AT110" s="36" t="e">
        <f ca="1">_xll.BDP($AD110,AT$10,"BEST_FPERIOD_OVERRIDE=1TY","EQY_FUND_CRNCY=USD","FA_ADJUSTED=Y")</f>
        <v>#NAME?</v>
      </c>
      <c r="AV110" s="1" t="s">
        <v>193</v>
      </c>
      <c r="AW110" s="1" t="s">
        <v>194</v>
      </c>
      <c r="AX110" s="36" t="s">
        <v>506</v>
      </c>
      <c r="AY110" s="36">
        <v>2588.6080999999999</v>
      </c>
      <c r="AZ110" s="36">
        <v>2665.1181000000001</v>
      </c>
      <c r="BA110" s="36">
        <v>325.887</v>
      </c>
      <c r="BB110" s="36">
        <v>515.72500000000002</v>
      </c>
      <c r="BC110" s="44">
        <v>0.58252707226738099</v>
      </c>
      <c r="BD110" s="36">
        <v>236.179</v>
      </c>
      <c r="BE110" s="36">
        <v>67.674999999999997</v>
      </c>
      <c r="BF110" s="36">
        <v>0</v>
      </c>
      <c r="BG110" s="36">
        <v>2.198</v>
      </c>
      <c r="BH110" s="36">
        <v>14.875999999999999</v>
      </c>
      <c r="BI110" s="36">
        <v>150.26899999999998</v>
      </c>
      <c r="BJ110" s="36">
        <v>231.45099999999999</v>
      </c>
      <c r="BK110" s="36">
        <v>138.66800000000001</v>
      </c>
      <c r="BL110" s="36">
        <v>148.94800000000001</v>
      </c>
    </row>
    <row r="111" spans="2:64" ht="30" customHeight="1" x14ac:dyDescent="0.2">
      <c r="B111" s="62" t="s">
        <v>476</v>
      </c>
      <c r="C111" s="62" t="e">
        <f>VLOOKUP($B111,#REF!,COLUMNS($B111:C111),0)</f>
        <v>#REF!</v>
      </c>
      <c r="AD111" s="1" t="s">
        <v>195</v>
      </c>
      <c r="AE111" s="1" t="s">
        <v>196</v>
      </c>
      <c r="AF111" s="36" t="e">
        <f ca="1">_xll.BDP($AD111,AF$10)</f>
        <v>#NAME?</v>
      </c>
      <c r="AG111" s="36" t="e">
        <f ca="1">_xll.BDH($AD111,AG$10,$C$5,$C$5,"EQY_FUND_CRNCY=USD")</f>
        <v>#NAME?</v>
      </c>
      <c r="AH111" s="36" t="e">
        <f ca="1">_xll.BDH($AD111,AH$10,$C$5,$C$5,"EQY_FUND_CRNCY=USD")</f>
        <v>#NAME?</v>
      </c>
      <c r="AI111" s="36" t="e">
        <f ca="1">_xll.BDP($AD111,AI$10,"EQY_FUND_CRNCY=USD","FA_ADJUSTED=Y")</f>
        <v>#NAME?</v>
      </c>
      <c r="AJ111" s="36" t="e">
        <f ca="1">_xll.BDP($AD111,AJ$10,"BEST_FPERIOD_OVERRIDE=1TY","EQY_FUND_CRNCY=USD","FA_ADJUSTED=Y")</f>
        <v>#NAME?</v>
      </c>
      <c r="AK111" s="44" t="e">
        <f t="shared" ca="1" si="19"/>
        <v>#NAME?</v>
      </c>
      <c r="AL111" s="36" t="e">
        <f ca="1">_xll.BDP($AD111,AL$10,"EQY_FUND_CRNCY=USD","FA_ADJUSTED=Y")</f>
        <v>#NAME?</v>
      </c>
      <c r="AM111" s="36" t="e">
        <f ca="1">_xll.BDP($AD111,AM$10,"BEST_FPERIOD_OVERRIDE=1TY","EQY_FUND_CRNCY=USD","FA_ADJUSTED=Y")</f>
        <v>#NAME?</v>
      </c>
      <c r="AN111" s="36" t="e">
        <f ca="1">_xll.BDP($AD111,AN$10,"BEST_FPERIOD_OVERRIDE=1TY","EQY_FUND_CRNCY=USD","FA_ADJUSTED=Y")</f>
        <v>#NAME?</v>
      </c>
      <c r="AO111" s="36" t="e">
        <f ca="1">_xll.BDP($AD111,AO$10,"BEST_FPERIOD_OVERRIDE=1TY","EQY_FUND_CRNCY=USD","FA_ADJUSTED=Y")</f>
        <v>#NAME?</v>
      </c>
      <c r="AP111" s="36" t="e">
        <f ca="1">_xll.BDP($AD111,AP$10,"BEST_FPERIOD_OVERRIDE=1TY","EQY_FUND_CRNCY=USD","FA_ADJUSTED=Y")</f>
        <v>#NAME?</v>
      </c>
      <c r="AQ111" s="36" t="e">
        <f ca="1">_xll.BDP($AD111,AQ$10,"EQY_FUND_CRNCY=USD","FA_ADJUSTED=Y")</f>
        <v>#NAME?</v>
      </c>
      <c r="AR111" s="36" t="e">
        <f ca="1">_xll.BDP($AD111,AR$10,"BEST_FPERIOD_OVERRIDE=1TY","EQY_FUND_CRNCY=USD","FA_ADJUSTED=Y")</f>
        <v>#NAME?</v>
      </c>
      <c r="AS111" s="36" t="e">
        <f ca="1">_xll.BDP($AD111,AS$10,"EQY_FUND_CRNCY=USD","FA_ADJUSTED=Y")</f>
        <v>#NAME?</v>
      </c>
      <c r="AT111" s="36" t="e">
        <f ca="1">_xll.BDP($AD111,AT$10,"BEST_FPERIOD_OVERRIDE=1TY","EQY_FUND_CRNCY=USD","FA_ADJUSTED=Y")</f>
        <v>#NAME?</v>
      </c>
      <c r="AV111" s="1" t="s">
        <v>195</v>
      </c>
      <c r="AW111" s="1" t="s">
        <v>196</v>
      </c>
      <c r="AX111" s="36" t="s">
        <v>505</v>
      </c>
      <c r="AY111" s="36">
        <v>2499.4157</v>
      </c>
      <c r="AZ111" s="36">
        <v>2121.9027000000001</v>
      </c>
      <c r="BA111" s="36">
        <v>294.68199999999996</v>
      </c>
      <c r="BB111" s="36">
        <v>349.25299999999999</v>
      </c>
      <c r="BC111" s="44">
        <v>0.1851860649785193</v>
      </c>
      <c r="BD111" s="36">
        <v>249.10499847412109</v>
      </c>
      <c r="BE111" s="36">
        <v>86.929000000000002</v>
      </c>
      <c r="BF111" s="36">
        <v>42.388999999999996</v>
      </c>
      <c r="BG111" s="36">
        <v>126.739</v>
      </c>
      <c r="BH111" s="36">
        <v>30.399000000000001</v>
      </c>
      <c r="BI111" s="36">
        <v>33.942999999999998</v>
      </c>
      <c r="BJ111" s="36">
        <v>80.558000000000007</v>
      </c>
      <c r="BK111" s="36">
        <v>27.055742028858003</v>
      </c>
      <c r="BL111" s="36">
        <v>55.678000000000004</v>
      </c>
    </row>
    <row r="112" spans="2:64" ht="30" customHeight="1" x14ac:dyDescent="0.2">
      <c r="B112" s="62" t="s">
        <v>479</v>
      </c>
      <c r="C112" s="62" t="e">
        <f>VLOOKUP($B112,#REF!,COLUMNS($B112:C112),0)</f>
        <v>#REF!</v>
      </c>
      <c r="AD112" s="1" t="s">
        <v>197</v>
      </c>
      <c r="AE112" s="1" t="s">
        <v>198</v>
      </c>
      <c r="AF112" s="36" t="e">
        <f ca="1">_xll.BDP($AD112,AF$10)</f>
        <v>#NAME?</v>
      </c>
      <c r="AG112" s="36" t="e">
        <f ca="1">_xll.BDH($AD112,AG$10,$C$5,$C$5,"EQY_FUND_CRNCY=USD")</f>
        <v>#NAME?</v>
      </c>
      <c r="AH112" s="36" t="e">
        <f ca="1">_xll.BDH($AD112,AH$10,$C$5,$C$5,"EQY_FUND_CRNCY=USD")</f>
        <v>#NAME?</v>
      </c>
      <c r="AI112" s="36" t="e">
        <f ca="1">_xll.BDP($AD112,AI$10,"EQY_FUND_CRNCY=USD","FA_ADJUSTED=Y")</f>
        <v>#NAME?</v>
      </c>
      <c r="AJ112" s="36" t="e">
        <f ca="1">_xll.BDP($AD112,AJ$10,"BEST_FPERIOD_OVERRIDE=1TY","EQY_FUND_CRNCY=USD","FA_ADJUSTED=Y")</f>
        <v>#NAME?</v>
      </c>
      <c r="AK112" s="44" t="e">
        <f t="shared" ca="1" si="19"/>
        <v>#NAME?</v>
      </c>
      <c r="AL112" s="36" t="e">
        <f ca="1">_xll.BDP($AD112,AL$10,"EQY_FUND_CRNCY=USD","FA_ADJUSTED=Y")</f>
        <v>#NAME?</v>
      </c>
      <c r="AM112" s="36" t="e">
        <f ca="1">_xll.BDP($AD112,AM$10,"BEST_FPERIOD_OVERRIDE=1TY","EQY_FUND_CRNCY=USD","FA_ADJUSTED=Y")</f>
        <v>#NAME?</v>
      </c>
      <c r="AN112" s="36" t="e">
        <f ca="1">_xll.BDP($AD112,AN$10,"BEST_FPERIOD_OVERRIDE=1TY","EQY_FUND_CRNCY=USD","FA_ADJUSTED=Y")</f>
        <v>#NAME?</v>
      </c>
      <c r="AO112" s="36" t="e">
        <f ca="1">_xll.BDP($AD112,AO$10,"BEST_FPERIOD_OVERRIDE=1TY","EQY_FUND_CRNCY=USD","FA_ADJUSTED=Y")</f>
        <v>#NAME?</v>
      </c>
      <c r="AP112" s="36" t="e">
        <f ca="1">_xll.BDP($AD112,AP$10,"BEST_FPERIOD_OVERRIDE=1TY","EQY_FUND_CRNCY=USD","FA_ADJUSTED=Y")</f>
        <v>#NAME?</v>
      </c>
      <c r="AQ112" s="36" t="e">
        <f ca="1">_xll.BDP($AD112,AQ$10,"EQY_FUND_CRNCY=USD","FA_ADJUSTED=Y")</f>
        <v>#NAME?</v>
      </c>
      <c r="AR112" s="36" t="e">
        <f ca="1">_xll.BDP($AD112,AR$10,"BEST_FPERIOD_OVERRIDE=1TY","EQY_FUND_CRNCY=USD","FA_ADJUSTED=Y")</f>
        <v>#NAME?</v>
      </c>
      <c r="AS112" s="36" t="e">
        <f ca="1">_xll.BDP($AD112,AS$10,"EQY_FUND_CRNCY=USD","FA_ADJUSTED=Y")</f>
        <v>#NAME?</v>
      </c>
      <c r="AT112" s="36" t="e">
        <f ca="1">_xll.BDP($AD112,AT$10,"BEST_FPERIOD_OVERRIDE=1TY","EQY_FUND_CRNCY=USD","FA_ADJUSTED=Y")</f>
        <v>#NAME?</v>
      </c>
      <c r="AV112" s="1" t="s">
        <v>197</v>
      </c>
      <c r="AW112" s="1" t="s">
        <v>198</v>
      </c>
      <c r="AX112" s="36" t="s">
        <v>495</v>
      </c>
      <c r="AY112" s="36">
        <v>2542.2449000000001</v>
      </c>
      <c r="AZ112" s="36">
        <v>2344.0949000000001</v>
      </c>
      <c r="BA112" s="36">
        <v>362.10199999999998</v>
      </c>
      <c r="BB112" s="36">
        <v>403.58300000000003</v>
      </c>
      <c r="BC112" s="44">
        <v>0.11455611954642619</v>
      </c>
      <c r="BD112" s="36">
        <v>250.68500076293947</v>
      </c>
      <c r="BE112" s="36">
        <v>70.325000000000003</v>
      </c>
      <c r="BF112" s="36">
        <v>93.233999999999995</v>
      </c>
      <c r="BG112" s="36">
        <v>79.957999999999998</v>
      </c>
      <c r="BH112" s="36">
        <v>87.978999999999999</v>
      </c>
      <c r="BI112" s="36">
        <v>-3.4740000000000002</v>
      </c>
      <c r="BJ112" s="36">
        <v>42.646999999999998</v>
      </c>
      <c r="BK112" s="36">
        <v>-84.54</v>
      </c>
      <c r="BL112" s="36">
        <v>25.7</v>
      </c>
    </row>
    <row r="113" spans="1:64" ht="30" customHeight="1" x14ac:dyDescent="0.2">
      <c r="B113" s="89" t="s">
        <v>481</v>
      </c>
      <c r="C113" s="89" t="e">
        <f>VLOOKUP($B113,#REF!,COLUMNS($B113:C113),0)</f>
        <v>#REF!</v>
      </c>
      <c r="AD113" s="1" t="s">
        <v>199</v>
      </c>
      <c r="AE113" s="1" t="s">
        <v>200</v>
      </c>
      <c r="AF113" s="36" t="e">
        <f ca="1">_xll.BDP($AD113,AF$10)</f>
        <v>#NAME?</v>
      </c>
      <c r="AG113" s="36" t="e">
        <f ca="1">_xll.BDH($AD113,AG$10,$C$5,$C$5,"EQY_FUND_CRNCY=USD")</f>
        <v>#NAME?</v>
      </c>
      <c r="AH113" s="36" t="e">
        <f ca="1">_xll.BDH($AD113,AH$10,$C$5,$C$5,"EQY_FUND_CRNCY=USD")</f>
        <v>#NAME?</v>
      </c>
      <c r="AI113" s="36" t="e">
        <f ca="1">_xll.BDP($AD113,AI$10,"EQY_FUND_CRNCY=USD","FA_ADJUSTED=Y")</f>
        <v>#NAME?</v>
      </c>
      <c r="AJ113" s="36" t="e">
        <f ca="1">_xll.BDP($AD113,AJ$10,"BEST_FPERIOD_OVERRIDE=1TY","EQY_FUND_CRNCY=USD","FA_ADJUSTED=Y")</f>
        <v>#NAME?</v>
      </c>
      <c r="AK113" s="44" t="e">
        <f t="shared" ca="1" si="19"/>
        <v>#NAME?</v>
      </c>
      <c r="AL113" s="36" t="e">
        <f ca="1">_xll.BDP($AD113,AL$10,"EQY_FUND_CRNCY=USD","FA_ADJUSTED=Y")</f>
        <v>#NAME?</v>
      </c>
      <c r="AM113" s="36" t="e">
        <f ca="1">_xll.BDP($AD113,AM$10,"BEST_FPERIOD_OVERRIDE=1TY","EQY_FUND_CRNCY=USD","FA_ADJUSTED=Y")</f>
        <v>#NAME?</v>
      </c>
      <c r="AN113" s="36" t="e">
        <f ca="1">_xll.BDP($AD113,AN$10,"BEST_FPERIOD_OVERRIDE=1TY","EQY_FUND_CRNCY=USD","FA_ADJUSTED=Y")</f>
        <v>#NAME?</v>
      </c>
      <c r="AO113" s="36" t="e">
        <f ca="1">_xll.BDP($AD113,AO$10,"BEST_FPERIOD_OVERRIDE=1TY","EQY_FUND_CRNCY=USD","FA_ADJUSTED=Y")</f>
        <v>#NAME?</v>
      </c>
      <c r="AP113" s="36" t="e">
        <f ca="1">_xll.BDP($AD113,AP$10,"BEST_FPERIOD_OVERRIDE=1TY","EQY_FUND_CRNCY=USD","FA_ADJUSTED=Y")</f>
        <v>#NAME?</v>
      </c>
      <c r="AQ113" s="36" t="e">
        <f ca="1">_xll.BDP($AD113,AQ$10,"EQY_FUND_CRNCY=USD","FA_ADJUSTED=Y")</f>
        <v>#NAME?</v>
      </c>
      <c r="AR113" s="36" t="e">
        <f ca="1">_xll.BDP($AD113,AR$10,"BEST_FPERIOD_OVERRIDE=1TY","EQY_FUND_CRNCY=USD","FA_ADJUSTED=Y")</f>
        <v>#NAME?</v>
      </c>
      <c r="AS113" s="36" t="e">
        <f ca="1">_xll.BDP($AD113,AS$10,"EQY_FUND_CRNCY=USD","FA_ADJUSTED=Y")</f>
        <v>#NAME?</v>
      </c>
      <c r="AT113" s="36" t="e">
        <f ca="1">_xll.BDP($AD113,AT$10,"BEST_FPERIOD_OVERRIDE=1TY","EQY_FUND_CRNCY=USD","FA_ADJUSTED=Y")</f>
        <v>#NAME?</v>
      </c>
      <c r="AV113" s="1" t="s">
        <v>199</v>
      </c>
      <c r="AW113" s="1" t="s">
        <v>200</v>
      </c>
      <c r="AX113" s="36" t="s">
        <v>495</v>
      </c>
      <c r="AY113" s="36">
        <v>2458.9054000000001</v>
      </c>
      <c r="AZ113" s="36">
        <v>2777.4384</v>
      </c>
      <c r="BA113" s="36">
        <v>757.60300000000007</v>
      </c>
      <c r="BB113" s="36">
        <v>863.7</v>
      </c>
      <c r="BC113" s="44">
        <v>0.14004300405357428</v>
      </c>
      <c r="BD113" s="36">
        <v>512.96599737548831</v>
      </c>
      <c r="BE113" s="36">
        <v>67.867000000000004</v>
      </c>
      <c r="BF113" s="36">
        <v>0</v>
      </c>
      <c r="BG113" s="36" t="s">
        <v>480</v>
      </c>
      <c r="BH113" s="36">
        <v>121.01</v>
      </c>
      <c r="BI113" s="36">
        <v>106.039</v>
      </c>
      <c r="BJ113" s="36">
        <v>170.54</v>
      </c>
      <c r="BK113" s="36">
        <v>32.882268060742</v>
      </c>
      <c r="BL113" s="36">
        <v>91.412999999999997</v>
      </c>
    </row>
    <row r="114" spans="1:64" ht="30" customHeight="1" x14ac:dyDescent="0.2">
      <c r="B114" s="87"/>
      <c r="C114" s="87"/>
      <c r="AD114" s="1" t="s">
        <v>201</v>
      </c>
      <c r="AE114" s="1" t="s">
        <v>202</v>
      </c>
      <c r="AF114" s="36" t="e">
        <f ca="1">_xll.BDP($AD114,AF$10)</f>
        <v>#NAME?</v>
      </c>
      <c r="AG114" s="36" t="e">
        <f ca="1">_xll.BDH($AD114,AG$10,$C$5,$C$5,"EQY_FUND_CRNCY=USD")</f>
        <v>#NAME?</v>
      </c>
      <c r="AH114" s="36" t="e">
        <f ca="1">_xll.BDH($AD114,AH$10,$C$5,$C$5,"EQY_FUND_CRNCY=USD")</f>
        <v>#NAME?</v>
      </c>
      <c r="AI114" s="36" t="e">
        <f ca="1">_xll.BDP($AD114,AI$10,"EQY_FUND_CRNCY=USD","FA_ADJUSTED=Y")</f>
        <v>#NAME?</v>
      </c>
      <c r="AJ114" s="36" t="e">
        <f ca="1">_xll.BDP($AD114,AJ$10,"BEST_FPERIOD_OVERRIDE=1TY","EQY_FUND_CRNCY=USD","FA_ADJUSTED=Y")</f>
        <v>#NAME?</v>
      </c>
      <c r="AK114" s="44" t="e">
        <f t="shared" ca="1" si="19"/>
        <v>#NAME?</v>
      </c>
      <c r="AL114" s="36" t="e">
        <f ca="1">_xll.BDP($AD114,AL$10,"EQY_FUND_CRNCY=USD","FA_ADJUSTED=Y")</f>
        <v>#NAME?</v>
      </c>
      <c r="AM114" s="36" t="e">
        <f ca="1">_xll.BDP($AD114,AM$10,"BEST_FPERIOD_OVERRIDE=1TY","EQY_FUND_CRNCY=USD","FA_ADJUSTED=Y")</f>
        <v>#NAME?</v>
      </c>
      <c r="AN114" s="36" t="e">
        <f ca="1">_xll.BDP($AD114,AN$10,"BEST_FPERIOD_OVERRIDE=1TY","EQY_FUND_CRNCY=USD","FA_ADJUSTED=Y")</f>
        <v>#NAME?</v>
      </c>
      <c r="AO114" s="36" t="e">
        <f ca="1">_xll.BDP($AD114,AO$10,"BEST_FPERIOD_OVERRIDE=1TY","EQY_FUND_CRNCY=USD","FA_ADJUSTED=Y")</f>
        <v>#NAME?</v>
      </c>
      <c r="AP114" s="36" t="e">
        <f ca="1">_xll.BDP($AD114,AP$10,"BEST_FPERIOD_OVERRIDE=1TY","EQY_FUND_CRNCY=USD","FA_ADJUSTED=Y")</f>
        <v>#NAME?</v>
      </c>
      <c r="AQ114" s="36" t="e">
        <f ca="1">_xll.BDP($AD114,AQ$10,"EQY_FUND_CRNCY=USD","FA_ADJUSTED=Y")</f>
        <v>#NAME?</v>
      </c>
      <c r="AR114" s="36" t="e">
        <f ca="1">_xll.BDP($AD114,AR$10,"BEST_FPERIOD_OVERRIDE=1TY","EQY_FUND_CRNCY=USD","FA_ADJUSTED=Y")</f>
        <v>#NAME?</v>
      </c>
      <c r="AS114" s="36" t="e">
        <f ca="1">_xll.BDP($AD114,AS$10,"EQY_FUND_CRNCY=USD","FA_ADJUSTED=Y")</f>
        <v>#NAME?</v>
      </c>
      <c r="AT114" s="36" t="e">
        <f ca="1">_xll.BDP($AD114,AT$10,"BEST_FPERIOD_OVERRIDE=1TY","EQY_FUND_CRNCY=USD","FA_ADJUSTED=Y")</f>
        <v>#NAME?</v>
      </c>
      <c r="AV114" s="1" t="s">
        <v>201</v>
      </c>
      <c r="AW114" s="1" t="s">
        <v>202</v>
      </c>
      <c r="AX114" s="36" t="s">
        <v>495</v>
      </c>
      <c r="AY114" s="36">
        <v>2438.0086000000001</v>
      </c>
      <c r="AZ114" s="36">
        <v>2499.6136000000001</v>
      </c>
      <c r="BA114" s="36">
        <v>111.253</v>
      </c>
      <c r="BB114" s="36">
        <v>195.833</v>
      </c>
      <c r="BC114" s="44">
        <v>0.76024916182035529</v>
      </c>
      <c r="BD114" s="36">
        <v>89.570999999999998</v>
      </c>
      <c r="BE114" s="36">
        <v>79.174999999999997</v>
      </c>
      <c r="BF114" s="36">
        <v>37.589999999999996</v>
      </c>
      <c r="BG114" s="36">
        <v>72.924999999999997</v>
      </c>
      <c r="BH114" s="36">
        <v>28.033999999999999</v>
      </c>
      <c r="BI114" s="36">
        <v>-44.902000000000001</v>
      </c>
      <c r="BJ114" s="36">
        <v>-45.95</v>
      </c>
      <c r="BK114" s="36">
        <v>-49.106000000000002</v>
      </c>
      <c r="BL114" s="36">
        <v>-63.59</v>
      </c>
    </row>
    <row r="115" spans="1:64" ht="30" customHeight="1" x14ac:dyDescent="0.2">
      <c r="B115" s="45" t="s">
        <v>497</v>
      </c>
      <c r="C115" s="45"/>
      <c r="AD115" s="1" t="s">
        <v>203</v>
      </c>
      <c r="AE115" s="1" t="s">
        <v>204</v>
      </c>
      <c r="AF115" s="36" t="e">
        <f ca="1">_xll.BDP($AD115,AF$10)</f>
        <v>#NAME?</v>
      </c>
      <c r="AG115" s="36" t="e">
        <f ca="1">_xll.BDH($AD115,AG$10,$C$5,$C$5,"EQY_FUND_CRNCY=USD")</f>
        <v>#NAME?</v>
      </c>
      <c r="AH115" s="36" t="e">
        <f ca="1">_xll.BDH($AD115,AH$10,$C$5,$C$5,"EQY_FUND_CRNCY=USD")</f>
        <v>#NAME?</v>
      </c>
      <c r="AI115" s="36" t="e">
        <f ca="1">_xll.BDP($AD115,AI$10,"EQY_FUND_CRNCY=USD","FA_ADJUSTED=Y")</f>
        <v>#NAME?</v>
      </c>
      <c r="AJ115" s="36" t="e">
        <f ca="1">_xll.BDP($AD115,AJ$10,"BEST_FPERIOD_OVERRIDE=1TY","EQY_FUND_CRNCY=USD","FA_ADJUSTED=Y")</f>
        <v>#NAME?</v>
      </c>
      <c r="AK115" s="44" t="e">
        <f t="shared" ca="1" si="19"/>
        <v>#NAME?</v>
      </c>
      <c r="AL115" s="36" t="e">
        <f ca="1">_xll.BDP($AD115,AL$10,"EQY_FUND_CRNCY=USD","FA_ADJUSTED=Y")</f>
        <v>#NAME?</v>
      </c>
      <c r="AM115" s="36" t="e">
        <f ca="1">_xll.BDP($AD115,AM$10,"BEST_FPERIOD_OVERRIDE=1TY","EQY_FUND_CRNCY=USD","FA_ADJUSTED=Y")</f>
        <v>#NAME?</v>
      </c>
      <c r="AN115" s="36" t="e">
        <f ca="1">_xll.BDP($AD115,AN$10,"BEST_FPERIOD_OVERRIDE=1TY","EQY_FUND_CRNCY=USD","FA_ADJUSTED=Y")</f>
        <v>#NAME?</v>
      </c>
      <c r="AO115" s="36" t="e">
        <f ca="1">_xll.BDP($AD115,AO$10,"BEST_FPERIOD_OVERRIDE=1TY","EQY_FUND_CRNCY=USD","FA_ADJUSTED=Y")</f>
        <v>#NAME?</v>
      </c>
      <c r="AP115" s="36" t="e">
        <f ca="1">_xll.BDP($AD115,AP$10,"BEST_FPERIOD_OVERRIDE=1TY","EQY_FUND_CRNCY=USD","FA_ADJUSTED=Y")</f>
        <v>#NAME?</v>
      </c>
      <c r="AQ115" s="36" t="e">
        <f ca="1">_xll.BDP($AD115,AQ$10,"EQY_FUND_CRNCY=USD","FA_ADJUSTED=Y")</f>
        <v>#NAME?</v>
      </c>
      <c r="AR115" s="36" t="e">
        <f ca="1">_xll.BDP($AD115,AR$10,"BEST_FPERIOD_OVERRIDE=1TY","EQY_FUND_CRNCY=USD","FA_ADJUSTED=Y")</f>
        <v>#NAME?</v>
      </c>
      <c r="AS115" s="36" t="e">
        <f ca="1">_xll.BDP($AD115,AS$10,"EQY_FUND_CRNCY=USD","FA_ADJUSTED=Y")</f>
        <v>#NAME?</v>
      </c>
      <c r="AT115" s="36" t="e">
        <f ca="1">_xll.BDP($AD115,AT$10,"BEST_FPERIOD_OVERRIDE=1TY","EQY_FUND_CRNCY=USD","FA_ADJUSTED=Y")</f>
        <v>#NAME?</v>
      </c>
      <c r="AV115" s="1" t="s">
        <v>203</v>
      </c>
      <c r="AW115" s="1" t="s">
        <v>204</v>
      </c>
      <c r="AX115" s="36" t="s">
        <v>506</v>
      </c>
      <c r="AY115" s="36">
        <v>2461.5574999999999</v>
      </c>
      <c r="AZ115" s="36">
        <v>2436.4575</v>
      </c>
      <c r="BA115" s="36">
        <v>777.6</v>
      </c>
      <c r="BB115" s="36">
        <v>824</v>
      </c>
      <c r="BC115" s="44">
        <v>5.967078189300401E-2</v>
      </c>
      <c r="BD115" s="36">
        <v>266.30000152587888</v>
      </c>
      <c r="BE115" s="36">
        <v>34.533000000000001</v>
      </c>
      <c r="BF115" s="36">
        <v>0</v>
      </c>
      <c r="BG115" s="36">
        <v>41.767000000000003</v>
      </c>
      <c r="BH115" s="36">
        <v>117.626</v>
      </c>
      <c r="BI115" s="36">
        <v>119.85900000000001</v>
      </c>
      <c r="BJ115" s="36">
        <v>168.292</v>
      </c>
      <c r="BK115" s="36">
        <v>92.1</v>
      </c>
      <c r="BL115" s="36">
        <v>125.28400000000001</v>
      </c>
    </row>
    <row r="116" spans="1:64" ht="15.6" customHeight="1" x14ac:dyDescent="0.2">
      <c r="B116" s="10" t="s">
        <v>424</v>
      </c>
      <c r="C116" s="10" t="s">
        <v>425</v>
      </c>
      <c r="AD116" s="1" t="s">
        <v>205</v>
      </c>
      <c r="AE116" s="1" t="s">
        <v>206</v>
      </c>
      <c r="AF116" s="36" t="e">
        <f ca="1">_xll.BDP($AD116,AF$10)</f>
        <v>#NAME?</v>
      </c>
      <c r="AG116" s="36" t="e">
        <f ca="1">_xll.BDH($AD116,AG$10,$C$5,$C$5,"EQY_FUND_CRNCY=USD")</f>
        <v>#NAME?</v>
      </c>
      <c r="AH116" s="36" t="e">
        <f ca="1">_xll.BDH($AD116,AH$10,$C$5,$C$5,"EQY_FUND_CRNCY=USD")</f>
        <v>#NAME?</v>
      </c>
      <c r="AI116" s="36" t="e">
        <f ca="1">_xll.BDP($AD116,AI$10,"EQY_FUND_CRNCY=USD","FA_ADJUSTED=Y")</f>
        <v>#NAME?</v>
      </c>
      <c r="AJ116" s="36" t="e">
        <f ca="1">_xll.BDP($AD116,AJ$10,"BEST_FPERIOD_OVERRIDE=1TY","EQY_FUND_CRNCY=USD","FA_ADJUSTED=Y")</f>
        <v>#NAME?</v>
      </c>
      <c r="AK116" s="44" t="e">
        <f t="shared" ca="1" si="19"/>
        <v>#NAME?</v>
      </c>
      <c r="AL116" s="36" t="e">
        <f ca="1">_xll.BDP($AD116,AL$10,"EQY_FUND_CRNCY=USD","FA_ADJUSTED=Y")</f>
        <v>#NAME?</v>
      </c>
      <c r="AM116" s="36" t="e">
        <f ca="1">_xll.BDP($AD116,AM$10,"BEST_FPERIOD_OVERRIDE=1TY","EQY_FUND_CRNCY=USD","FA_ADJUSTED=Y")</f>
        <v>#NAME?</v>
      </c>
      <c r="AN116" s="36" t="e">
        <f ca="1">_xll.BDP($AD116,AN$10,"BEST_FPERIOD_OVERRIDE=1TY","EQY_FUND_CRNCY=USD","FA_ADJUSTED=Y")</f>
        <v>#NAME?</v>
      </c>
      <c r="AO116" s="36" t="e">
        <f ca="1">_xll.BDP($AD116,AO$10,"BEST_FPERIOD_OVERRIDE=1TY","EQY_FUND_CRNCY=USD","FA_ADJUSTED=Y")</f>
        <v>#NAME?</v>
      </c>
      <c r="AP116" s="36" t="e">
        <f ca="1">_xll.BDP($AD116,AP$10,"BEST_FPERIOD_OVERRIDE=1TY","EQY_FUND_CRNCY=USD","FA_ADJUSTED=Y")</f>
        <v>#NAME?</v>
      </c>
      <c r="AQ116" s="36" t="e">
        <f ca="1">_xll.BDP($AD116,AQ$10,"EQY_FUND_CRNCY=USD","FA_ADJUSTED=Y")</f>
        <v>#NAME?</v>
      </c>
      <c r="AR116" s="36" t="e">
        <f ca="1">_xll.BDP($AD116,AR$10,"BEST_FPERIOD_OVERRIDE=1TY","EQY_FUND_CRNCY=USD","FA_ADJUSTED=Y")</f>
        <v>#NAME?</v>
      </c>
      <c r="AS116" s="36" t="e">
        <f ca="1">_xll.BDP($AD116,AS$10,"EQY_FUND_CRNCY=USD","FA_ADJUSTED=Y")</f>
        <v>#NAME?</v>
      </c>
      <c r="AT116" s="36" t="e">
        <f ca="1">_xll.BDP($AD116,AT$10,"BEST_FPERIOD_OVERRIDE=1TY","EQY_FUND_CRNCY=USD","FA_ADJUSTED=Y")</f>
        <v>#NAME?</v>
      </c>
      <c r="AV116" s="1" t="s">
        <v>205</v>
      </c>
      <c r="AW116" s="1" t="s">
        <v>206</v>
      </c>
      <c r="AX116" s="36" t="s">
        <v>495</v>
      </c>
      <c r="AY116" s="36">
        <v>2373.3932</v>
      </c>
      <c r="AZ116" s="36">
        <v>2399.3838999999998</v>
      </c>
      <c r="BA116" s="36">
        <v>259.76499999999999</v>
      </c>
      <c r="BB116" s="36">
        <v>290.03199999999998</v>
      </c>
      <c r="BC116" s="44">
        <v>0.11651685176986892</v>
      </c>
      <c r="BD116" s="36">
        <v>189.24499960327148</v>
      </c>
      <c r="BE116" s="36">
        <v>72.911000000000001</v>
      </c>
      <c r="BF116" s="36">
        <v>41.803999999999995</v>
      </c>
      <c r="BG116" s="36">
        <v>33.128</v>
      </c>
      <c r="BH116" s="36">
        <v>25.448</v>
      </c>
      <c r="BI116" s="36">
        <v>83.233999999999995</v>
      </c>
      <c r="BJ116" s="36">
        <v>100.771</v>
      </c>
      <c r="BK116" s="36">
        <v>31.351610000000001</v>
      </c>
      <c r="BL116" s="36">
        <v>42.183</v>
      </c>
    </row>
    <row r="117" spans="1:64" ht="30" customHeight="1" x14ac:dyDescent="0.2">
      <c r="B117" s="54" t="s">
        <v>466</v>
      </c>
      <c r="C117" s="54" t="e">
        <f>VLOOKUP($B117,#REF!,COLUMNS($B117:C117),0)</f>
        <v>#REF!</v>
      </c>
      <c r="AD117" s="1" t="s">
        <v>207</v>
      </c>
      <c r="AE117" s="1" t="s">
        <v>208</v>
      </c>
      <c r="AF117" s="36" t="e">
        <f ca="1">_xll.BDP($AD117,AF$10)</f>
        <v>#NAME?</v>
      </c>
      <c r="AG117" s="36" t="e">
        <f ca="1">_xll.BDH($AD117,AG$10,$C$5,$C$5,"EQY_FUND_CRNCY=USD")</f>
        <v>#NAME?</v>
      </c>
      <c r="AH117" s="36" t="e">
        <f ca="1">_xll.BDH($AD117,AH$10,$C$5,$C$5,"EQY_FUND_CRNCY=USD")</f>
        <v>#NAME?</v>
      </c>
      <c r="AI117" s="36" t="e">
        <f ca="1">_xll.BDP($AD117,AI$10,"EQY_FUND_CRNCY=USD","FA_ADJUSTED=Y")</f>
        <v>#NAME?</v>
      </c>
      <c r="AJ117" s="36" t="e">
        <f ca="1">_xll.BDP($AD117,AJ$10,"BEST_FPERIOD_OVERRIDE=1TY","EQY_FUND_CRNCY=USD","FA_ADJUSTED=Y")</f>
        <v>#NAME?</v>
      </c>
      <c r="AK117" s="44" t="e">
        <f t="shared" ca="1" si="19"/>
        <v>#NAME?</v>
      </c>
      <c r="AL117" s="36" t="e">
        <f ca="1">_xll.BDP($AD117,AL$10,"EQY_FUND_CRNCY=USD","FA_ADJUSTED=Y")</f>
        <v>#NAME?</v>
      </c>
      <c r="AM117" s="36" t="e">
        <f ca="1">_xll.BDP($AD117,AM$10,"BEST_FPERIOD_OVERRIDE=1TY","EQY_FUND_CRNCY=USD","FA_ADJUSTED=Y")</f>
        <v>#NAME?</v>
      </c>
      <c r="AN117" s="36" t="e">
        <f ca="1">_xll.BDP($AD117,AN$10,"BEST_FPERIOD_OVERRIDE=1TY","EQY_FUND_CRNCY=USD","FA_ADJUSTED=Y")</f>
        <v>#NAME?</v>
      </c>
      <c r="AO117" s="36" t="e">
        <f ca="1">_xll.BDP($AD117,AO$10,"BEST_FPERIOD_OVERRIDE=1TY","EQY_FUND_CRNCY=USD","FA_ADJUSTED=Y")</f>
        <v>#NAME?</v>
      </c>
      <c r="AP117" s="36" t="e">
        <f ca="1">_xll.BDP($AD117,AP$10,"BEST_FPERIOD_OVERRIDE=1TY","EQY_FUND_CRNCY=USD","FA_ADJUSTED=Y")</f>
        <v>#NAME?</v>
      </c>
      <c r="AQ117" s="36" t="e">
        <f ca="1">_xll.BDP($AD117,AQ$10,"EQY_FUND_CRNCY=USD","FA_ADJUSTED=Y")</f>
        <v>#NAME?</v>
      </c>
      <c r="AR117" s="36" t="e">
        <f ca="1">_xll.BDP($AD117,AR$10,"BEST_FPERIOD_OVERRIDE=1TY","EQY_FUND_CRNCY=USD","FA_ADJUSTED=Y")</f>
        <v>#NAME?</v>
      </c>
      <c r="AS117" s="36" t="e">
        <f ca="1">_xll.BDP($AD117,AS$10,"EQY_FUND_CRNCY=USD","FA_ADJUSTED=Y")</f>
        <v>#NAME?</v>
      </c>
      <c r="AT117" s="36" t="e">
        <f ca="1">_xll.BDP($AD117,AT$10,"BEST_FPERIOD_OVERRIDE=1TY","EQY_FUND_CRNCY=USD","FA_ADJUSTED=Y")</f>
        <v>#NAME?</v>
      </c>
      <c r="AV117" s="1" t="s">
        <v>207</v>
      </c>
      <c r="AW117" s="1" t="s">
        <v>208</v>
      </c>
      <c r="AX117" s="36" t="s">
        <v>495</v>
      </c>
      <c r="AY117" s="36">
        <v>2279.9922999999999</v>
      </c>
      <c r="AZ117" s="36">
        <v>2165.1192999999998</v>
      </c>
      <c r="BA117" s="36">
        <v>202.84200000000001</v>
      </c>
      <c r="BB117" s="36">
        <v>246.78800000000001</v>
      </c>
      <c r="BC117" s="44">
        <v>0.21665138383569471</v>
      </c>
      <c r="BD117" s="36">
        <v>157.49099987792968</v>
      </c>
      <c r="BE117" s="36">
        <v>81.329000000000008</v>
      </c>
      <c r="BF117" s="36">
        <v>23.873999999999999</v>
      </c>
      <c r="BG117" s="36">
        <v>109.77500000000001</v>
      </c>
      <c r="BH117" s="36">
        <v>36.956000000000003</v>
      </c>
      <c r="BI117" s="36">
        <v>-13.472000000000001</v>
      </c>
      <c r="BJ117" s="36">
        <v>12.863</v>
      </c>
      <c r="BK117" s="36">
        <v>-33.920332731689001</v>
      </c>
      <c r="BL117" s="36">
        <v>2.661</v>
      </c>
    </row>
    <row r="118" spans="1:64" ht="30" customHeight="1" x14ac:dyDescent="0.2">
      <c r="B118" s="62" t="s">
        <v>469</v>
      </c>
      <c r="C118" s="62" t="e">
        <f>VLOOKUP($B118,#REF!,COLUMNS($B118:C118),0)</f>
        <v>#REF!</v>
      </c>
      <c r="AD118" s="1" t="s">
        <v>209</v>
      </c>
      <c r="AE118" s="1" t="s">
        <v>210</v>
      </c>
      <c r="AF118" s="36" t="e">
        <f ca="1">_xll.BDP($AD118,AF$10)</f>
        <v>#NAME?</v>
      </c>
      <c r="AG118" s="36" t="e">
        <f ca="1">_xll.BDH($AD118,AG$10,$C$5,$C$5,"EQY_FUND_CRNCY=USD")</f>
        <v>#NAME?</v>
      </c>
      <c r="AH118" s="36" t="e">
        <f ca="1">_xll.BDH($AD118,AH$10,$C$5,$C$5,"EQY_FUND_CRNCY=USD")</f>
        <v>#NAME?</v>
      </c>
      <c r="AI118" s="36" t="e">
        <f ca="1">_xll.BDP($AD118,AI$10,"EQY_FUND_CRNCY=USD","FA_ADJUSTED=Y")</f>
        <v>#NAME?</v>
      </c>
      <c r="AJ118" s="36" t="e">
        <f ca="1">_xll.BDP($AD118,AJ$10,"BEST_FPERIOD_OVERRIDE=1TY","EQY_FUND_CRNCY=USD","FA_ADJUSTED=Y")</f>
        <v>#NAME?</v>
      </c>
      <c r="AK118" s="44" t="e">
        <f t="shared" ca="1" si="19"/>
        <v>#NAME?</v>
      </c>
      <c r="AL118" s="36" t="e">
        <f ca="1">_xll.BDP($AD118,AL$10,"EQY_FUND_CRNCY=USD","FA_ADJUSTED=Y")</f>
        <v>#NAME?</v>
      </c>
      <c r="AM118" s="36" t="e">
        <f ca="1">_xll.BDP($AD118,AM$10,"BEST_FPERIOD_OVERRIDE=1TY","EQY_FUND_CRNCY=USD","FA_ADJUSTED=Y")</f>
        <v>#NAME?</v>
      </c>
      <c r="AN118" s="36" t="e">
        <f ca="1">_xll.BDP($AD118,AN$10,"BEST_FPERIOD_OVERRIDE=1TY","EQY_FUND_CRNCY=USD","FA_ADJUSTED=Y")</f>
        <v>#NAME?</v>
      </c>
      <c r="AO118" s="36" t="e">
        <f ca="1">_xll.BDP($AD118,AO$10,"BEST_FPERIOD_OVERRIDE=1TY","EQY_FUND_CRNCY=USD","FA_ADJUSTED=Y")</f>
        <v>#NAME?</v>
      </c>
      <c r="AP118" s="36" t="e">
        <f ca="1">_xll.BDP($AD118,AP$10,"BEST_FPERIOD_OVERRIDE=1TY","EQY_FUND_CRNCY=USD","FA_ADJUSTED=Y")</f>
        <v>#NAME?</v>
      </c>
      <c r="AQ118" s="36" t="e">
        <f ca="1">_xll.BDP($AD118,AQ$10,"EQY_FUND_CRNCY=USD","FA_ADJUSTED=Y")</f>
        <v>#NAME?</v>
      </c>
      <c r="AR118" s="36" t="e">
        <f ca="1">_xll.BDP($AD118,AR$10,"BEST_FPERIOD_OVERRIDE=1TY","EQY_FUND_CRNCY=USD","FA_ADJUSTED=Y")</f>
        <v>#NAME?</v>
      </c>
      <c r="AS118" s="36" t="e">
        <f ca="1">_xll.BDP($AD118,AS$10,"EQY_FUND_CRNCY=USD","FA_ADJUSTED=Y")</f>
        <v>#NAME?</v>
      </c>
      <c r="AT118" s="36" t="e">
        <f ca="1">_xll.BDP($AD118,AT$10,"BEST_FPERIOD_OVERRIDE=1TY","EQY_FUND_CRNCY=USD","FA_ADJUSTED=Y")</f>
        <v>#NAME?</v>
      </c>
      <c r="AV118" s="1" t="s">
        <v>209</v>
      </c>
      <c r="AW118" s="1" t="s">
        <v>210</v>
      </c>
      <c r="AX118" s="36" t="s">
        <v>505</v>
      </c>
      <c r="AY118" s="36">
        <v>2144.8672000000001</v>
      </c>
      <c r="AZ118" s="36">
        <v>2052.4014999999999</v>
      </c>
      <c r="BA118" s="36" t="s">
        <v>480</v>
      </c>
      <c r="BB118" s="36">
        <v>256.28199999999998</v>
      </c>
      <c r="BC118" s="44" t="e">
        <v>#VALUE!</v>
      </c>
      <c r="BD118" s="36" t="s">
        <v>480</v>
      </c>
      <c r="BE118" s="36">
        <v>77.600000000000009</v>
      </c>
      <c r="BF118" s="36">
        <v>33.331000000000003</v>
      </c>
      <c r="BG118" s="36">
        <v>80.513999999999996</v>
      </c>
      <c r="BH118" s="36">
        <v>17.678000000000001</v>
      </c>
      <c r="BI118" s="36" t="s">
        <v>480</v>
      </c>
      <c r="BJ118" s="36">
        <v>16.198</v>
      </c>
      <c r="BK118" s="36" t="s">
        <v>480</v>
      </c>
      <c r="BL118" s="36">
        <v>6.5040000000000004</v>
      </c>
    </row>
    <row r="119" spans="1:64" ht="30" customHeight="1" x14ac:dyDescent="0.2">
      <c r="B119" s="62" t="s">
        <v>475</v>
      </c>
      <c r="C119" s="62" t="e">
        <f>VLOOKUP($B119,#REF!,COLUMNS($B119:C119),0)</f>
        <v>#REF!</v>
      </c>
      <c r="AD119" s="1" t="s">
        <v>211</v>
      </c>
      <c r="AE119" s="1" t="s">
        <v>212</v>
      </c>
      <c r="AF119" s="36" t="e">
        <f ca="1">_xll.BDP($AD119,AF$10)</f>
        <v>#NAME?</v>
      </c>
      <c r="AG119" s="36" t="e">
        <f ca="1">_xll.BDH($AD119,AG$10,$C$5,$C$5,"EQY_FUND_CRNCY=USD")</f>
        <v>#NAME?</v>
      </c>
      <c r="AH119" s="36" t="e">
        <f ca="1">_xll.BDH($AD119,AH$10,$C$5,$C$5,"EQY_FUND_CRNCY=USD")</f>
        <v>#NAME?</v>
      </c>
      <c r="AI119" s="36" t="e">
        <f ca="1">_xll.BDP($AD119,AI$10,"EQY_FUND_CRNCY=USD","FA_ADJUSTED=Y")</f>
        <v>#NAME?</v>
      </c>
      <c r="AJ119" s="36" t="e">
        <f ca="1">_xll.BDP($AD119,AJ$10,"BEST_FPERIOD_OVERRIDE=1TY","EQY_FUND_CRNCY=USD","FA_ADJUSTED=Y")</f>
        <v>#NAME?</v>
      </c>
      <c r="AK119" s="44" t="e">
        <f t="shared" ca="1" si="19"/>
        <v>#NAME?</v>
      </c>
      <c r="AL119" s="36" t="e">
        <f ca="1">_xll.BDP($AD119,AL$10,"EQY_FUND_CRNCY=USD","FA_ADJUSTED=Y")</f>
        <v>#NAME?</v>
      </c>
      <c r="AM119" s="36" t="e">
        <f ca="1">_xll.BDP($AD119,AM$10,"BEST_FPERIOD_OVERRIDE=1TY","EQY_FUND_CRNCY=USD","FA_ADJUSTED=Y")</f>
        <v>#NAME?</v>
      </c>
      <c r="AN119" s="36" t="e">
        <f ca="1">_xll.BDP($AD119,AN$10,"BEST_FPERIOD_OVERRIDE=1TY","EQY_FUND_CRNCY=USD","FA_ADJUSTED=Y")</f>
        <v>#NAME?</v>
      </c>
      <c r="AO119" s="36" t="e">
        <f ca="1">_xll.BDP($AD119,AO$10,"BEST_FPERIOD_OVERRIDE=1TY","EQY_FUND_CRNCY=USD","FA_ADJUSTED=Y")</f>
        <v>#NAME?</v>
      </c>
      <c r="AP119" s="36" t="e">
        <f ca="1">_xll.BDP($AD119,AP$10,"BEST_FPERIOD_OVERRIDE=1TY","EQY_FUND_CRNCY=USD","FA_ADJUSTED=Y")</f>
        <v>#NAME?</v>
      </c>
      <c r="AQ119" s="36" t="e">
        <f ca="1">_xll.BDP($AD119,AQ$10,"EQY_FUND_CRNCY=USD","FA_ADJUSTED=Y")</f>
        <v>#NAME?</v>
      </c>
      <c r="AR119" s="36" t="e">
        <f ca="1">_xll.BDP($AD119,AR$10,"BEST_FPERIOD_OVERRIDE=1TY","EQY_FUND_CRNCY=USD","FA_ADJUSTED=Y")</f>
        <v>#NAME?</v>
      </c>
      <c r="AS119" s="36" t="e">
        <f ca="1">_xll.BDP($AD119,AS$10,"EQY_FUND_CRNCY=USD","FA_ADJUSTED=Y")</f>
        <v>#NAME?</v>
      </c>
      <c r="AT119" s="36" t="e">
        <f ca="1">_xll.BDP($AD119,AT$10,"BEST_FPERIOD_OVERRIDE=1TY","EQY_FUND_CRNCY=USD","FA_ADJUSTED=Y")</f>
        <v>#NAME?</v>
      </c>
      <c r="AV119" s="1" t="s">
        <v>211</v>
      </c>
      <c r="AW119" s="1" t="s">
        <v>212</v>
      </c>
      <c r="AX119" s="36" t="s">
        <v>495</v>
      </c>
      <c r="AY119" s="36">
        <v>2144.8136</v>
      </c>
      <c r="AZ119" s="36">
        <v>2527.3155999999999</v>
      </c>
      <c r="BA119" s="36">
        <v>213.15899999999999</v>
      </c>
      <c r="BB119" s="36">
        <v>282.81</v>
      </c>
      <c r="BC119" s="44">
        <v>0.32675608348697449</v>
      </c>
      <c r="BD119" s="36">
        <v>155.18199999999999</v>
      </c>
      <c r="BE119" s="36">
        <v>73.067000000000007</v>
      </c>
      <c r="BF119" s="36">
        <v>41.263999999999996</v>
      </c>
      <c r="BG119" s="36">
        <v>133.79400000000001</v>
      </c>
      <c r="BH119" s="36">
        <v>34.286000000000001</v>
      </c>
      <c r="BI119" s="36">
        <v>-43.302999999999997</v>
      </c>
      <c r="BJ119" s="36">
        <v>-23.48</v>
      </c>
      <c r="BK119" s="36">
        <v>-55.233550000000001</v>
      </c>
      <c r="BL119" s="36">
        <v>-39.237000000000002</v>
      </c>
    </row>
    <row r="120" spans="1:64" ht="30" customHeight="1" x14ac:dyDescent="0.2">
      <c r="B120" s="62" t="s">
        <v>477</v>
      </c>
      <c r="C120" s="62" t="e">
        <f>VLOOKUP($B120,#REF!,COLUMNS($B120:C120),0)</f>
        <v>#REF!</v>
      </c>
      <c r="AD120" s="1" t="s">
        <v>213</v>
      </c>
      <c r="AE120" s="1" t="s">
        <v>214</v>
      </c>
      <c r="AF120" s="36" t="e">
        <f ca="1">_xll.BDP($AD120,AF$10)</f>
        <v>#NAME?</v>
      </c>
      <c r="AG120" s="36" t="e">
        <f ca="1">_xll.BDH($AD120,AG$10,$C$5,$C$5,"EQY_FUND_CRNCY=USD")</f>
        <v>#NAME?</v>
      </c>
      <c r="AH120" s="36" t="e">
        <f ca="1">_xll.BDH($AD120,AH$10,$C$5,$C$5,"EQY_FUND_CRNCY=USD")</f>
        <v>#NAME?</v>
      </c>
      <c r="AI120" s="36" t="e">
        <f ca="1">_xll.BDP($AD120,AI$10,"EQY_FUND_CRNCY=USD","FA_ADJUSTED=Y")</f>
        <v>#NAME?</v>
      </c>
      <c r="AJ120" s="36" t="e">
        <f ca="1">_xll.BDP($AD120,AJ$10,"BEST_FPERIOD_OVERRIDE=1TY","EQY_FUND_CRNCY=USD","FA_ADJUSTED=Y")</f>
        <v>#NAME?</v>
      </c>
      <c r="AK120" s="44" t="e">
        <f t="shared" ca="1" si="19"/>
        <v>#NAME?</v>
      </c>
      <c r="AL120" s="36" t="e">
        <f ca="1">_xll.BDP($AD120,AL$10,"EQY_FUND_CRNCY=USD","FA_ADJUSTED=Y")</f>
        <v>#NAME?</v>
      </c>
      <c r="AM120" s="36" t="e">
        <f ca="1">_xll.BDP($AD120,AM$10,"BEST_FPERIOD_OVERRIDE=1TY","EQY_FUND_CRNCY=USD","FA_ADJUSTED=Y")</f>
        <v>#NAME?</v>
      </c>
      <c r="AN120" s="36" t="e">
        <f ca="1">_xll.BDP($AD120,AN$10,"BEST_FPERIOD_OVERRIDE=1TY","EQY_FUND_CRNCY=USD","FA_ADJUSTED=Y")</f>
        <v>#NAME?</v>
      </c>
      <c r="AO120" s="36" t="e">
        <f ca="1">_xll.BDP($AD120,AO$10,"BEST_FPERIOD_OVERRIDE=1TY","EQY_FUND_CRNCY=USD","FA_ADJUSTED=Y")</f>
        <v>#NAME?</v>
      </c>
      <c r="AP120" s="36" t="e">
        <f ca="1">_xll.BDP($AD120,AP$10,"BEST_FPERIOD_OVERRIDE=1TY","EQY_FUND_CRNCY=USD","FA_ADJUSTED=Y")</f>
        <v>#NAME?</v>
      </c>
      <c r="AQ120" s="36" t="e">
        <f ca="1">_xll.BDP($AD120,AQ$10,"EQY_FUND_CRNCY=USD","FA_ADJUSTED=Y")</f>
        <v>#NAME?</v>
      </c>
      <c r="AR120" s="36" t="e">
        <f ca="1">_xll.BDP($AD120,AR$10,"BEST_FPERIOD_OVERRIDE=1TY","EQY_FUND_CRNCY=USD","FA_ADJUSTED=Y")</f>
        <v>#NAME?</v>
      </c>
      <c r="AS120" s="36" t="e">
        <f ca="1">_xll.BDP($AD120,AS$10,"EQY_FUND_CRNCY=USD","FA_ADJUSTED=Y")</f>
        <v>#NAME?</v>
      </c>
      <c r="AT120" s="36" t="e">
        <f ca="1">_xll.BDP($AD120,AT$10,"BEST_FPERIOD_OVERRIDE=1TY","EQY_FUND_CRNCY=USD","FA_ADJUSTED=Y")</f>
        <v>#NAME?</v>
      </c>
      <c r="AV120" s="1" t="s">
        <v>213</v>
      </c>
      <c r="AW120" s="1" t="s">
        <v>214</v>
      </c>
      <c r="AX120" s="36" t="s">
        <v>495</v>
      </c>
      <c r="AY120" s="36">
        <v>2123.6478000000002</v>
      </c>
      <c r="AZ120" s="36">
        <v>2086.6887999999999</v>
      </c>
      <c r="BA120" s="36">
        <v>375.99900000000002</v>
      </c>
      <c r="BB120" s="36">
        <v>410.81200000000001</v>
      </c>
      <c r="BC120" s="44">
        <v>9.2588012202160064E-2</v>
      </c>
      <c r="BD120" s="36">
        <v>251.41600036621094</v>
      </c>
      <c r="BE120" s="36">
        <v>68.244</v>
      </c>
      <c r="BF120" s="36">
        <v>72.754999999999995</v>
      </c>
      <c r="BG120" s="36">
        <v>43.49</v>
      </c>
      <c r="BH120" s="36">
        <v>55.396000000000001</v>
      </c>
      <c r="BI120" s="36">
        <v>78.801000000000002</v>
      </c>
      <c r="BJ120" s="36">
        <v>86.858000000000004</v>
      </c>
      <c r="BK120" s="36">
        <v>54.195191958732003</v>
      </c>
      <c r="BL120" s="36">
        <v>60.554000000000002</v>
      </c>
    </row>
    <row r="121" spans="1:64" ht="30" customHeight="1" x14ac:dyDescent="0.2">
      <c r="B121" s="62" t="s">
        <v>478</v>
      </c>
      <c r="C121" s="62" t="e">
        <f>VLOOKUP($B121,#REF!,COLUMNS($B121:C121),0)</f>
        <v>#REF!</v>
      </c>
      <c r="AD121" s="1" t="s">
        <v>215</v>
      </c>
      <c r="AE121" s="1" t="s">
        <v>216</v>
      </c>
      <c r="AF121" s="36" t="e">
        <f ca="1">_xll.BDP($AD121,AF$10)</f>
        <v>#NAME?</v>
      </c>
      <c r="AG121" s="36" t="e">
        <f ca="1">_xll.BDH($AD121,AG$10,$C$5,$C$5,"EQY_FUND_CRNCY=USD")</f>
        <v>#NAME?</v>
      </c>
      <c r="AH121" s="36" t="e">
        <f ca="1">_xll.BDH($AD121,AH$10,$C$5,$C$5,"EQY_FUND_CRNCY=USD")</f>
        <v>#NAME?</v>
      </c>
      <c r="AI121" s="36" t="e">
        <f ca="1">_xll.BDP($AD121,AI$10,"EQY_FUND_CRNCY=USD","FA_ADJUSTED=Y")</f>
        <v>#NAME?</v>
      </c>
      <c r="AJ121" s="36" t="e">
        <f ca="1">_xll.BDP($AD121,AJ$10,"BEST_FPERIOD_OVERRIDE=1TY","EQY_FUND_CRNCY=USD","FA_ADJUSTED=Y")</f>
        <v>#NAME?</v>
      </c>
      <c r="AK121" s="44" t="e">
        <f t="shared" ca="1" si="19"/>
        <v>#NAME?</v>
      </c>
      <c r="AL121" s="36" t="e">
        <f ca="1">_xll.BDP($AD121,AL$10,"EQY_FUND_CRNCY=USD","FA_ADJUSTED=Y")</f>
        <v>#NAME?</v>
      </c>
      <c r="AM121" s="36" t="e">
        <f ca="1">_xll.BDP($AD121,AM$10,"BEST_FPERIOD_OVERRIDE=1TY","EQY_FUND_CRNCY=USD","FA_ADJUSTED=Y")</f>
        <v>#NAME?</v>
      </c>
      <c r="AN121" s="36" t="e">
        <f ca="1">_xll.BDP($AD121,AN$10,"BEST_FPERIOD_OVERRIDE=1TY","EQY_FUND_CRNCY=USD","FA_ADJUSTED=Y")</f>
        <v>#NAME?</v>
      </c>
      <c r="AO121" s="36" t="e">
        <f ca="1">_xll.BDP($AD121,AO$10,"BEST_FPERIOD_OVERRIDE=1TY","EQY_FUND_CRNCY=USD","FA_ADJUSTED=Y")</f>
        <v>#NAME?</v>
      </c>
      <c r="AP121" s="36" t="e">
        <f ca="1">_xll.BDP($AD121,AP$10,"BEST_FPERIOD_OVERRIDE=1TY","EQY_FUND_CRNCY=USD","FA_ADJUSTED=Y")</f>
        <v>#NAME?</v>
      </c>
      <c r="AQ121" s="36" t="e">
        <f ca="1">_xll.BDP($AD121,AQ$10,"EQY_FUND_CRNCY=USD","FA_ADJUSTED=Y")</f>
        <v>#NAME?</v>
      </c>
      <c r="AR121" s="36" t="e">
        <f ca="1">_xll.BDP($AD121,AR$10,"BEST_FPERIOD_OVERRIDE=1TY","EQY_FUND_CRNCY=USD","FA_ADJUSTED=Y")</f>
        <v>#NAME?</v>
      </c>
      <c r="AS121" s="36" t="e">
        <f ca="1">_xll.BDP($AD121,AS$10,"EQY_FUND_CRNCY=USD","FA_ADJUSTED=Y")</f>
        <v>#NAME?</v>
      </c>
      <c r="AT121" s="36" t="e">
        <f ca="1">_xll.BDP($AD121,AT$10,"BEST_FPERIOD_OVERRIDE=1TY","EQY_FUND_CRNCY=USD","FA_ADJUSTED=Y")</f>
        <v>#NAME?</v>
      </c>
      <c r="AV121" s="1" t="s">
        <v>215</v>
      </c>
      <c r="AW121" s="1" t="s">
        <v>216</v>
      </c>
      <c r="AX121" s="36" t="s">
        <v>495</v>
      </c>
      <c r="AY121" s="36">
        <v>2082.1448999999998</v>
      </c>
      <c r="AZ121" s="36">
        <v>1642.0148999999999</v>
      </c>
      <c r="BA121" s="36">
        <v>411.06400000000002</v>
      </c>
      <c r="BB121" s="36">
        <v>487.03300000000002</v>
      </c>
      <c r="BC121" s="44">
        <v>0.18481063775957018</v>
      </c>
      <c r="BD121" s="36">
        <v>279.62800469970705</v>
      </c>
      <c r="BE121" s="36">
        <v>75.41</v>
      </c>
      <c r="BF121" s="36">
        <v>215.69499999999999</v>
      </c>
      <c r="BG121" s="36">
        <v>298.46699999999998</v>
      </c>
      <c r="BH121" s="36">
        <v>85.539000000000001</v>
      </c>
      <c r="BI121" s="36">
        <v>-176.494</v>
      </c>
      <c r="BJ121" s="36">
        <v>-58.75</v>
      </c>
      <c r="BK121" s="36">
        <v>-184.54894999999999</v>
      </c>
      <c r="BL121" s="36">
        <v>-70.158000000000001</v>
      </c>
    </row>
    <row r="122" spans="1:64" x14ac:dyDescent="0.2">
      <c r="AD122" s="1" t="s">
        <v>217</v>
      </c>
      <c r="AE122" s="1" t="s">
        <v>218</v>
      </c>
      <c r="AF122" s="36" t="e">
        <f ca="1">_xll.BDP($AD122,AF$10)</f>
        <v>#NAME?</v>
      </c>
      <c r="AG122" s="36" t="e">
        <f ca="1">_xll.BDH($AD122,AG$10,$C$5,$C$5,"EQY_FUND_CRNCY=USD")</f>
        <v>#NAME?</v>
      </c>
      <c r="AH122" s="36" t="e">
        <f ca="1">_xll.BDH($AD122,AH$10,$C$5,$C$5,"EQY_FUND_CRNCY=USD")</f>
        <v>#NAME?</v>
      </c>
      <c r="AI122" s="36" t="e">
        <f ca="1">_xll.BDP($AD122,AI$10,"EQY_FUND_CRNCY=USD","FA_ADJUSTED=Y")</f>
        <v>#NAME?</v>
      </c>
      <c r="AJ122" s="36" t="e">
        <f ca="1">_xll.BDP($AD122,AJ$10,"BEST_FPERIOD_OVERRIDE=1TY","EQY_FUND_CRNCY=USD","FA_ADJUSTED=Y")</f>
        <v>#NAME?</v>
      </c>
      <c r="AK122" s="44" t="e">
        <f t="shared" ca="1" si="19"/>
        <v>#NAME?</v>
      </c>
      <c r="AL122" s="36" t="e">
        <f ca="1">_xll.BDP($AD122,AL$10,"EQY_FUND_CRNCY=USD","FA_ADJUSTED=Y")</f>
        <v>#NAME?</v>
      </c>
      <c r="AM122" s="36" t="e">
        <f ca="1">_xll.BDP($AD122,AM$10,"BEST_FPERIOD_OVERRIDE=1TY","EQY_FUND_CRNCY=USD","FA_ADJUSTED=Y")</f>
        <v>#NAME?</v>
      </c>
      <c r="AN122" s="36" t="e">
        <f ca="1">_xll.BDP($AD122,AN$10,"BEST_FPERIOD_OVERRIDE=1TY","EQY_FUND_CRNCY=USD","FA_ADJUSTED=Y")</f>
        <v>#NAME?</v>
      </c>
      <c r="AO122" s="36" t="e">
        <f ca="1">_xll.BDP($AD122,AO$10,"BEST_FPERIOD_OVERRIDE=1TY","EQY_FUND_CRNCY=USD","FA_ADJUSTED=Y")</f>
        <v>#NAME?</v>
      </c>
      <c r="AP122" s="36" t="e">
        <f ca="1">_xll.BDP($AD122,AP$10,"BEST_FPERIOD_OVERRIDE=1TY","EQY_FUND_CRNCY=USD","FA_ADJUSTED=Y")</f>
        <v>#NAME?</v>
      </c>
      <c r="AQ122" s="36" t="e">
        <f ca="1">_xll.BDP($AD122,AQ$10,"EQY_FUND_CRNCY=USD","FA_ADJUSTED=Y")</f>
        <v>#NAME?</v>
      </c>
      <c r="AR122" s="36" t="e">
        <f ca="1">_xll.BDP($AD122,AR$10,"BEST_FPERIOD_OVERRIDE=1TY","EQY_FUND_CRNCY=USD","FA_ADJUSTED=Y")</f>
        <v>#NAME?</v>
      </c>
      <c r="AS122" s="36" t="e">
        <f ca="1">_xll.BDP($AD122,AS$10,"EQY_FUND_CRNCY=USD","FA_ADJUSTED=Y")</f>
        <v>#NAME?</v>
      </c>
      <c r="AT122" s="36" t="e">
        <f ca="1">_xll.BDP($AD122,AT$10,"BEST_FPERIOD_OVERRIDE=1TY","EQY_FUND_CRNCY=USD","FA_ADJUSTED=Y")</f>
        <v>#NAME?</v>
      </c>
      <c r="AV122" s="1" t="s">
        <v>217</v>
      </c>
      <c r="AW122" s="1" t="s">
        <v>218</v>
      </c>
      <c r="AX122" s="36" t="s">
        <v>495</v>
      </c>
      <c r="AY122" s="36">
        <v>2134.5376999999999</v>
      </c>
      <c r="AZ122" s="36">
        <v>2066.1927000000001</v>
      </c>
      <c r="BA122" s="36">
        <v>225.50900000000001</v>
      </c>
      <c r="BB122" s="36">
        <v>266.108</v>
      </c>
      <c r="BC122" s="44">
        <v>0.18003272596659103</v>
      </c>
      <c r="BD122" s="36">
        <v>133.13299966430662</v>
      </c>
      <c r="BE122" s="36">
        <v>62.867000000000004</v>
      </c>
      <c r="BF122" s="36">
        <v>27.119999999999997</v>
      </c>
      <c r="BG122" s="36">
        <v>66.569999999999993</v>
      </c>
      <c r="BH122" s="36">
        <v>29.151</v>
      </c>
      <c r="BI122" s="36">
        <v>10.643000000000001</v>
      </c>
      <c r="BJ122" s="36">
        <v>40.977000000000004</v>
      </c>
      <c r="BK122" s="36">
        <v>-2.3560000000000003</v>
      </c>
      <c r="BL122" s="36">
        <v>28.244</v>
      </c>
    </row>
    <row r="123" spans="1:64" x14ac:dyDescent="0.2">
      <c r="A123" s="8" t="s">
        <v>457</v>
      </c>
      <c r="AD123" s="1" t="s">
        <v>219</v>
      </c>
      <c r="AE123" s="1" t="s">
        <v>220</v>
      </c>
      <c r="AF123" s="36" t="e">
        <f ca="1">_xll.BDP($AD123,AF$10)</f>
        <v>#NAME?</v>
      </c>
      <c r="AG123" s="36" t="e">
        <f ca="1">_xll.BDH($AD123,AG$10,$C$5,$C$5,"EQY_FUND_CRNCY=USD")</f>
        <v>#NAME?</v>
      </c>
      <c r="AH123" s="36" t="e">
        <f ca="1">_xll.BDH($AD123,AH$10,$C$5,$C$5,"EQY_FUND_CRNCY=USD")</f>
        <v>#NAME?</v>
      </c>
      <c r="AI123" s="36" t="e">
        <f ca="1">_xll.BDP($AD123,AI$10,"EQY_FUND_CRNCY=USD","FA_ADJUSTED=Y")</f>
        <v>#NAME?</v>
      </c>
      <c r="AJ123" s="36" t="e">
        <f ca="1">_xll.BDP($AD123,AJ$10,"BEST_FPERIOD_OVERRIDE=1TY","EQY_FUND_CRNCY=USD","FA_ADJUSTED=Y")</f>
        <v>#NAME?</v>
      </c>
      <c r="AK123" s="44" t="e">
        <f t="shared" ca="1" si="19"/>
        <v>#NAME?</v>
      </c>
      <c r="AL123" s="36" t="e">
        <f ca="1">_xll.BDP($AD123,AL$10,"EQY_FUND_CRNCY=USD","FA_ADJUSTED=Y")</f>
        <v>#NAME?</v>
      </c>
      <c r="AM123" s="36" t="e">
        <f ca="1">_xll.BDP($AD123,AM$10,"BEST_FPERIOD_OVERRIDE=1TY","EQY_FUND_CRNCY=USD","FA_ADJUSTED=Y")</f>
        <v>#NAME?</v>
      </c>
      <c r="AN123" s="36" t="e">
        <f ca="1">_xll.BDP($AD123,AN$10,"BEST_FPERIOD_OVERRIDE=1TY","EQY_FUND_CRNCY=USD","FA_ADJUSTED=Y")</f>
        <v>#NAME?</v>
      </c>
      <c r="AO123" s="36" t="e">
        <f ca="1">_xll.BDP($AD123,AO$10,"BEST_FPERIOD_OVERRIDE=1TY","EQY_FUND_CRNCY=USD","FA_ADJUSTED=Y")</f>
        <v>#NAME?</v>
      </c>
      <c r="AP123" s="36" t="e">
        <f ca="1">_xll.BDP($AD123,AP$10,"BEST_FPERIOD_OVERRIDE=1TY","EQY_FUND_CRNCY=USD","FA_ADJUSTED=Y")</f>
        <v>#NAME?</v>
      </c>
      <c r="AQ123" s="36" t="e">
        <f ca="1">_xll.BDP($AD123,AQ$10,"EQY_FUND_CRNCY=USD","FA_ADJUSTED=Y")</f>
        <v>#NAME?</v>
      </c>
      <c r="AR123" s="36" t="e">
        <f ca="1">_xll.BDP($AD123,AR$10,"BEST_FPERIOD_OVERRIDE=1TY","EQY_FUND_CRNCY=USD","FA_ADJUSTED=Y")</f>
        <v>#NAME?</v>
      </c>
      <c r="AS123" s="36" t="e">
        <f ca="1">_xll.BDP($AD123,AS$10,"EQY_FUND_CRNCY=USD","FA_ADJUSTED=Y")</f>
        <v>#NAME?</v>
      </c>
      <c r="AT123" s="36" t="e">
        <f ca="1">_xll.BDP($AD123,AT$10,"BEST_FPERIOD_OVERRIDE=1TY","EQY_FUND_CRNCY=USD","FA_ADJUSTED=Y")</f>
        <v>#NAME?</v>
      </c>
      <c r="AV123" s="1" t="s">
        <v>219</v>
      </c>
      <c r="AW123" s="1" t="s">
        <v>220</v>
      </c>
      <c r="AX123" s="36" t="s">
        <v>495</v>
      </c>
      <c r="AY123" s="36">
        <v>2162.7305999999999</v>
      </c>
      <c r="AZ123" s="36">
        <v>2059.2656000000002</v>
      </c>
      <c r="BA123" s="36">
        <v>215.20100000000002</v>
      </c>
      <c r="BB123" s="36">
        <v>265.75200000000001</v>
      </c>
      <c r="BC123" s="44">
        <v>0.2349013248079701</v>
      </c>
      <c r="BD123" s="36">
        <v>106.53599938964844</v>
      </c>
      <c r="BE123" s="36">
        <v>52.910000000000004</v>
      </c>
      <c r="BF123" s="36">
        <v>40.338000000000001</v>
      </c>
      <c r="BG123" s="36">
        <v>41.17</v>
      </c>
      <c r="BH123" s="36">
        <v>37.179000000000002</v>
      </c>
      <c r="BI123" s="36">
        <v>-7.5960000000000001</v>
      </c>
      <c r="BJ123" s="36">
        <v>28.12</v>
      </c>
      <c r="BK123" s="36">
        <v>-24.3462</v>
      </c>
      <c r="BL123" s="36">
        <v>2.1080000000000001</v>
      </c>
    </row>
    <row r="124" spans="1:64" x14ac:dyDescent="0.2">
      <c r="AD124" s="1" t="s">
        <v>221</v>
      </c>
      <c r="AE124" s="1" t="s">
        <v>222</v>
      </c>
      <c r="AF124" s="36" t="e">
        <f ca="1">_xll.BDP($AD124,AF$10)</f>
        <v>#NAME?</v>
      </c>
      <c r="AG124" s="36" t="e">
        <f ca="1">_xll.BDH($AD124,AG$10,$C$5,$C$5,"EQY_FUND_CRNCY=USD")</f>
        <v>#NAME?</v>
      </c>
      <c r="AH124" s="36" t="e">
        <f ca="1">_xll.BDH($AD124,AH$10,$C$5,$C$5,"EQY_FUND_CRNCY=USD")</f>
        <v>#NAME?</v>
      </c>
      <c r="AI124" s="36" t="e">
        <f ca="1">_xll.BDP($AD124,AI$10,"EQY_FUND_CRNCY=USD","FA_ADJUSTED=Y")</f>
        <v>#NAME?</v>
      </c>
      <c r="AJ124" s="36" t="e">
        <f ca="1">_xll.BDP($AD124,AJ$10,"BEST_FPERIOD_OVERRIDE=1TY","EQY_FUND_CRNCY=USD","FA_ADJUSTED=Y")</f>
        <v>#NAME?</v>
      </c>
      <c r="AK124" s="44" t="e">
        <f t="shared" ca="1" si="19"/>
        <v>#NAME?</v>
      </c>
      <c r="AL124" s="36" t="e">
        <f ca="1">_xll.BDP($AD124,AL$10,"EQY_FUND_CRNCY=USD","FA_ADJUSTED=Y")</f>
        <v>#NAME?</v>
      </c>
      <c r="AM124" s="36" t="e">
        <f ca="1">_xll.BDP($AD124,AM$10,"BEST_FPERIOD_OVERRIDE=1TY","EQY_FUND_CRNCY=USD","FA_ADJUSTED=Y")</f>
        <v>#NAME?</v>
      </c>
      <c r="AN124" s="36" t="e">
        <f ca="1">_xll.BDP($AD124,AN$10,"BEST_FPERIOD_OVERRIDE=1TY","EQY_FUND_CRNCY=USD","FA_ADJUSTED=Y")</f>
        <v>#NAME?</v>
      </c>
      <c r="AO124" s="36" t="e">
        <f ca="1">_xll.BDP($AD124,AO$10,"BEST_FPERIOD_OVERRIDE=1TY","EQY_FUND_CRNCY=USD","FA_ADJUSTED=Y")</f>
        <v>#NAME?</v>
      </c>
      <c r="AP124" s="36" t="e">
        <f ca="1">_xll.BDP($AD124,AP$10,"BEST_FPERIOD_OVERRIDE=1TY","EQY_FUND_CRNCY=USD","FA_ADJUSTED=Y")</f>
        <v>#NAME?</v>
      </c>
      <c r="AQ124" s="36" t="e">
        <f ca="1">_xll.BDP($AD124,AQ$10,"EQY_FUND_CRNCY=USD","FA_ADJUSTED=Y")</f>
        <v>#NAME?</v>
      </c>
      <c r="AR124" s="36" t="e">
        <f ca="1">_xll.BDP($AD124,AR$10,"BEST_FPERIOD_OVERRIDE=1TY","EQY_FUND_CRNCY=USD","FA_ADJUSTED=Y")</f>
        <v>#NAME?</v>
      </c>
      <c r="AS124" s="36" t="e">
        <f ca="1">_xll.BDP($AD124,AS$10,"EQY_FUND_CRNCY=USD","FA_ADJUSTED=Y")</f>
        <v>#NAME?</v>
      </c>
      <c r="AT124" s="36" t="e">
        <f ca="1">_xll.BDP($AD124,AT$10,"BEST_FPERIOD_OVERRIDE=1TY","EQY_FUND_CRNCY=USD","FA_ADJUSTED=Y")</f>
        <v>#NAME?</v>
      </c>
      <c r="AV124" s="1" t="s">
        <v>221</v>
      </c>
      <c r="AW124" s="1" t="s">
        <v>222</v>
      </c>
      <c r="AX124" s="36" t="s">
        <v>506</v>
      </c>
      <c r="AY124" s="36">
        <v>2114.5731999999998</v>
      </c>
      <c r="AZ124" s="36">
        <v>1943.9061999999999</v>
      </c>
      <c r="BA124" s="36">
        <v>807.30500000000006</v>
      </c>
      <c r="BB124" s="36">
        <v>961.45699999999999</v>
      </c>
      <c r="BC124" s="44">
        <v>0.19094642049782906</v>
      </c>
      <c r="BD124" s="36">
        <v>275.29600018310543</v>
      </c>
      <c r="BE124" s="36">
        <v>35.366999999999997</v>
      </c>
      <c r="BF124" s="36">
        <v>0</v>
      </c>
      <c r="BG124" s="36">
        <v>53.383000000000003</v>
      </c>
      <c r="BH124" s="36">
        <v>102.56699999999999</v>
      </c>
      <c r="BI124" s="36">
        <v>101.57077215189899</v>
      </c>
      <c r="BJ124" s="36">
        <v>166.20000000000002</v>
      </c>
      <c r="BK124" s="36">
        <v>66.466239999999999</v>
      </c>
      <c r="BL124" s="36">
        <v>102.023</v>
      </c>
    </row>
    <row r="125" spans="1:64" x14ac:dyDescent="0.2">
      <c r="AD125" s="1" t="s">
        <v>223</v>
      </c>
      <c r="AE125" s="1" t="s">
        <v>224</v>
      </c>
      <c r="AF125" s="36" t="e">
        <f ca="1">_xll.BDP($AD125,AF$10)</f>
        <v>#NAME?</v>
      </c>
      <c r="AG125" s="36" t="e">
        <f ca="1">_xll.BDH($AD125,AG$10,$C$5,$C$5,"EQY_FUND_CRNCY=USD")</f>
        <v>#NAME?</v>
      </c>
      <c r="AH125" s="36" t="e">
        <f ca="1">_xll.BDH($AD125,AH$10,$C$5,$C$5,"EQY_FUND_CRNCY=USD")</f>
        <v>#NAME?</v>
      </c>
      <c r="AI125" s="36" t="e">
        <f ca="1">_xll.BDP($AD125,AI$10,"EQY_FUND_CRNCY=USD","FA_ADJUSTED=Y")</f>
        <v>#NAME?</v>
      </c>
      <c r="AJ125" s="36" t="e">
        <f ca="1">_xll.BDP($AD125,AJ$10,"BEST_FPERIOD_OVERRIDE=1TY","EQY_FUND_CRNCY=USD","FA_ADJUSTED=Y")</f>
        <v>#NAME?</v>
      </c>
      <c r="AK125" s="44" t="e">
        <f t="shared" ca="1" si="19"/>
        <v>#NAME?</v>
      </c>
      <c r="AL125" s="36" t="e">
        <f ca="1">_xll.BDP($AD125,AL$10,"EQY_FUND_CRNCY=USD","FA_ADJUSTED=Y")</f>
        <v>#NAME?</v>
      </c>
      <c r="AM125" s="36" t="e">
        <f ca="1">_xll.BDP($AD125,AM$10,"BEST_FPERIOD_OVERRIDE=1TY","EQY_FUND_CRNCY=USD","FA_ADJUSTED=Y")</f>
        <v>#NAME?</v>
      </c>
      <c r="AN125" s="36" t="e">
        <f ca="1">_xll.BDP($AD125,AN$10,"BEST_FPERIOD_OVERRIDE=1TY","EQY_FUND_CRNCY=USD","FA_ADJUSTED=Y")</f>
        <v>#NAME?</v>
      </c>
      <c r="AO125" s="36" t="e">
        <f ca="1">_xll.BDP($AD125,AO$10,"BEST_FPERIOD_OVERRIDE=1TY","EQY_FUND_CRNCY=USD","FA_ADJUSTED=Y")</f>
        <v>#NAME?</v>
      </c>
      <c r="AP125" s="36" t="e">
        <f ca="1">_xll.BDP($AD125,AP$10,"BEST_FPERIOD_OVERRIDE=1TY","EQY_FUND_CRNCY=USD","FA_ADJUSTED=Y")</f>
        <v>#NAME?</v>
      </c>
      <c r="AQ125" s="36" t="e">
        <f ca="1">_xll.BDP($AD125,AQ$10,"EQY_FUND_CRNCY=USD","FA_ADJUSTED=Y")</f>
        <v>#NAME?</v>
      </c>
      <c r="AR125" s="36" t="e">
        <f ca="1">_xll.BDP($AD125,AR$10,"BEST_FPERIOD_OVERRIDE=1TY","EQY_FUND_CRNCY=USD","FA_ADJUSTED=Y")</f>
        <v>#NAME?</v>
      </c>
      <c r="AS125" s="36" t="e">
        <f ca="1">_xll.BDP($AD125,AS$10,"EQY_FUND_CRNCY=USD","FA_ADJUSTED=Y")</f>
        <v>#NAME?</v>
      </c>
      <c r="AT125" s="36" t="e">
        <f ca="1">_xll.BDP($AD125,AT$10,"BEST_FPERIOD_OVERRIDE=1TY","EQY_FUND_CRNCY=USD","FA_ADJUSTED=Y")</f>
        <v>#NAME?</v>
      </c>
      <c r="AV125" s="1" t="s">
        <v>223</v>
      </c>
      <c r="AW125" s="1" t="s">
        <v>224</v>
      </c>
      <c r="AX125" s="36" t="s">
        <v>495</v>
      </c>
      <c r="AY125" s="36">
        <v>2051.6304</v>
      </c>
      <c r="AZ125" s="36">
        <v>1905.4384</v>
      </c>
      <c r="BA125" s="36">
        <v>282.14300000000003</v>
      </c>
      <c r="BB125" s="36">
        <v>349.18299999999999</v>
      </c>
      <c r="BC125" s="44">
        <v>0.23761000627341433</v>
      </c>
      <c r="BD125" s="36">
        <v>206.71999600219726</v>
      </c>
      <c r="BE125" s="36">
        <v>73.540000000000006</v>
      </c>
      <c r="BF125" s="36">
        <v>38.372999999999998</v>
      </c>
      <c r="BG125" s="36">
        <v>121.246</v>
      </c>
      <c r="BH125" s="36">
        <v>36.988999999999997</v>
      </c>
      <c r="BI125" s="36">
        <v>17.619</v>
      </c>
      <c r="BJ125" s="36">
        <v>53.279000000000003</v>
      </c>
      <c r="BK125" s="36">
        <v>-11.200076829023001</v>
      </c>
      <c r="BL125" s="36">
        <v>15.266999999999999</v>
      </c>
    </row>
    <row r="126" spans="1:64" x14ac:dyDescent="0.2">
      <c r="AD126" s="1" t="s">
        <v>225</v>
      </c>
      <c r="AE126" s="1" t="s">
        <v>226</v>
      </c>
      <c r="AF126" s="36" t="e">
        <f ca="1">_xll.BDP($AD126,AF$10)</f>
        <v>#NAME?</v>
      </c>
      <c r="AG126" s="36" t="e">
        <f ca="1">_xll.BDH($AD126,AG$10,$C$5,$C$5,"EQY_FUND_CRNCY=USD")</f>
        <v>#NAME?</v>
      </c>
      <c r="AH126" s="36" t="e">
        <f ca="1">_xll.BDH($AD126,AH$10,$C$5,$C$5,"EQY_FUND_CRNCY=USD")</f>
        <v>#NAME?</v>
      </c>
      <c r="AI126" s="36" t="e">
        <f ca="1">_xll.BDP($AD126,AI$10,"EQY_FUND_CRNCY=USD","FA_ADJUSTED=Y")</f>
        <v>#NAME?</v>
      </c>
      <c r="AJ126" s="36" t="e">
        <f ca="1">_xll.BDP($AD126,AJ$10,"BEST_FPERIOD_OVERRIDE=1TY","EQY_FUND_CRNCY=USD","FA_ADJUSTED=Y")</f>
        <v>#NAME?</v>
      </c>
      <c r="AK126" s="44" t="e">
        <f t="shared" ca="1" si="19"/>
        <v>#NAME?</v>
      </c>
      <c r="AL126" s="36" t="e">
        <f ca="1">_xll.BDP($AD126,AL$10,"EQY_FUND_CRNCY=USD","FA_ADJUSTED=Y")</f>
        <v>#NAME?</v>
      </c>
      <c r="AM126" s="36" t="e">
        <f ca="1">_xll.BDP($AD126,AM$10,"BEST_FPERIOD_OVERRIDE=1TY","EQY_FUND_CRNCY=USD","FA_ADJUSTED=Y")</f>
        <v>#NAME?</v>
      </c>
      <c r="AN126" s="36" t="e">
        <f ca="1">_xll.BDP($AD126,AN$10,"BEST_FPERIOD_OVERRIDE=1TY","EQY_FUND_CRNCY=USD","FA_ADJUSTED=Y")</f>
        <v>#NAME?</v>
      </c>
      <c r="AO126" s="36" t="e">
        <f ca="1">_xll.BDP($AD126,AO$10,"BEST_FPERIOD_OVERRIDE=1TY","EQY_FUND_CRNCY=USD","FA_ADJUSTED=Y")</f>
        <v>#NAME?</v>
      </c>
      <c r="AP126" s="36" t="e">
        <f ca="1">_xll.BDP($AD126,AP$10,"BEST_FPERIOD_OVERRIDE=1TY","EQY_FUND_CRNCY=USD","FA_ADJUSTED=Y")</f>
        <v>#NAME?</v>
      </c>
      <c r="AQ126" s="36" t="e">
        <f ca="1">_xll.BDP($AD126,AQ$10,"EQY_FUND_CRNCY=USD","FA_ADJUSTED=Y")</f>
        <v>#NAME?</v>
      </c>
      <c r="AR126" s="36" t="e">
        <f ca="1">_xll.BDP($AD126,AR$10,"BEST_FPERIOD_OVERRIDE=1TY","EQY_FUND_CRNCY=USD","FA_ADJUSTED=Y")</f>
        <v>#NAME?</v>
      </c>
      <c r="AS126" s="36" t="e">
        <f ca="1">_xll.BDP($AD126,AS$10,"EQY_FUND_CRNCY=USD","FA_ADJUSTED=Y")</f>
        <v>#NAME?</v>
      </c>
      <c r="AT126" s="36" t="e">
        <f ca="1">_xll.BDP($AD126,AT$10,"BEST_FPERIOD_OVERRIDE=1TY","EQY_FUND_CRNCY=USD","FA_ADJUSTED=Y")</f>
        <v>#NAME?</v>
      </c>
      <c r="AV126" s="1" t="s">
        <v>225</v>
      </c>
      <c r="AW126" s="1" t="s">
        <v>226</v>
      </c>
      <c r="AX126" s="36" t="s">
        <v>495</v>
      </c>
      <c r="AY126" s="36">
        <v>2067.0387000000001</v>
      </c>
      <c r="AZ126" s="36">
        <v>2014.3187</v>
      </c>
      <c r="BA126" s="36">
        <v>165.38</v>
      </c>
      <c r="BB126" s="36">
        <v>205.85</v>
      </c>
      <c r="BC126" s="44">
        <v>0.24470915467408383</v>
      </c>
      <c r="BD126" s="36">
        <v>102.44899972534179</v>
      </c>
      <c r="BE126" s="36">
        <v>64.5</v>
      </c>
      <c r="BF126" s="36">
        <v>16.577999999999999</v>
      </c>
      <c r="BG126" s="36">
        <v>28.709</v>
      </c>
      <c r="BH126" s="36">
        <v>21.199000000000002</v>
      </c>
      <c r="BI126" s="36">
        <v>31.149000000000001</v>
      </c>
      <c r="BJ126" s="36">
        <v>44.4</v>
      </c>
      <c r="BK126" s="36">
        <v>18.071339999999999</v>
      </c>
      <c r="BL126" s="36">
        <v>39.49</v>
      </c>
    </row>
    <row r="127" spans="1:64" x14ac:dyDescent="0.2">
      <c r="AD127" s="1" t="s">
        <v>227</v>
      </c>
      <c r="AE127" s="1" t="s">
        <v>228</v>
      </c>
      <c r="AF127" s="36" t="e">
        <f ca="1">_xll.BDP($AD127,AF$10)</f>
        <v>#NAME?</v>
      </c>
      <c r="AG127" s="36" t="e">
        <f ca="1">_xll.BDH($AD127,AG$10,$C$5,$C$5,"EQY_FUND_CRNCY=USD")</f>
        <v>#NAME?</v>
      </c>
      <c r="AH127" s="36" t="e">
        <f ca="1">_xll.BDH($AD127,AH$10,$C$5,$C$5,"EQY_FUND_CRNCY=USD")</f>
        <v>#NAME?</v>
      </c>
      <c r="AI127" s="36" t="e">
        <f ca="1">_xll.BDP($AD127,AI$10,"EQY_FUND_CRNCY=USD","FA_ADJUSTED=Y")</f>
        <v>#NAME?</v>
      </c>
      <c r="AJ127" s="36" t="e">
        <f ca="1">_xll.BDP($AD127,AJ$10,"BEST_FPERIOD_OVERRIDE=1TY","EQY_FUND_CRNCY=USD","FA_ADJUSTED=Y")</f>
        <v>#NAME?</v>
      </c>
      <c r="AK127" s="44" t="e">
        <f t="shared" ca="1" si="19"/>
        <v>#NAME?</v>
      </c>
      <c r="AL127" s="36" t="e">
        <f ca="1">_xll.BDP($AD127,AL$10,"EQY_FUND_CRNCY=USD","FA_ADJUSTED=Y")</f>
        <v>#NAME?</v>
      </c>
      <c r="AM127" s="36" t="e">
        <f ca="1">_xll.BDP($AD127,AM$10,"BEST_FPERIOD_OVERRIDE=1TY","EQY_FUND_CRNCY=USD","FA_ADJUSTED=Y")</f>
        <v>#NAME?</v>
      </c>
      <c r="AN127" s="36" t="e">
        <f ca="1">_xll.BDP($AD127,AN$10,"BEST_FPERIOD_OVERRIDE=1TY","EQY_FUND_CRNCY=USD","FA_ADJUSTED=Y")</f>
        <v>#NAME?</v>
      </c>
      <c r="AO127" s="36" t="e">
        <f ca="1">_xll.BDP($AD127,AO$10,"BEST_FPERIOD_OVERRIDE=1TY","EQY_FUND_CRNCY=USD","FA_ADJUSTED=Y")</f>
        <v>#NAME?</v>
      </c>
      <c r="AP127" s="36" t="e">
        <f ca="1">_xll.BDP($AD127,AP$10,"BEST_FPERIOD_OVERRIDE=1TY","EQY_FUND_CRNCY=USD","FA_ADJUSTED=Y")</f>
        <v>#NAME?</v>
      </c>
      <c r="AQ127" s="36" t="e">
        <f ca="1">_xll.BDP($AD127,AQ$10,"EQY_FUND_CRNCY=USD","FA_ADJUSTED=Y")</f>
        <v>#NAME?</v>
      </c>
      <c r="AR127" s="36" t="e">
        <f ca="1">_xll.BDP($AD127,AR$10,"BEST_FPERIOD_OVERRIDE=1TY","EQY_FUND_CRNCY=USD","FA_ADJUSTED=Y")</f>
        <v>#NAME?</v>
      </c>
      <c r="AS127" s="36" t="e">
        <f ca="1">_xll.BDP($AD127,AS$10,"EQY_FUND_CRNCY=USD","FA_ADJUSTED=Y")</f>
        <v>#NAME?</v>
      </c>
      <c r="AT127" s="36" t="e">
        <f ca="1">_xll.BDP($AD127,AT$10,"BEST_FPERIOD_OVERRIDE=1TY","EQY_FUND_CRNCY=USD","FA_ADJUSTED=Y")</f>
        <v>#NAME?</v>
      </c>
      <c r="AV127" s="1" t="s">
        <v>227</v>
      </c>
      <c r="AW127" s="1" t="s">
        <v>228</v>
      </c>
      <c r="AX127" s="36" t="s">
        <v>505</v>
      </c>
      <c r="AY127" s="36">
        <v>1987.4133999999999</v>
      </c>
      <c r="AZ127" s="36">
        <v>2202.7654000000002</v>
      </c>
      <c r="BA127" s="36">
        <v>167.92599999999999</v>
      </c>
      <c r="BB127" s="36">
        <v>255.9</v>
      </c>
      <c r="BC127" s="44">
        <v>0.52388552100329933</v>
      </c>
      <c r="BD127" s="36">
        <v>88.019999999999982</v>
      </c>
      <c r="BE127" s="36">
        <v>55.325000000000003</v>
      </c>
      <c r="BF127" s="36">
        <v>38.638999999999996</v>
      </c>
      <c r="BG127" s="36">
        <v>73.087000000000003</v>
      </c>
      <c r="BH127" s="36">
        <v>22.571999999999999</v>
      </c>
      <c r="BI127" s="36">
        <v>-39.728000000000002</v>
      </c>
      <c r="BJ127" s="36">
        <v>-51.800000000000004</v>
      </c>
      <c r="BK127" s="36">
        <v>-47.155000000000001</v>
      </c>
      <c r="BL127" s="36">
        <v>-54.15</v>
      </c>
    </row>
    <row r="128" spans="1:64" x14ac:dyDescent="0.2">
      <c r="AD128" s="1" t="s">
        <v>229</v>
      </c>
      <c r="AE128" s="1" t="s">
        <v>230</v>
      </c>
      <c r="AF128" s="36" t="e">
        <f ca="1">_xll.BDP($AD128,AF$10)</f>
        <v>#NAME?</v>
      </c>
      <c r="AG128" s="36" t="e">
        <f ca="1">_xll.BDH($AD128,AG$10,$C$5,$C$5,"EQY_FUND_CRNCY=USD")</f>
        <v>#NAME?</v>
      </c>
      <c r="AH128" s="36" t="e">
        <f ca="1">_xll.BDH($AD128,AH$10,$C$5,$C$5,"EQY_FUND_CRNCY=USD")</f>
        <v>#NAME?</v>
      </c>
      <c r="AI128" s="36" t="e">
        <f ca="1">_xll.BDP($AD128,AI$10,"EQY_FUND_CRNCY=USD","FA_ADJUSTED=Y")</f>
        <v>#NAME?</v>
      </c>
      <c r="AJ128" s="36" t="e">
        <f ca="1">_xll.BDP($AD128,AJ$10,"BEST_FPERIOD_OVERRIDE=1TY","EQY_FUND_CRNCY=USD","FA_ADJUSTED=Y")</f>
        <v>#NAME?</v>
      </c>
      <c r="AK128" s="44" t="e">
        <f t="shared" ca="1" si="19"/>
        <v>#NAME?</v>
      </c>
      <c r="AL128" s="36" t="e">
        <f ca="1">_xll.BDP($AD128,AL$10,"EQY_FUND_CRNCY=USD","FA_ADJUSTED=Y")</f>
        <v>#NAME?</v>
      </c>
      <c r="AM128" s="36" t="e">
        <f ca="1">_xll.BDP($AD128,AM$10,"BEST_FPERIOD_OVERRIDE=1TY","EQY_FUND_CRNCY=USD","FA_ADJUSTED=Y")</f>
        <v>#NAME?</v>
      </c>
      <c r="AN128" s="36" t="e">
        <f ca="1">_xll.BDP($AD128,AN$10,"BEST_FPERIOD_OVERRIDE=1TY","EQY_FUND_CRNCY=USD","FA_ADJUSTED=Y")</f>
        <v>#NAME?</v>
      </c>
      <c r="AO128" s="36" t="e">
        <f ca="1">_xll.BDP($AD128,AO$10,"BEST_FPERIOD_OVERRIDE=1TY","EQY_FUND_CRNCY=USD","FA_ADJUSTED=Y")</f>
        <v>#NAME?</v>
      </c>
      <c r="AP128" s="36" t="e">
        <f ca="1">_xll.BDP($AD128,AP$10,"BEST_FPERIOD_OVERRIDE=1TY","EQY_FUND_CRNCY=USD","FA_ADJUSTED=Y")</f>
        <v>#NAME?</v>
      </c>
      <c r="AQ128" s="36" t="e">
        <f ca="1">_xll.BDP($AD128,AQ$10,"EQY_FUND_CRNCY=USD","FA_ADJUSTED=Y")</f>
        <v>#NAME?</v>
      </c>
      <c r="AR128" s="36" t="e">
        <f ca="1">_xll.BDP($AD128,AR$10,"BEST_FPERIOD_OVERRIDE=1TY","EQY_FUND_CRNCY=USD","FA_ADJUSTED=Y")</f>
        <v>#NAME?</v>
      </c>
      <c r="AS128" s="36" t="e">
        <f ca="1">_xll.BDP($AD128,AS$10,"EQY_FUND_CRNCY=USD","FA_ADJUSTED=Y")</f>
        <v>#NAME?</v>
      </c>
      <c r="AT128" s="36" t="e">
        <f ca="1">_xll.BDP($AD128,AT$10,"BEST_FPERIOD_OVERRIDE=1TY","EQY_FUND_CRNCY=USD","FA_ADJUSTED=Y")</f>
        <v>#NAME?</v>
      </c>
      <c r="AV128" s="1" t="s">
        <v>229</v>
      </c>
      <c r="AW128" s="1" t="s">
        <v>230</v>
      </c>
      <c r="AX128" s="36" t="s">
        <v>505</v>
      </c>
      <c r="AY128" s="36">
        <v>1941.7501</v>
      </c>
      <c r="AZ128" s="36">
        <v>1544.9141</v>
      </c>
      <c r="BA128" s="36">
        <v>344.017</v>
      </c>
      <c r="BB128" s="36">
        <v>369.76900000000001</v>
      </c>
      <c r="BC128" s="44">
        <v>7.4856765799364622E-2</v>
      </c>
      <c r="BD128" s="36">
        <v>274.43599694824218</v>
      </c>
      <c r="BE128" s="36">
        <v>80.14</v>
      </c>
      <c r="BF128" s="36">
        <v>63.451999999999998</v>
      </c>
      <c r="BG128" s="36">
        <v>152.178</v>
      </c>
      <c r="BH128" s="36">
        <v>54.435000000000002</v>
      </c>
      <c r="BI128" s="36">
        <v>7.0558987341769992</v>
      </c>
      <c r="BJ128" s="36">
        <v>42.024999999999999</v>
      </c>
      <c r="BK128" s="36">
        <v>-22.831899999999997</v>
      </c>
      <c r="BL128" s="36">
        <v>24.121000000000002</v>
      </c>
    </row>
    <row r="129" spans="30:64" x14ac:dyDescent="0.2">
      <c r="AD129" s="1" t="s">
        <v>231</v>
      </c>
      <c r="AE129" s="1" t="s">
        <v>232</v>
      </c>
      <c r="AF129" s="36" t="e">
        <f ca="1">_xll.BDP($AD129,AF$10)</f>
        <v>#NAME?</v>
      </c>
      <c r="AG129" s="36" t="e">
        <f ca="1">_xll.BDH($AD129,AG$10,$C$5,$C$5,"EQY_FUND_CRNCY=USD")</f>
        <v>#NAME?</v>
      </c>
      <c r="AH129" s="36" t="e">
        <f ca="1">_xll.BDH($AD129,AH$10,$C$5,$C$5,"EQY_FUND_CRNCY=USD")</f>
        <v>#NAME?</v>
      </c>
      <c r="AI129" s="36" t="e">
        <f ca="1">_xll.BDP($AD129,AI$10,"EQY_FUND_CRNCY=USD","FA_ADJUSTED=Y")</f>
        <v>#NAME?</v>
      </c>
      <c r="AJ129" s="36" t="e">
        <f ca="1">_xll.BDP($AD129,AJ$10,"BEST_FPERIOD_OVERRIDE=1TY","EQY_FUND_CRNCY=USD","FA_ADJUSTED=Y")</f>
        <v>#NAME?</v>
      </c>
      <c r="AK129" s="44" t="e">
        <f t="shared" ca="1" si="19"/>
        <v>#NAME?</v>
      </c>
      <c r="AL129" s="36" t="e">
        <f ca="1">_xll.BDP($AD129,AL$10,"EQY_FUND_CRNCY=USD","FA_ADJUSTED=Y")</f>
        <v>#NAME?</v>
      </c>
      <c r="AM129" s="36" t="e">
        <f ca="1">_xll.BDP($AD129,AM$10,"BEST_FPERIOD_OVERRIDE=1TY","EQY_FUND_CRNCY=USD","FA_ADJUSTED=Y")</f>
        <v>#NAME?</v>
      </c>
      <c r="AN129" s="36" t="e">
        <f ca="1">_xll.BDP($AD129,AN$10,"BEST_FPERIOD_OVERRIDE=1TY","EQY_FUND_CRNCY=USD","FA_ADJUSTED=Y")</f>
        <v>#NAME?</v>
      </c>
      <c r="AO129" s="36" t="e">
        <f ca="1">_xll.BDP($AD129,AO$10,"BEST_FPERIOD_OVERRIDE=1TY","EQY_FUND_CRNCY=USD","FA_ADJUSTED=Y")</f>
        <v>#NAME?</v>
      </c>
      <c r="AP129" s="36" t="e">
        <f ca="1">_xll.BDP($AD129,AP$10,"BEST_FPERIOD_OVERRIDE=1TY","EQY_FUND_CRNCY=USD","FA_ADJUSTED=Y")</f>
        <v>#NAME?</v>
      </c>
      <c r="AQ129" s="36" t="e">
        <f ca="1">_xll.BDP($AD129,AQ$10,"EQY_FUND_CRNCY=USD","FA_ADJUSTED=Y")</f>
        <v>#NAME?</v>
      </c>
      <c r="AR129" s="36" t="e">
        <f ca="1">_xll.BDP($AD129,AR$10,"BEST_FPERIOD_OVERRIDE=1TY","EQY_FUND_CRNCY=USD","FA_ADJUSTED=Y")</f>
        <v>#NAME?</v>
      </c>
      <c r="AS129" s="36" t="e">
        <f ca="1">_xll.BDP($AD129,AS$10,"EQY_FUND_CRNCY=USD","FA_ADJUSTED=Y")</f>
        <v>#NAME?</v>
      </c>
      <c r="AT129" s="36" t="e">
        <f ca="1">_xll.BDP($AD129,AT$10,"BEST_FPERIOD_OVERRIDE=1TY","EQY_FUND_CRNCY=USD","FA_ADJUSTED=Y")</f>
        <v>#NAME?</v>
      </c>
      <c r="AV129" s="1" t="s">
        <v>231</v>
      </c>
      <c r="AW129" s="1" t="s">
        <v>232</v>
      </c>
      <c r="AX129" s="36" t="s">
        <v>495</v>
      </c>
      <c r="AY129" s="36">
        <v>1924.1035999999999</v>
      </c>
      <c r="AZ129" s="36">
        <v>3072.9866000000002</v>
      </c>
      <c r="BA129" s="36">
        <v>695.45600000000013</v>
      </c>
      <c r="BB129" s="36">
        <v>738.77800000000002</v>
      </c>
      <c r="BC129" s="44">
        <v>6.2292941609533692E-2</v>
      </c>
      <c r="BD129" s="36">
        <v>457.86900097656246</v>
      </c>
      <c r="BE129" s="36">
        <v>65.614000000000004</v>
      </c>
      <c r="BF129" s="36">
        <v>22.102</v>
      </c>
      <c r="BG129" s="36">
        <v>114.75</v>
      </c>
      <c r="BH129" s="36">
        <v>166.75899999999999</v>
      </c>
      <c r="BI129" s="36" t="s">
        <v>480</v>
      </c>
      <c r="BJ129" s="36">
        <v>255.65</v>
      </c>
      <c r="BK129" s="36">
        <v>-12.891561643803</v>
      </c>
      <c r="BL129" s="36">
        <v>119.3</v>
      </c>
    </row>
    <row r="130" spans="30:64" x14ac:dyDescent="0.2">
      <c r="AD130" s="1" t="s">
        <v>233</v>
      </c>
      <c r="AE130" s="1" t="s">
        <v>234</v>
      </c>
      <c r="AF130" s="36" t="e">
        <f ca="1">_xll.BDP($AD130,AF$10)</f>
        <v>#NAME?</v>
      </c>
      <c r="AG130" s="36" t="e">
        <f ca="1">_xll.BDH($AD130,AG$10,$C$5,$C$5,"EQY_FUND_CRNCY=USD")</f>
        <v>#NAME?</v>
      </c>
      <c r="AH130" s="36" t="e">
        <f ca="1">_xll.BDH($AD130,AH$10,$C$5,$C$5,"EQY_FUND_CRNCY=USD")</f>
        <v>#NAME?</v>
      </c>
      <c r="AI130" s="36" t="e">
        <f ca="1">_xll.BDP($AD130,AI$10,"EQY_FUND_CRNCY=USD","FA_ADJUSTED=Y")</f>
        <v>#NAME?</v>
      </c>
      <c r="AJ130" s="36" t="e">
        <f ca="1">_xll.BDP($AD130,AJ$10,"BEST_FPERIOD_OVERRIDE=1TY","EQY_FUND_CRNCY=USD","FA_ADJUSTED=Y")</f>
        <v>#NAME?</v>
      </c>
      <c r="AK130" s="44" t="e">
        <f t="shared" ca="1" si="19"/>
        <v>#NAME?</v>
      </c>
      <c r="AL130" s="36" t="e">
        <f ca="1">_xll.BDP($AD130,AL$10,"EQY_FUND_CRNCY=USD","FA_ADJUSTED=Y")</f>
        <v>#NAME?</v>
      </c>
      <c r="AM130" s="36" t="e">
        <f ca="1">_xll.BDP($AD130,AM$10,"BEST_FPERIOD_OVERRIDE=1TY","EQY_FUND_CRNCY=USD","FA_ADJUSTED=Y")</f>
        <v>#NAME?</v>
      </c>
      <c r="AN130" s="36" t="e">
        <f ca="1">_xll.BDP($AD130,AN$10,"BEST_FPERIOD_OVERRIDE=1TY","EQY_FUND_CRNCY=USD","FA_ADJUSTED=Y")</f>
        <v>#NAME?</v>
      </c>
      <c r="AO130" s="36" t="e">
        <f ca="1">_xll.BDP($AD130,AO$10,"BEST_FPERIOD_OVERRIDE=1TY","EQY_FUND_CRNCY=USD","FA_ADJUSTED=Y")</f>
        <v>#NAME?</v>
      </c>
      <c r="AP130" s="36" t="e">
        <f ca="1">_xll.BDP($AD130,AP$10,"BEST_FPERIOD_OVERRIDE=1TY","EQY_FUND_CRNCY=USD","FA_ADJUSTED=Y")</f>
        <v>#NAME?</v>
      </c>
      <c r="AQ130" s="36" t="e">
        <f ca="1">_xll.BDP($AD130,AQ$10,"EQY_FUND_CRNCY=USD","FA_ADJUSTED=Y")</f>
        <v>#NAME?</v>
      </c>
      <c r="AR130" s="36" t="e">
        <f ca="1">_xll.BDP($AD130,AR$10,"BEST_FPERIOD_OVERRIDE=1TY","EQY_FUND_CRNCY=USD","FA_ADJUSTED=Y")</f>
        <v>#NAME?</v>
      </c>
      <c r="AS130" s="36" t="e">
        <f ca="1">_xll.BDP($AD130,AS$10,"EQY_FUND_CRNCY=USD","FA_ADJUSTED=Y")</f>
        <v>#NAME?</v>
      </c>
      <c r="AT130" s="36" t="e">
        <f ca="1">_xll.BDP($AD130,AT$10,"BEST_FPERIOD_OVERRIDE=1TY","EQY_FUND_CRNCY=USD","FA_ADJUSTED=Y")</f>
        <v>#NAME?</v>
      </c>
      <c r="AV130" s="1" t="s">
        <v>233</v>
      </c>
      <c r="AW130" s="1" t="s">
        <v>234</v>
      </c>
      <c r="AX130" s="36" t="s">
        <v>506</v>
      </c>
      <c r="AY130" s="36">
        <v>1912.8584000000001</v>
      </c>
      <c r="AZ130" s="36">
        <v>1912.8584000000001</v>
      </c>
      <c r="BA130" s="36">
        <v>504.75</v>
      </c>
      <c r="BB130" s="36">
        <v>584.16100000000006</v>
      </c>
      <c r="BC130" s="44">
        <v>0.1573273897969294</v>
      </c>
      <c r="BD130" s="36" t="s">
        <v>480</v>
      </c>
      <c r="BE130" s="36" t="s">
        <v>480</v>
      </c>
      <c r="BF130" s="36">
        <v>0</v>
      </c>
      <c r="BG130" s="36" t="s">
        <v>480</v>
      </c>
      <c r="BH130" s="36" t="s">
        <v>480</v>
      </c>
      <c r="BI130" s="36" t="s">
        <v>480</v>
      </c>
      <c r="BJ130" s="36">
        <v>147.691</v>
      </c>
      <c r="BK130" s="36">
        <v>-5.851</v>
      </c>
      <c r="BL130" s="36">
        <v>49.39</v>
      </c>
    </row>
    <row r="131" spans="30:64" x14ac:dyDescent="0.2">
      <c r="AD131" s="1" t="s">
        <v>235</v>
      </c>
      <c r="AE131" s="1" t="s">
        <v>236</v>
      </c>
      <c r="AF131" s="36" t="e">
        <f ca="1">_xll.BDP($AD131,AF$10)</f>
        <v>#NAME?</v>
      </c>
      <c r="AG131" s="36" t="e">
        <f ca="1">_xll.BDH($AD131,AG$10,$C$5,$C$5,"EQY_FUND_CRNCY=USD")</f>
        <v>#NAME?</v>
      </c>
      <c r="AH131" s="36" t="e">
        <f ca="1">_xll.BDH($AD131,AH$10,$C$5,$C$5,"EQY_FUND_CRNCY=USD")</f>
        <v>#NAME?</v>
      </c>
      <c r="AI131" s="36" t="e">
        <f ca="1">_xll.BDP($AD131,AI$10,"EQY_FUND_CRNCY=USD","FA_ADJUSTED=Y")</f>
        <v>#NAME?</v>
      </c>
      <c r="AJ131" s="36" t="e">
        <f ca="1">_xll.BDP($AD131,AJ$10,"BEST_FPERIOD_OVERRIDE=1TY","EQY_FUND_CRNCY=USD","FA_ADJUSTED=Y")</f>
        <v>#NAME?</v>
      </c>
      <c r="AK131" s="44" t="e">
        <f t="shared" ca="1" si="19"/>
        <v>#NAME?</v>
      </c>
      <c r="AL131" s="36" t="e">
        <f ca="1">_xll.BDP($AD131,AL$10,"EQY_FUND_CRNCY=USD","FA_ADJUSTED=Y")</f>
        <v>#NAME?</v>
      </c>
      <c r="AM131" s="36" t="e">
        <f ca="1">_xll.BDP($AD131,AM$10,"BEST_FPERIOD_OVERRIDE=1TY","EQY_FUND_CRNCY=USD","FA_ADJUSTED=Y")</f>
        <v>#NAME?</v>
      </c>
      <c r="AN131" s="36" t="e">
        <f ca="1">_xll.BDP($AD131,AN$10,"BEST_FPERIOD_OVERRIDE=1TY","EQY_FUND_CRNCY=USD","FA_ADJUSTED=Y")</f>
        <v>#NAME?</v>
      </c>
      <c r="AO131" s="36" t="e">
        <f ca="1">_xll.BDP($AD131,AO$10,"BEST_FPERIOD_OVERRIDE=1TY","EQY_FUND_CRNCY=USD","FA_ADJUSTED=Y")</f>
        <v>#NAME?</v>
      </c>
      <c r="AP131" s="36" t="e">
        <f ca="1">_xll.BDP($AD131,AP$10,"BEST_FPERIOD_OVERRIDE=1TY","EQY_FUND_CRNCY=USD","FA_ADJUSTED=Y")</f>
        <v>#NAME?</v>
      </c>
      <c r="AQ131" s="36" t="e">
        <f ca="1">_xll.BDP($AD131,AQ$10,"EQY_FUND_CRNCY=USD","FA_ADJUSTED=Y")</f>
        <v>#NAME?</v>
      </c>
      <c r="AR131" s="36" t="e">
        <f ca="1">_xll.BDP($AD131,AR$10,"BEST_FPERIOD_OVERRIDE=1TY","EQY_FUND_CRNCY=USD","FA_ADJUSTED=Y")</f>
        <v>#NAME?</v>
      </c>
      <c r="AS131" s="36" t="e">
        <f ca="1">_xll.BDP($AD131,AS$10,"EQY_FUND_CRNCY=USD","FA_ADJUSTED=Y")</f>
        <v>#NAME?</v>
      </c>
      <c r="AT131" s="36" t="e">
        <f ca="1">_xll.BDP($AD131,AT$10,"BEST_FPERIOD_OVERRIDE=1TY","EQY_FUND_CRNCY=USD","FA_ADJUSTED=Y")</f>
        <v>#NAME?</v>
      </c>
      <c r="AV131" s="1" t="s">
        <v>235</v>
      </c>
      <c r="AW131" s="1" t="s">
        <v>236</v>
      </c>
      <c r="AX131" s="36" t="s">
        <v>495</v>
      </c>
      <c r="AY131" s="36">
        <v>1829.6506999999999</v>
      </c>
      <c r="AZ131" s="36">
        <v>4273.7502000000004</v>
      </c>
      <c r="BA131" s="36">
        <v>2906</v>
      </c>
      <c r="BB131" s="36">
        <v>3021</v>
      </c>
      <c r="BC131" s="44">
        <v>3.9573296627666954E-2</v>
      </c>
      <c r="BD131" s="36">
        <v>1610</v>
      </c>
      <c r="BE131" s="36">
        <v>57.6</v>
      </c>
      <c r="BF131" s="36">
        <v>229</v>
      </c>
      <c r="BG131" s="36" t="s">
        <v>480</v>
      </c>
      <c r="BH131" s="36" t="s">
        <v>480</v>
      </c>
      <c r="BI131" s="36" t="s">
        <v>480</v>
      </c>
      <c r="BJ131" s="36">
        <v>735.5</v>
      </c>
      <c r="BK131" s="36">
        <v>3202.6000000000004</v>
      </c>
      <c r="BL131" s="36">
        <v>386.5</v>
      </c>
    </row>
    <row r="132" spans="30:64" x14ac:dyDescent="0.2">
      <c r="AD132" s="1" t="s">
        <v>237</v>
      </c>
      <c r="AE132" s="1" t="s">
        <v>238</v>
      </c>
      <c r="AF132" s="36" t="e">
        <f ca="1">_xll.BDP($AD132,AF$10)</f>
        <v>#NAME?</v>
      </c>
      <c r="AG132" s="36" t="e">
        <f ca="1">_xll.BDH($AD132,AG$10,$C$5,$C$5,"EQY_FUND_CRNCY=USD")</f>
        <v>#NAME?</v>
      </c>
      <c r="AH132" s="36" t="e">
        <f ca="1">_xll.BDH($AD132,AH$10,$C$5,$C$5,"EQY_FUND_CRNCY=USD")</f>
        <v>#NAME?</v>
      </c>
      <c r="AI132" s="36" t="e">
        <f ca="1">_xll.BDP($AD132,AI$10,"EQY_FUND_CRNCY=USD","FA_ADJUSTED=Y")</f>
        <v>#NAME?</v>
      </c>
      <c r="AJ132" s="36" t="e">
        <f ca="1">_xll.BDP($AD132,AJ$10,"BEST_FPERIOD_OVERRIDE=1TY","EQY_FUND_CRNCY=USD","FA_ADJUSTED=Y")</f>
        <v>#NAME?</v>
      </c>
      <c r="AK132" s="44" t="e">
        <f t="shared" ca="1" si="19"/>
        <v>#NAME?</v>
      </c>
      <c r="AL132" s="36" t="e">
        <f ca="1">_xll.BDP($AD132,AL$10,"EQY_FUND_CRNCY=USD","FA_ADJUSTED=Y")</f>
        <v>#NAME?</v>
      </c>
      <c r="AM132" s="36" t="e">
        <f ca="1">_xll.BDP($AD132,AM$10,"BEST_FPERIOD_OVERRIDE=1TY","EQY_FUND_CRNCY=USD","FA_ADJUSTED=Y")</f>
        <v>#NAME?</v>
      </c>
      <c r="AN132" s="36" t="e">
        <f ca="1">_xll.BDP($AD132,AN$10,"BEST_FPERIOD_OVERRIDE=1TY","EQY_FUND_CRNCY=USD","FA_ADJUSTED=Y")</f>
        <v>#NAME?</v>
      </c>
      <c r="AO132" s="36" t="e">
        <f ca="1">_xll.BDP($AD132,AO$10,"BEST_FPERIOD_OVERRIDE=1TY","EQY_FUND_CRNCY=USD","FA_ADJUSTED=Y")</f>
        <v>#NAME?</v>
      </c>
      <c r="AP132" s="36" t="e">
        <f ca="1">_xll.BDP($AD132,AP$10,"BEST_FPERIOD_OVERRIDE=1TY","EQY_FUND_CRNCY=USD","FA_ADJUSTED=Y")</f>
        <v>#NAME?</v>
      </c>
      <c r="AQ132" s="36" t="e">
        <f ca="1">_xll.BDP($AD132,AQ$10,"EQY_FUND_CRNCY=USD","FA_ADJUSTED=Y")</f>
        <v>#NAME?</v>
      </c>
      <c r="AR132" s="36" t="e">
        <f ca="1">_xll.BDP($AD132,AR$10,"BEST_FPERIOD_OVERRIDE=1TY","EQY_FUND_CRNCY=USD","FA_ADJUSTED=Y")</f>
        <v>#NAME?</v>
      </c>
      <c r="AS132" s="36" t="e">
        <f ca="1">_xll.BDP($AD132,AS$10,"EQY_FUND_CRNCY=USD","FA_ADJUSTED=Y")</f>
        <v>#NAME?</v>
      </c>
      <c r="AT132" s="36" t="e">
        <f ca="1">_xll.BDP($AD132,AT$10,"BEST_FPERIOD_OVERRIDE=1TY","EQY_FUND_CRNCY=USD","FA_ADJUSTED=Y")</f>
        <v>#NAME?</v>
      </c>
      <c r="AV132" s="1" t="s">
        <v>237</v>
      </c>
      <c r="AW132" s="1" t="s">
        <v>238</v>
      </c>
      <c r="AX132" s="36" t="s">
        <v>506</v>
      </c>
      <c r="AY132" s="36">
        <v>1875.4392</v>
      </c>
      <c r="AZ132" s="36">
        <v>3979.5682000000002</v>
      </c>
      <c r="BA132" s="36">
        <v>2524.2550000000001</v>
      </c>
      <c r="BB132" s="36">
        <v>2627.6289999999999</v>
      </c>
      <c r="BC132" s="44">
        <v>4.0952280970028676E-2</v>
      </c>
      <c r="BD132" s="36">
        <v>920.60099450683606</v>
      </c>
      <c r="BE132" s="36">
        <v>50.033000000000001</v>
      </c>
      <c r="BF132" s="36">
        <v>0</v>
      </c>
      <c r="BG132" s="36" t="s">
        <v>480</v>
      </c>
      <c r="BH132" s="36" t="s">
        <v>480</v>
      </c>
      <c r="BI132" s="36">
        <v>545.98500000000001</v>
      </c>
      <c r="BJ132" s="36">
        <v>616.20000000000005</v>
      </c>
      <c r="BK132" s="36">
        <v>163.409500215957</v>
      </c>
      <c r="BL132" s="36">
        <v>183.667</v>
      </c>
    </row>
    <row r="133" spans="30:64" x14ac:dyDescent="0.2">
      <c r="AD133" s="1" t="s">
        <v>239</v>
      </c>
      <c r="AE133" s="1" t="s">
        <v>240</v>
      </c>
      <c r="AF133" s="36" t="e">
        <f ca="1">_xll.BDP($AD133,AF$10)</f>
        <v>#NAME?</v>
      </c>
      <c r="AG133" s="36" t="e">
        <f ca="1">_xll.BDH($AD133,AG$10,$C$5,$C$5,"EQY_FUND_CRNCY=USD")</f>
        <v>#NAME?</v>
      </c>
      <c r="AH133" s="36" t="e">
        <f ca="1">_xll.BDH($AD133,AH$10,$C$5,$C$5,"EQY_FUND_CRNCY=USD")</f>
        <v>#NAME?</v>
      </c>
      <c r="AI133" s="36" t="e">
        <f ca="1">_xll.BDP($AD133,AI$10,"EQY_FUND_CRNCY=USD","FA_ADJUSTED=Y")</f>
        <v>#NAME?</v>
      </c>
      <c r="AJ133" s="36" t="e">
        <f ca="1">_xll.BDP($AD133,AJ$10,"BEST_FPERIOD_OVERRIDE=1TY","EQY_FUND_CRNCY=USD","FA_ADJUSTED=Y")</f>
        <v>#NAME?</v>
      </c>
      <c r="AK133" s="44" t="e">
        <f t="shared" ca="1" si="19"/>
        <v>#NAME?</v>
      </c>
      <c r="AL133" s="36" t="e">
        <f ca="1">_xll.BDP($AD133,AL$10,"EQY_FUND_CRNCY=USD","FA_ADJUSTED=Y")</f>
        <v>#NAME?</v>
      </c>
      <c r="AM133" s="36" t="e">
        <f ca="1">_xll.BDP($AD133,AM$10,"BEST_FPERIOD_OVERRIDE=1TY","EQY_FUND_CRNCY=USD","FA_ADJUSTED=Y")</f>
        <v>#NAME?</v>
      </c>
      <c r="AN133" s="36" t="e">
        <f ca="1">_xll.BDP($AD133,AN$10,"BEST_FPERIOD_OVERRIDE=1TY","EQY_FUND_CRNCY=USD","FA_ADJUSTED=Y")</f>
        <v>#NAME?</v>
      </c>
      <c r="AO133" s="36" t="e">
        <f ca="1">_xll.BDP($AD133,AO$10,"BEST_FPERIOD_OVERRIDE=1TY","EQY_FUND_CRNCY=USD","FA_ADJUSTED=Y")</f>
        <v>#NAME?</v>
      </c>
      <c r="AP133" s="36" t="e">
        <f ca="1">_xll.BDP($AD133,AP$10,"BEST_FPERIOD_OVERRIDE=1TY","EQY_FUND_CRNCY=USD","FA_ADJUSTED=Y")</f>
        <v>#NAME?</v>
      </c>
      <c r="AQ133" s="36" t="e">
        <f ca="1">_xll.BDP($AD133,AQ$10,"EQY_FUND_CRNCY=USD","FA_ADJUSTED=Y")</f>
        <v>#NAME?</v>
      </c>
      <c r="AR133" s="36" t="e">
        <f ca="1">_xll.BDP($AD133,AR$10,"BEST_FPERIOD_OVERRIDE=1TY","EQY_FUND_CRNCY=USD","FA_ADJUSTED=Y")</f>
        <v>#NAME?</v>
      </c>
      <c r="AS133" s="36" t="e">
        <f ca="1">_xll.BDP($AD133,AS$10,"EQY_FUND_CRNCY=USD","FA_ADJUSTED=Y")</f>
        <v>#NAME?</v>
      </c>
      <c r="AT133" s="36" t="e">
        <f ca="1">_xll.BDP($AD133,AT$10,"BEST_FPERIOD_OVERRIDE=1TY","EQY_FUND_CRNCY=USD","FA_ADJUSTED=Y")</f>
        <v>#NAME?</v>
      </c>
      <c r="AV133" s="1" t="s">
        <v>239</v>
      </c>
      <c r="AW133" s="1" t="s">
        <v>240</v>
      </c>
      <c r="AX133" s="36" t="s">
        <v>506</v>
      </c>
      <c r="AY133" s="36">
        <v>1831.0175999999999</v>
      </c>
      <c r="AZ133" s="36">
        <v>2334.0005999999998</v>
      </c>
      <c r="BA133" s="36">
        <v>425.97399999999993</v>
      </c>
      <c r="BB133" s="36">
        <v>456</v>
      </c>
      <c r="BC133" s="44">
        <v>7.048787015169955E-2</v>
      </c>
      <c r="BD133" s="36">
        <v>215.97600213623048</v>
      </c>
      <c r="BE133" s="36">
        <v>49.4</v>
      </c>
      <c r="BF133" s="36">
        <v>0</v>
      </c>
      <c r="BG133" s="36" t="s">
        <v>480</v>
      </c>
      <c r="BH133" s="36" t="s">
        <v>480</v>
      </c>
      <c r="BI133" s="36">
        <v>171.22300000000001</v>
      </c>
      <c r="BJ133" s="36">
        <v>204.85</v>
      </c>
      <c r="BK133" s="36">
        <v>66.721209999999999</v>
      </c>
      <c r="BL133" s="36">
        <v>119.575</v>
      </c>
    </row>
    <row r="134" spans="30:64" x14ac:dyDescent="0.2">
      <c r="AD134" s="1" t="s">
        <v>241</v>
      </c>
      <c r="AE134" s="1" t="s">
        <v>242</v>
      </c>
      <c r="AF134" s="36" t="e">
        <f ca="1">_xll.BDP($AD134,AF$10)</f>
        <v>#NAME?</v>
      </c>
      <c r="AG134" s="36" t="e">
        <f ca="1">_xll.BDH($AD134,AG$10,$C$5,$C$5,"EQY_FUND_CRNCY=USD")</f>
        <v>#NAME?</v>
      </c>
      <c r="AH134" s="36" t="e">
        <f ca="1">_xll.BDH($AD134,AH$10,$C$5,$C$5,"EQY_FUND_CRNCY=USD")</f>
        <v>#NAME?</v>
      </c>
      <c r="AI134" s="36" t="e">
        <f ca="1">_xll.BDP($AD134,AI$10,"EQY_FUND_CRNCY=USD","FA_ADJUSTED=Y")</f>
        <v>#NAME?</v>
      </c>
      <c r="AJ134" s="36" t="e">
        <f ca="1">_xll.BDP($AD134,AJ$10,"BEST_FPERIOD_OVERRIDE=1TY","EQY_FUND_CRNCY=USD","FA_ADJUSTED=Y")</f>
        <v>#NAME?</v>
      </c>
      <c r="AK134" s="44" t="e">
        <f t="shared" ca="1" si="19"/>
        <v>#NAME?</v>
      </c>
      <c r="AL134" s="36" t="e">
        <f ca="1">_xll.BDP($AD134,AL$10,"EQY_FUND_CRNCY=USD","FA_ADJUSTED=Y")</f>
        <v>#NAME?</v>
      </c>
      <c r="AM134" s="36" t="e">
        <f ca="1">_xll.BDP($AD134,AM$10,"BEST_FPERIOD_OVERRIDE=1TY","EQY_FUND_CRNCY=USD","FA_ADJUSTED=Y")</f>
        <v>#NAME?</v>
      </c>
      <c r="AN134" s="36" t="e">
        <f ca="1">_xll.BDP($AD134,AN$10,"BEST_FPERIOD_OVERRIDE=1TY","EQY_FUND_CRNCY=USD","FA_ADJUSTED=Y")</f>
        <v>#NAME?</v>
      </c>
      <c r="AO134" s="36" t="e">
        <f ca="1">_xll.BDP($AD134,AO$10,"BEST_FPERIOD_OVERRIDE=1TY","EQY_FUND_CRNCY=USD","FA_ADJUSTED=Y")</f>
        <v>#NAME?</v>
      </c>
      <c r="AP134" s="36" t="e">
        <f ca="1">_xll.BDP($AD134,AP$10,"BEST_FPERIOD_OVERRIDE=1TY","EQY_FUND_CRNCY=USD","FA_ADJUSTED=Y")</f>
        <v>#NAME?</v>
      </c>
      <c r="AQ134" s="36" t="e">
        <f ca="1">_xll.BDP($AD134,AQ$10,"EQY_FUND_CRNCY=USD","FA_ADJUSTED=Y")</f>
        <v>#NAME?</v>
      </c>
      <c r="AR134" s="36" t="e">
        <f ca="1">_xll.BDP($AD134,AR$10,"BEST_FPERIOD_OVERRIDE=1TY","EQY_FUND_CRNCY=USD","FA_ADJUSTED=Y")</f>
        <v>#NAME?</v>
      </c>
      <c r="AS134" s="36" t="e">
        <f ca="1">_xll.BDP($AD134,AS$10,"EQY_FUND_CRNCY=USD","FA_ADJUSTED=Y")</f>
        <v>#NAME?</v>
      </c>
      <c r="AT134" s="36" t="e">
        <f ca="1">_xll.BDP($AD134,AT$10,"BEST_FPERIOD_OVERRIDE=1TY","EQY_FUND_CRNCY=USD","FA_ADJUSTED=Y")</f>
        <v>#NAME?</v>
      </c>
      <c r="AV134" s="1" t="s">
        <v>241</v>
      </c>
      <c r="AW134" s="1" t="s">
        <v>242</v>
      </c>
      <c r="AX134" s="36" t="s">
        <v>505</v>
      </c>
      <c r="AY134" s="36">
        <v>1795.8797999999999</v>
      </c>
      <c r="AZ134" s="36">
        <v>1637.1987999999999</v>
      </c>
      <c r="BA134" s="36">
        <v>242.52799999999999</v>
      </c>
      <c r="BB134" s="36">
        <v>285.279</v>
      </c>
      <c r="BC134" s="44">
        <v>0.1762724303997889</v>
      </c>
      <c r="BD134" s="36">
        <v>218.322998046875</v>
      </c>
      <c r="BE134" s="36">
        <v>90.492000000000004</v>
      </c>
      <c r="BF134" s="36">
        <v>47.369</v>
      </c>
      <c r="BG134" s="36">
        <v>135.89599999999999</v>
      </c>
      <c r="BH134" s="36">
        <v>26.823</v>
      </c>
      <c r="BI134" s="36">
        <v>-20.379999999999995</v>
      </c>
      <c r="BJ134" s="36">
        <v>11.15</v>
      </c>
      <c r="BK134" s="36">
        <v>-25.522279999999999</v>
      </c>
      <c r="BL134" s="36">
        <v>2.6310000000000002</v>
      </c>
    </row>
    <row r="135" spans="30:64" x14ac:dyDescent="0.2">
      <c r="AD135" s="1" t="s">
        <v>243</v>
      </c>
      <c r="AE135" s="1" t="s">
        <v>244</v>
      </c>
      <c r="AF135" s="36" t="e">
        <f ca="1">_xll.BDP($AD135,AF$10)</f>
        <v>#NAME?</v>
      </c>
      <c r="AG135" s="36" t="e">
        <f ca="1">_xll.BDH($AD135,AG$10,$C$5,$C$5,"EQY_FUND_CRNCY=USD")</f>
        <v>#NAME?</v>
      </c>
      <c r="AH135" s="36" t="e">
        <f ca="1">_xll.BDH($AD135,AH$10,$C$5,$C$5,"EQY_FUND_CRNCY=USD")</f>
        <v>#NAME?</v>
      </c>
      <c r="AI135" s="36" t="e">
        <f ca="1">_xll.BDP($AD135,AI$10,"EQY_FUND_CRNCY=USD","FA_ADJUSTED=Y")</f>
        <v>#NAME?</v>
      </c>
      <c r="AJ135" s="36" t="e">
        <f ca="1">_xll.BDP($AD135,AJ$10,"BEST_FPERIOD_OVERRIDE=1TY","EQY_FUND_CRNCY=USD","FA_ADJUSTED=Y")</f>
        <v>#NAME?</v>
      </c>
      <c r="AK135" s="44" t="e">
        <f t="shared" ca="1" si="19"/>
        <v>#NAME?</v>
      </c>
      <c r="AL135" s="36" t="e">
        <f ca="1">_xll.BDP($AD135,AL$10,"EQY_FUND_CRNCY=USD","FA_ADJUSTED=Y")</f>
        <v>#NAME?</v>
      </c>
      <c r="AM135" s="36" t="e">
        <f ca="1">_xll.BDP($AD135,AM$10,"BEST_FPERIOD_OVERRIDE=1TY","EQY_FUND_CRNCY=USD","FA_ADJUSTED=Y")</f>
        <v>#NAME?</v>
      </c>
      <c r="AN135" s="36" t="e">
        <f ca="1">_xll.BDP($AD135,AN$10,"BEST_FPERIOD_OVERRIDE=1TY","EQY_FUND_CRNCY=USD","FA_ADJUSTED=Y")</f>
        <v>#NAME?</v>
      </c>
      <c r="AO135" s="36" t="e">
        <f ca="1">_xll.BDP($AD135,AO$10,"BEST_FPERIOD_OVERRIDE=1TY","EQY_FUND_CRNCY=USD","FA_ADJUSTED=Y")</f>
        <v>#NAME?</v>
      </c>
      <c r="AP135" s="36" t="e">
        <f ca="1">_xll.BDP($AD135,AP$10,"BEST_FPERIOD_OVERRIDE=1TY","EQY_FUND_CRNCY=USD","FA_ADJUSTED=Y")</f>
        <v>#NAME?</v>
      </c>
      <c r="AQ135" s="36" t="e">
        <f ca="1">_xll.BDP($AD135,AQ$10,"EQY_FUND_CRNCY=USD","FA_ADJUSTED=Y")</f>
        <v>#NAME?</v>
      </c>
      <c r="AR135" s="36" t="e">
        <f ca="1">_xll.BDP($AD135,AR$10,"BEST_FPERIOD_OVERRIDE=1TY","EQY_FUND_CRNCY=USD","FA_ADJUSTED=Y")</f>
        <v>#NAME?</v>
      </c>
      <c r="AS135" s="36" t="e">
        <f ca="1">_xll.BDP($AD135,AS$10,"EQY_FUND_CRNCY=USD","FA_ADJUSTED=Y")</f>
        <v>#NAME?</v>
      </c>
      <c r="AT135" s="36" t="e">
        <f ca="1">_xll.BDP($AD135,AT$10,"BEST_FPERIOD_OVERRIDE=1TY","EQY_FUND_CRNCY=USD","FA_ADJUSTED=Y")</f>
        <v>#NAME?</v>
      </c>
      <c r="AV135" s="1" t="s">
        <v>243</v>
      </c>
      <c r="AW135" s="1" t="s">
        <v>244</v>
      </c>
      <c r="AX135" s="36" t="s">
        <v>495</v>
      </c>
      <c r="AY135" s="36">
        <v>1921.4287999999999</v>
      </c>
      <c r="AZ135" s="36">
        <v>1797.1029000000001</v>
      </c>
      <c r="BA135" s="36">
        <v>198.54300000000001</v>
      </c>
      <c r="BB135" s="36">
        <v>249.18700000000001</v>
      </c>
      <c r="BC135" s="44">
        <v>0.25507824501493381</v>
      </c>
      <c r="BD135" s="36">
        <v>147.79099822998046</v>
      </c>
      <c r="BE135" s="36">
        <v>75.325000000000003</v>
      </c>
      <c r="BF135" s="36">
        <v>25.686999999999998</v>
      </c>
      <c r="BG135" s="36">
        <v>126.98</v>
      </c>
      <c r="BH135" s="36">
        <v>40.079000000000001</v>
      </c>
      <c r="BI135" s="36">
        <v>-68.009</v>
      </c>
      <c r="BJ135" s="36">
        <v>-31.501999999999999</v>
      </c>
      <c r="BK135" s="36">
        <v>-73.292000000000002</v>
      </c>
      <c r="BL135" s="36">
        <v>-41.255000000000003</v>
      </c>
    </row>
    <row r="136" spans="30:64" x14ac:dyDescent="0.2">
      <c r="AD136" s="1" t="s">
        <v>245</v>
      </c>
      <c r="AE136" s="1" t="s">
        <v>246</v>
      </c>
      <c r="AF136" s="36" t="e">
        <f ca="1">_xll.BDP($AD136,AF$10)</f>
        <v>#NAME?</v>
      </c>
      <c r="AG136" s="36" t="e">
        <f ca="1">_xll.BDH($AD136,AG$10,$C$5,$C$5,"EQY_FUND_CRNCY=USD")</f>
        <v>#NAME?</v>
      </c>
      <c r="AH136" s="36" t="e">
        <f ca="1">_xll.BDH($AD136,AH$10,$C$5,$C$5,"EQY_FUND_CRNCY=USD")</f>
        <v>#NAME?</v>
      </c>
      <c r="AI136" s="36" t="e">
        <f ca="1">_xll.BDP($AD136,AI$10,"EQY_FUND_CRNCY=USD","FA_ADJUSTED=Y")</f>
        <v>#NAME?</v>
      </c>
      <c r="AJ136" s="36" t="e">
        <f ca="1">_xll.BDP($AD136,AJ$10,"BEST_FPERIOD_OVERRIDE=1TY","EQY_FUND_CRNCY=USD","FA_ADJUSTED=Y")</f>
        <v>#NAME?</v>
      </c>
      <c r="AK136" s="44" t="e">
        <f t="shared" ca="1" si="19"/>
        <v>#NAME?</v>
      </c>
      <c r="AL136" s="36" t="e">
        <f ca="1">_xll.BDP($AD136,AL$10,"EQY_FUND_CRNCY=USD","FA_ADJUSTED=Y")</f>
        <v>#NAME?</v>
      </c>
      <c r="AM136" s="36" t="e">
        <f ca="1">_xll.BDP($AD136,AM$10,"BEST_FPERIOD_OVERRIDE=1TY","EQY_FUND_CRNCY=USD","FA_ADJUSTED=Y")</f>
        <v>#NAME?</v>
      </c>
      <c r="AN136" s="36" t="e">
        <f ca="1">_xll.BDP($AD136,AN$10,"BEST_FPERIOD_OVERRIDE=1TY","EQY_FUND_CRNCY=USD","FA_ADJUSTED=Y")</f>
        <v>#NAME?</v>
      </c>
      <c r="AO136" s="36" t="e">
        <f ca="1">_xll.BDP($AD136,AO$10,"BEST_FPERIOD_OVERRIDE=1TY","EQY_FUND_CRNCY=USD","FA_ADJUSTED=Y")</f>
        <v>#NAME?</v>
      </c>
      <c r="AP136" s="36" t="e">
        <f ca="1">_xll.BDP($AD136,AP$10,"BEST_FPERIOD_OVERRIDE=1TY","EQY_FUND_CRNCY=USD","FA_ADJUSTED=Y")</f>
        <v>#NAME?</v>
      </c>
      <c r="AQ136" s="36" t="e">
        <f ca="1">_xll.BDP($AD136,AQ$10,"EQY_FUND_CRNCY=USD","FA_ADJUSTED=Y")</f>
        <v>#NAME?</v>
      </c>
      <c r="AR136" s="36" t="e">
        <f ca="1">_xll.BDP($AD136,AR$10,"BEST_FPERIOD_OVERRIDE=1TY","EQY_FUND_CRNCY=USD","FA_ADJUSTED=Y")</f>
        <v>#NAME?</v>
      </c>
      <c r="AS136" s="36" t="e">
        <f ca="1">_xll.BDP($AD136,AS$10,"EQY_FUND_CRNCY=USD","FA_ADJUSTED=Y")</f>
        <v>#NAME?</v>
      </c>
      <c r="AT136" s="36" t="e">
        <f ca="1">_xll.BDP($AD136,AT$10,"BEST_FPERIOD_OVERRIDE=1TY","EQY_FUND_CRNCY=USD","FA_ADJUSTED=Y")</f>
        <v>#NAME?</v>
      </c>
      <c r="AV136" s="1" t="s">
        <v>245</v>
      </c>
      <c r="AW136" s="1" t="s">
        <v>246</v>
      </c>
      <c r="AX136" s="36" t="s">
        <v>505</v>
      </c>
      <c r="AY136" s="36">
        <v>1800.3489</v>
      </c>
      <c r="AZ136" s="36">
        <v>1708.3059000000001</v>
      </c>
      <c r="BA136" s="36">
        <v>176.48500000000001</v>
      </c>
      <c r="BB136" s="36">
        <v>232.17500000000001</v>
      </c>
      <c r="BC136" s="44">
        <v>0.31555089667677128</v>
      </c>
      <c r="BD136" s="36">
        <v>135.33699801635743</v>
      </c>
      <c r="BE136" s="36">
        <v>78.02</v>
      </c>
      <c r="BF136" s="36">
        <v>26.834999999999997</v>
      </c>
      <c r="BG136" s="36">
        <v>86.891999999999996</v>
      </c>
      <c r="BH136" s="36">
        <v>29.446000000000002</v>
      </c>
      <c r="BI136" s="36">
        <v>-30.723999999999997</v>
      </c>
      <c r="BJ136" s="36">
        <v>-31</v>
      </c>
      <c r="BK136" s="36">
        <v>-34.695</v>
      </c>
      <c r="BL136" s="36">
        <v>-11.468</v>
      </c>
    </row>
    <row r="137" spans="30:64" x14ac:dyDescent="0.2">
      <c r="AD137" s="1" t="s">
        <v>247</v>
      </c>
      <c r="AE137" s="1" t="s">
        <v>248</v>
      </c>
      <c r="AF137" s="36" t="e">
        <f ca="1">_xll.BDP($AD137,AF$10)</f>
        <v>#NAME?</v>
      </c>
      <c r="AG137" s="36" t="e">
        <f ca="1">_xll.BDH($AD137,AG$10,$C$5,$C$5,"EQY_FUND_CRNCY=USD")</f>
        <v>#NAME?</v>
      </c>
      <c r="AH137" s="36" t="e">
        <f ca="1">_xll.BDH($AD137,AH$10,$C$5,$C$5,"EQY_FUND_CRNCY=USD")</f>
        <v>#NAME?</v>
      </c>
      <c r="AI137" s="36" t="e">
        <f ca="1">_xll.BDP($AD137,AI$10,"EQY_FUND_CRNCY=USD","FA_ADJUSTED=Y")</f>
        <v>#NAME?</v>
      </c>
      <c r="AJ137" s="36" t="e">
        <f ca="1">_xll.BDP($AD137,AJ$10,"BEST_FPERIOD_OVERRIDE=1TY","EQY_FUND_CRNCY=USD","FA_ADJUSTED=Y")</f>
        <v>#NAME?</v>
      </c>
      <c r="AK137" s="44" t="e">
        <f t="shared" ca="1" si="19"/>
        <v>#NAME?</v>
      </c>
      <c r="AL137" s="36" t="e">
        <f ca="1">_xll.BDP($AD137,AL$10,"EQY_FUND_CRNCY=USD","FA_ADJUSTED=Y")</f>
        <v>#NAME?</v>
      </c>
      <c r="AM137" s="36" t="e">
        <f ca="1">_xll.BDP($AD137,AM$10,"BEST_FPERIOD_OVERRIDE=1TY","EQY_FUND_CRNCY=USD","FA_ADJUSTED=Y")</f>
        <v>#NAME?</v>
      </c>
      <c r="AN137" s="36" t="e">
        <f ca="1">_xll.BDP($AD137,AN$10,"BEST_FPERIOD_OVERRIDE=1TY","EQY_FUND_CRNCY=USD","FA_ADJUSTED=Y")</f>
        <v>#NAME?</v>
      </c>
      <c r="AO137" s="36" t="e">
        <f ca="1">_xll.BDP($AD137,AO$10,"BEST_FPERIOD_OVERRIDE=1TY","EQY_FUND_CRNCY=USD","FA_ADJUSTED=Y")</f>
        <v>#NAME?</v>
      </c>
      <c r="AP137" s="36" t="e">
        <f ca="1">_xll.BDP($AD137,AP$10,"BEST_FPERIOD_OVERRIDE=1TY","EQY_FUND_CRNCY=USD","FA_ADJUSTED=Y")</f>
        <v>#NAME?</v>
      </c>
      <c r="AQ137" s="36" t="e">
        <f ca="1">_xll.BDP($AD137,AQ$10,"EQY_FUND_CRNCY=USD","FA_ADJUSTED=Y")</f>
        <v>#NAME?</v>
      </c>
      <c r="AR137" s="36" t="e">
        <f ca="1">_xll.BDP($AD137,AR$10,"BEST_FPERIOD_OVERRIDE=1TY","EQY_FUND_CRNCY=USD","FA_ADJUSTED=Y")</f>
        <v>#NAME?</v>
      </c>
      <c r="AS137" s="36" t="e">
        <f ca="1">_xll.BDP($AD137,AS$10,"EQY_FUND_CRNCY=USD","FA_ADJUSTED=Y")</f>
        <v>#NAME?</v>
      </c>
      <c r="AT137" s="36" t="e">
        <f ca="1">_xll.BDP($AD137,AT$10,"BEST_FPERIOD_OVERRIDE=1TY","EQY_FUND_CRNCY=USD","FA_ADJUSTED=Y")</f>
        <v>#NAME?</v>
      </c>
      <c r="AV137" s="1" t="s">
        <v>247</v>
      </c>
      <c r="AW137" s="1" t="s">
        <v>248</v>
      </c>
      <c r="AX137" s="36" t="s">
        <v>495</v>
      </c>
      <c r="AY137" s="36">
        <v>1757.4110000000001</v>
      </c>
      <c r="AZ137" s="36">
        <v>2277.1129999999998</v>
      </c>
      <c r="BA137" s="36">
        <v>430.33699999999999</v>
      </c>
      <c r="BB137" s="36">
        <v>547.33299999999997</v>
      </c>
      <c r="BC137" s="44">
        <v>0.27187065021134593</v>
      </c>
      <c r="BD137" s="36">
        <v>273.81199511718751</v>
      </c>
      <c r="BE137" s="36">
        <v>64.75</v>
      </c>
      <c r="BF137" s="36">
        <v>33.853999999999999</v>
      </c>
      <c r="BG137" s="36">
        <v>16.303000000000001</v>
      </c>
      <c r="BH137" s="36">
        <v>59.975999999999999</v>
      </c>
      <c r="BI137" s="36">
        <v>145.13300000000001</v>
      </c>
      <c r="BJ137" s="36">
        <v>186.70000000000002</v>
      </c>
      <c r="BK137" s="36">
        <v>106.145</v>
      </c>
      <c r="BL137" s="36">
        <v>128.31700000000001</v>
      </c>
    </row>
    <row r="138" spans="30:64" x14ac:dyDescent="0.2">
      <c r="AD138" s="1" t="s">
        <v>249</v>
      </c>
      <c r="AE138" s="1" t="s">
        <v>250</v>
      </c>
      <c r="AF138" s="36" t="e">
        <f ca="1">_xll.BDP($AD138,AF$10)</f>
        <v>#NAME?</v>
      </c>
      <c r="AG138" s="36" t="e">
        <f ca="1">_xll.BDH($AD138,AG$10,$C$5,$C$5,"EQY_FUND_CRNCY=USD")</f>
        <v>#NAME?</v>
      </c>
      <c r="AH138" s="36" t="e">
        <f ca="1">_xll.BDH($AD138,AH$10,$C$5,$C$5,"EQY_FUND_CRNCY=USD")</f>
        <v>#NAME?</v>
      </c>
      <c r="AI138" s="36" t="e">
        <f ca="1">_xll.BDP($AD138,AI$10,"EQY_FUND_CRNCY=USD","FA_ADJUSTED=Y")</f>
        <v>#NAME?</v>
      </c>
      <c r="AJ138" s="36" t="e">
        <f ca="1">_xll.BDP($AD138,AJ$10,"BEST_FPERIOD_OVERRIDE=1TY","EQY_FUND_CRNCY=USD","FA_ADJUSTED=Y")</f>
        <v>#NAME?</v>
      </c>
      <c r="AK138" s="44" t="e">
        <f t="shared" ca="1" si="19"/>
        <v>#NAME?</v>
      </c>
      <c r="AL138" s="36" t="e">
        <f ca="1">_xll.BDP($AD138,AL$10,"EQY_FUND_CRNCY=USD","FA_ADJUSTED=Y")</f>
        <v>#NAME?</v>
      </c>
      <c r="AM138" s="36" t="e">
        <f ca="1">_xll.BDP($AD138,AM$10,"BEST_FPERIOD_OVERRIDE=1TY","EQY_FUND_CRNCY=USD","FA_ADJUSTED=Y")</f>
        <v>#NAME?</v>
      </c>
      <c r="AN138" s="36" t="e">
        <f ca="1">_xll.BDP($AD138,AN$10,"BEST_FPERIOD_OVERRIDE=1TY","EQY_FUND_CRNCY=USD","FA_ADJUSTED=Y")</f>
        <v>#NAME?</v>
      </c>
      <c r="AO138" s="36" t="e">
        <f ca="1">_xll.BDP($AD138,AO$10,"BEST_FPERIOD_OVERRIDE=1TY","EQY_FUND_CRNCY=USD","FA_ADJUSTED=Y")</f>
        <v>#NAME?</v>
      </c>
      <c r="AP138" s="36" t="e">
        <f ca="1">_xll.BDP($AD138,AP$10,"BEST_FPERIOD_OVERRIDE=1TY","EQY_FUND_CRNCY=USD","FA_ADJUSTED=Y")</f>
        <v>#NAME?</v>
      </c>
      <c r="AQ138" s="36" t="e">
        <f ca="1">_xll.BDP($AD138,AQ$10,"EQY_FUND_CRNCY=USD","FA_ADJUSTED=Y")</f>
        <v>#NAME?</v>
      </c>
      <c r="AR138" s="36" t="e">
        <f ca="1">_xll.BDP($AD138,AR$10,"BEST_FPERIOD_OVERRIDE=1TY","EQY_FUND_CRNCY=USD","FA_ADJUSTED=Y")</f>
        <v>#NAME?</v>
      </c>
      <c r="AS138" s="36" t="e">
        <f ca="1">_xll.BDP($AD138,AS$10,"EQY_FUND_CRNCY=USD","FA_ADJUSTED=Y")</f>
        <v>#NAME?</v>
      </c>
      <c r="AT138" s="36" t="e">
        <f ca="1">_xll.BDP($AD138,AT$10,"BEST_FPERIOD_OVERRIDE=1TY","EQY_FUND_CRNCY=USD","FA_ADJUSTED=Y")</f>
        <v>#NAME?</v>
      </c>
      <c r="AV138" s="1" t="s">
        <v>249</v>
      </c>
      <c r="AW138" s="1" t="s">
        <v>250</v>
      </c>
      <c r="AX138" s="36" t="s">
        <v>495</v>
      </c>
      <c r="AY138" s="36">
        <v>1735.2260000000001</v>
      </c>
      <c r="AZ138" s="36">
        <v>1683.934</v>
      </c>
      <c r="BA138" s="36">
        <v>472.71199999999999</v>
      </c>
      <c r="BB138" s="36">
        <v>564.25700000000006</v>
      </c>
      <c r="BC138" s="44">
        <v>0.19365914129533435</v>
      </c>
      <c r="BD138" s="36">
        <v>176.87399850463868</v>
      </c>
      <c r="BE138" s="36">
        <v>39.25</v>
      </c>
      <c r="BF138" s="36">
        <v>0</v>
      </c>
      <c r="BG138" s="36" t="s">
        <v>480</v>
      </c>
      <c r="BH138" s="36" t="s">
        <v>480</v>
      </c>
      <c r="BI138" s="36">
        <v>71.519571428570998</v>
      </c>
      <c r="BJ138" s="36">
        <v>96.55</v>
      </c>
      <c r="BK138" s="36">
        <v>48.062889999999996</v>
      </c>
      <c r="BL138" s="36">
        <v>69.875</v>
      </c>
    </row>
    <row r="139" spans="30:64" x14ac:dyDescent="0.2">
      <c r="AD139" s="1" t="s">
        <v>251</v>
      </c>
      <c r="AE139" s="1" t="s">
        <v>252</v>
      </c>
      <c r="AF139" s="36" t="e">
        <f ca="1">_xll.BDP($AD139,AF$10)</f>
        <v>#NAME?</v>
      </c>
      <c r="AG139" s="36" t="e">
        <f ca="1">_xll.BDH($AD139,AG$10,$C$5,$C$5,"EQY_FUND_CRNCY=USD")</f>
        <v>#NAME?</v>
      </c>
      <c r="AH139" s="36" t="e">
        <f ca="1">_xll.BDH($AD139,AH$10,$C$5,$C$5,"EQY_FUND_CRNCY=USD")</f>
        <v>#NAME?</v>
      </c>
      <c r="AI139" s="36" t="e">
        <f ca="1">_xll.BDP($AD139,AI$10,"EQY_FUND_CRNCY=USD","FA_ADJUSTED=Y")</f>
        <v>#NAME?</v>
      </c>
      <c r="AJ139" s="36" t="e">
        <f ca="1">_xll.BDP($AD139,AJ$10,"BEST_FPERIOD_OVERRIDE=1TY","EQY_FUND_CRNCY=USD","FA_ADJUSTED=Y")</f>
        <v>#NAME?</v>
      </c>
      <c r="AK139" s="44" t="e">
        <f t="shared" ca="1" si="19"/>
        <v>#NAME?</v>
      </c>
      <c r="AL139" s="36" t="e">
        <f ca="1">_xll.BDP($AD139,AL$10,"EQY_FUND_CRNCY=USD","FA_ADJUSTED=Y")</f>
        <v>#NAME?</v>
      </c>
      <c r="AM139" s="36" t="e">
        <f ca="1">_xll.BDP($AD139,AM$10,"BEST_FPERIOD_OVERRIDE=1TY","EQY_FUND_CRNCY=USD","FA_ADJUSTED=Y")</f>
        <v>#NAME?</v>
      </c>
      <c r="AN139" s="36" t="e">
        <f ca="1">_xll.BDP($AD139,AN$10,"BEST_FPERIOD_OVERRIDE=1TY","EQY_FUND_CRNCY=USD","FA_ADJUSTED=Y")</f>
        <v>#NAME?</v>
      </c>
      <c r="AO139" s="36" t="e">
        <f ca="1">_xll.BDP($AD139,AO$10,"BEST_FPERIOD_OVERRIDE=1TY","EQY_FUND_CRNCY=USD","FA_ADJUSTED=Y")</f>
        <v>#NAME?</v>
      </c>
      <c r="AP139" s="36" t="e">
        <f ca="1">_xll.BDP($AD139,AP$10,"BEST_FPERIOD_OVERRIDE=1TY","EQY_FUND_CRNCY=USD","FA_ADJUSTED=Y")</f>
        <v>#NAME?</v>
      </c>
      <c r="AQ139" s="36" t="e">
        <f ca="1">_xll.BDP($AD139,AQ$10,"EQY_FUND_CRNCY=USD","FA_ADJUSTED=Y")</f>
        <v>#NAME?</v>
      </c>
      <c r="AR139" s="36" t="e">
        <f ca="1">_xll.BDP($AD139,AR$10,"BEST_FPERIOD_OVERRIDE=1TY","EQY_FUND_CRNCY=USD","FA_ADJUSTED=Y")</f>
        <v>#NAME?</v>
      </c>
      <c r="AS139" s="36" t="e">
        <f ca="1">_xll.BDP($AD139,AS$10,"EQY_FUND_CRNCY=USD","FA_ADJUSTED=Y")</f>
        <v>#NAME?</v>
      </c>
      <c r="AT139" s="36" t="e">
        <f ca="1">_xll.BDP($AD139,AT$10,"BEST_FPERIOD_OVERRIDE=1TY","EQY_FUND_CRNCY=USD","FA_ADJUSTED=Y")</f>
        <v>#NAME?</v>
      </c>
      <c r="AV139" s="1" t="s">
        <v>251</v>
      </c>
      <c r="AW139" s="1" t="s">
        <v>252</v>
      </c>
      <c r="AX139" s="36" t="s">
        <v>495</v>
      </c>
      <c r="AY139" s="36">
        <v>1726.7701999999999</v>
      </c>
      <c r="AZ139" s="36">
        <v>1563.4879000000001</v>
      </c>
      <c r="BA139" s="36">
        <v>143.75199999999998</v>
      </c>
      <c r="BB139" s="36">
        <v>169.75800000000001</v>
      </c>
      <c r="BC139" s="44">
        <v>0.18090878735600224</v>
      </c>
      <c r="BD139" s="36">
        <v>101.70600183105469</v>
      </c>
      <c r="BE139" s="36">
        <v>69.040000000000006</v>
      </c>
      <c r="BF139" s="36">
        <v>23.690999999999999</v>
      </c>
      <c r="BG139" s="36">
        <v>29.28</v>
      </c>
      <c r="BH139" s="36">
        <v>13.855</v>
      </c>
      <c r="BI139" s="36">
        <v>35.331999999999994</v>
      </c>
      <c r="BJ139" s="36">
        <v>46.706000000000003</v>
      </c>
      <c r="BK139" s="36">
        <v>20.335000000000001</v>
      </c>
      <c r="BL139" s="36">
        <v>25.542000000000002</v>
      </c>
    </row>
    <row r="140" spans="30:64" x14ac:dyDescent="0.2">
      <c r="AD140" s="1" t="s">
        <v>253</v>
      </c>
      <c r="AE140" s="1" t="s">
        <v>254</v>
      </c>
      <c r="AF140" s="36" t="e">
        <f ca="1">_xll.BDP($AD140,AF$10)</f>
        <v>#NAME?</v>
      </c>
      <c r="AG140" s="36" t="e">
        <f ca="1">_xll.BDH($AD140,AG$10,$C$5,$C$5,"EQY_FUND_CRNCY=USD")</f>
        <v>#NAME?</v>
      </c>
      <c r="AH140" s="36" t="e">
        <f ca="1">_xll.BDH($AD140,AH$10,$C$5,$C$5,"EQY_FUND_CRNCY=USD")</f>
        <v>#NAME?</v>
      </c>
      <c r="AI140" s="36" t="e">
        <f ca="1">_xll.BDP($AD140,AI$10,"EQY_FUND_CRNCY=USD","FA_ADJUSTED=Y")</f>
        <v>#NAME?</v>
      </c>
      <c r="AJ140" s="36" t="e">
        <f ca="1">_xll.BDP($AD140,AJ$10,"BEST_FPERIOD_OVERRIDE=1TY","EQY_FUND_CRNCY=USD","FA_ADJUSTED=Y")</f>
        <v>#NAME?</v>
      </c>
      <c r="AK140" s="44" t="e">
        <f t="shared" ca="1" si="19"/>
        <v>#NAME?</v>
      </c>
      <c r="AL140" s="36" t="e">
        <f ca="1">_xll.BDP($AD140,AL$10,"EQY_FUND_CRNCY=USD","FA_ADJUSTED=Y")</f>
        <v>#NAME?</v>
      </c>
      <c r="AM140" s="36" t="e">
        <f ca="1">_xll.BDP($AD140,AM$10,"BEST_FPERIOD_OVERRIDE=1TY","EQY_FUND_CRNCY=USD","FA_ADJUSTED=Y")</f>
        <v>#NAME?</v>
      </c>
      <c r="AN140" s="36" t="e">
        <f ca="1">_xll.BDP($AD140,AN$10,"BEST_FPERIOD_OVERRIDE=1TY","EQY_FUND_CRNCY=USD","FA_ADJUSTED=Y")</f>
        <v>#NAME?</v>
      </c>
      <c r="AO140" s="36" t="e">
        <f ca="1">_xll.BDP($AD140,AO$10,"BEST_FPERIOD_OVERRIDE=1TY","EQY_FUND_CRNCY=USD","FA_ADJUSTED=Y")</f>
        <v>#NAME?</v>
      </c>
      <c r="AP140" s="36" t="e">
        <f ca="1">_xll.BDP($AD140,AP$10,"BEST_FPERIOD_OVERRIDE=1TY","EQY_FUND_CRNCY=USD","FA_ADJUSTED=Y")</f>
        <v>#NAME?</v>
      </c>
      <c r="AQ140" s="36" t="e">
        <f ca="1">_xll.BDP($AD140,AQ$10,"EQY_FUND_CRNCY=USD","FA_ADJUSTED=Y")</f>
        <v>#NAME?</v>
      </c>
      <c r="AR140" s="36" t="e">
        <f ca="1">_xll.BDP($AD140,AR$10,"BEST_FPERIOD_OVERRIDE=1TY","EQY_FUND_CRNCY=USD","FA_ADJUSTED=Y")</f>
        <v>#NAME?</v>
      </c>
      <c r="AS140" s="36" t="e">
        <f ca="1">_xll.BDP($AD140,AS$10,"EQY_FUND_CRNCY=USD","FA_ADJUSTED=Y")</f>
        <v>#NAME?</v>
      </c>
      <c r="AT140" s="36" t="e">
        <f ca="1">_xll.BDP($AD140,AT$10,"BEST_FPERIOD_OVERRIDE=1TY","EQY_FUND_CRNCY=USD","FA_ADJUSTED=Y")</f>
        <v>#NAME?</v>
      </c>
      <c r="AV140" s="1" t="s">
        <v>253</v>
      </c>
      <c r="AW140" s="1" t="s">
        <v>254</v>
      </c>
      <c r="AX140" s="36" t="s">
        <v>495</v>
      </c>
      <c r="AY140" s="36">
        <v>1631.2665999999999</v>
      </c>
      <c r="AZ140" s="36">
        <v>1478.7066</v>
      </c>
      <c r="BA140" s="36">
        <v>310.62700000000001</v>
      </c>
      <c r="BB140" s="36">
        <v>366.35300000000001</v>
      </c>
      <c r="BC140" s="44">
        <v>0.17939844250499792</v>
      </c>
      <c r="BD140" s="36">
        <v>234.64100097656251</v>
      </c>
      <c r="BE140" s="36">
        <v>77.533000000000001</v>
      </c>
      <c r="BF140" s="36">
        <v>34.796999999999997</v>
      </c>
      <c r="BG140" s="36">
        <v>184.04400000000001</v>
      </c>
      <c r="BH140" s="36">
        <v>38.914999999999999</v>
      </c>
      <c r="BI140" s="36">
        <v>-13.42</v>
      </c>
      <c r="BJ140" s="36">
        <v>0.23300000000000001</v>
      </c>
      <c r="BK140" s="36">
        <v>42.356312490929</v>
      </c>
      <c r="BL140" s="36">
        <v>-14.969000000000001</v>
      </c>
    </row>
    <row r="141" spans="30:64" x14ac:dyDescent="0.2">
      <c r="AD141" s="1" t="s">
        <v>255</v>
      </c>
      <c r="AE141" s="1" t="s">
        <v>256</v>
      </c>
      <c r="AF141" s="36" t="e">
        <f ca="1">_xll.BDP($AD141,AF$10)</f>
        <v>#NAME?</v>
      </c>
      <c r="AG141" s="36" t="e">
        <f ca="1">_xll.BDH($AD141,AG$10,$C$5,$C$5,"EQY_FUND_CRNCY=USD")</f>
        <v>#NAME?</v>
      </c>
      <c r="AH141" s="36" t="e">
        <f ca="1">_xll.BDH($AD141,AH$10,$C$5,$C$5,"EQY_FUND_CRNCY=USD")</f>
        <v>#NAME?</v>
      </c>
      <c r="AI141" s="36" t="e">
        <f ca="1">_xll.BDP($AD141,AI$10,"EQY_FUND_CRNCY=USD","FA_ADJUSTED=Y")</f>
        <v>#NAME?</v>
      </c>
      <c r="AJ141" s="36" t="e">
        <f ca="1">_xll.BDP($AD141,AJ$10,"BEST_FPERIOD_OVERRIDE=1TY","EQY_FUND_CRNCY=USD","FA_ADJUSTED=Y")</f>
        <v>#NAME?</v>
      </c>
      <c r="AK141" s="44" t="e">
        <f t="shared" ca="1" si="19"/>
        <v>#NAME?</v>
      </c>
      <c r="AL141" s="36" t="e">
        <f ca="1">_xll.BDP($AD141,AL$10,"EQY_FUND_CRNCY=USD","FA_ADJUSTED=Y")</f>
        <v>#NAME?</v>
      </c>
      <c r="AM141" s="36" t="e">
        <f ca="1">_xll.BDP($AD141,AM$10,"BEST_FPERIOD_OVERRIDE=1TY","EQY_FUND_CRNCY=USD","FA_ADJUSTED=Y")</f>
        <v>#NAME?</v>
      </c>
      <c r="AN141" s="36" t="e">
        <f ca="1">_xll.BDP($AD141,AN$10,"BEST_FPERIOD_OVERRIDE=1TY","EQY_FUND_CRNCY=USD","FA_ADJUSTED=Y")</f>
        <v>#NAME?</v>
      </c>
      <c r="AO141" s="36" t="e">
        <f ca="1">_xll.BDP($AD141,AO$10,"BEST_FPERIOD_OVERRIDE=1TY","EQY_FUND_CRNCY=USD","FA_ADJUSTED=Y")</f>
        <v>#NAME?</v>
      </c>
      <c r="AP141" s="36" t="e">
        <f ca="1">_xll.BDP($AD141,AP$10,"BEST_FPERIOD_OVERRIDE=1TY","EQY_FUND_CRNCY=USD","FA_ADJUSTED=Y")</f>
        <v>#NAME?</v>
      </c>
      <c r="AQ141" s="36" t="e">
        <f ca="1">_xll.BDP($AD141,AQ$10,"EQY_FUND_CRNCY=USD","FA_ADJUSTED=Y")</f>
        <v>#NAME?</v>
      </c>
      <c r="AR141" s="36" t="e">
        <f ca="1">_xll.BDP($AD141,AR$10,"BEST_FPERIOD_OVERRIDE=1TY","EQY_FUND_CRNCY=USD","FA_ADJUSTED=Y")</f>
        <v>#NAME?</v>
      </c>
      <c r="AS141" s="36" t="e">
        <f ca="1">_xll.BDP($AD141,AS$10,"EQY_FUND_CRNCY=USD","FA_ADJUSTED=Y")</f>
        <v>#NAME?</v>
      </c>
      <c r="AT141" s="36" t="e">
        <f ca="1">_xll.BDP($AD141,AT$10,"BEST_FPERIOD_OVERRIDE=1TY","EQY_FUND_CRNCY=USD","FA_ADJUSTED=Y")</f>
        <v>#NAME?</v>
      </c>
      <c r="AV141" s="1" t="s">
        <v>255</v>
      </c>
      <c r="AW141" s="1" t="s">
        <v>256</v>
      </c>
      <c r="AX141" s="36" t="s">
        <v>480</v>
      </c>
      <c r="AY141" s="36">
        <v>1591.7777000000001</v>
      </c>
      <c r="AZ141" s="36">
        <v>1591.6088999999999</v>
      </c>
      <c r="BA141" s="36">
        <v>0</v>
      </c>
      <c r="BB141" s="36" t="s">
        <v>480</v>
      </c>
      <c r="BC141" s="44" t="e">
        <v>#VALUE!</v>
      </c>
      <c r="BD141" s="36" t="s">
        <v>480</v>
      </c>
      <c r="BE141" s="36" t="s">
        <v>480</v>
      </c>
      <c r="BF141" s="36">
        <v>0</v>
      </c>
      <c r="BG141" s="36" t="s">
        <v>480</v>
      </c>
      <c r="BH141" s="36" t="s">
        <v>480</v>
      </c>
      <c r="BI141" s="36" t="s">
        <v>480</v>
      </c>
      <c r="BJ141" s="36" t="s">
        <v>480</v>
      </c>
      <c r="BK141" s="36">
        <v>-1.5420000000000045E-2</v>
      </c>
      <c r="BL141" s="36" t="s">
        <v>480</v>
      </c>
    </row>
    <row r="142" spans="30:64" x14ac:dyDescent="0.2">
      <c r="AD142" s="1" t="s">
        <v>257</v>
      </c>
      <c r="AE142" s="1" t="s">
        <v>258</v>
      </c>
      <c r="AF142" s="36" t="e">
        <f ca="1">_xll.BDP($AD142,AF$10)</f>
        <v>#NAME?</v>
      </c>
      <c r="AG142" s="36" t="e">
        <f ca="1">_xll.BDH($AD142,AG$10,$C$5,$C$5,"EQY_FUND_CRNCY=USD")</f>
        <v>#NAME?</v>
      </c>
      <c r="AH142" s="36" t="e">
        <f ca="1">_xll.BDH($AD142,AH$10,$C$5,$C$5,"EQY_FUND_CRNCY=USD")</f>
        <v>#NAME?</v>
      </c>
      <c r="AI142" s="36" t="e">
        <f ca="1">_xll.BDP($AD142,AI$10,"EQY_FUND_CRNCY=USD","FA_ADJUSTED=Y")</f>
        <v>#NAME?</v>
      </c>
      <c r="AJ142" s="36" t="e">
        <f ca="1">_xll.BDP($AD142,AJ$10,"BEST_FPERIOD_OVERRIDE=1TY","EQY_FUND_CRNCY=USD","FA_ADJUSTED=Y")</f>
        <v>#NAME?</v>
      </c>
      <c r="AK142" s="44" t="e">
        <f t="shared" ca="1" si="19"/>
        <v>#NAME?</v>
      </c>
      <c r="AL142" s="36" t="e">
        <f ca="1">_xll.BDP($AD142,AL$10,"EQY_FUND_CRNCY=USD","FA_ADJUSTED=Y")</f>
        <v>#NAME?</v>
      </c>
      <c r="AM142" s="36" t="e">
        <f ca="1">_xll.BDP($AD142,AM$10,"BEST_FPERIOD_OVERRIDE=1TY","EQY_FUND_CRNCY=USD","FA_ADJUSTED=Y")</f>
        <v>#NAME?</v>
      </c>
      <c r="AN142" s="36" t="e">
        <f ca="1">_xll.BDP($AD142,AN$10,"BEST_FPERIOD_OVERRIDE=1TY","EQY_FUND_CRNCY=USD","FA_ADJUSTED=Y")</f>
        <v>#NAME?</v>
      </c>
      <c r="AO142" s="36" t="e">
        <f ca="1">_xll.BDP($AD142,AO$10,"BEST_FPERIOD_OVERRIDE=1TY","EQY_FUND_CRNCY=USD","FA_ADJUSTED=Y")</f>
        <v>#NAME?</v>
      </c>
      <c r="AP142" s="36" t="e">
        <f ca="1">_xll.BDP($AD142,AP$10,"BEST_FPERIOD_OVERRIDE=1TY","EQY_FUND_CRNCY=USD","FA_ADJUSTED=Y")</f>
        <v>#NAME?</v>
      </c>
      <c r="AQ142" s="36" t="e">
        <f ca="1">_xll.BDP($AD142,AQ$10,"EQY_FUND_CRNCY=USD","FA_ADJUSTED=Y")</f>
        <v>#NAME?</v>
      </c>
      <c r="AR142" s="36" t="e">
        <f ca="1">_xll.BDP($AD142,AR$10,"BEST_FPERIOD_OVERRIDE=1TY","EQY_FUND_CRNCY=USD","FA_ADJUSTED=Y")</f>
        <v>#NAME?</v>
      </c>
      <c r="AS142" s="36" t="e">
        <f ca="1">_xll.BDP($AD142,AS$10,"EQY_FUND_CRNCY=USD","FA_ADJUSTED=Y")</f>
        <v>#NAME?</v>
      </c>
      <c r="AT142" s="36" t="e">
        <f ca="1">_xll.BDP($AD142,AT$10,"BEST_FPERIOD_OVERRIDE=1TY","EQY_FUND_CRNCY=USD","FA_ADJUSTED=Y")</f>
        <v>#NAME?</v>
      </c>
      <c r="AV142" s="1" t="s">
        <v>257</v>
      </c>
      <c r="AW142" s="1" t="s">
        <v>258</v>
      </c>
      <c r="AX142" s="36" t="s">
        <v>495</v>
      </c>
      <c r="AY142" s="36">
        <v>1534.6110000000001</v>
      </c>
      <c r="AZ142" s="36">
        <v>1454.999</v>
      </c>
      <c r="BA142" s="36">
        <v>211.739</v>
      </c>
      <c r="BB142" s="36">
        <v>279.25700000000001</v>
      </c>
      <c r="BC142" s="44">
        <v>0.31887370772507673</v>
      </c>
      <c r="BD142" s="36">
        <v>149.78799795532225</v>
      </c>
      <c r="BE142" s="36">
        <v>70.757000000000005</v>
      </c>
      <c r="BF142" s="36">
        <v>35.809999999999995</v>
      </c>
      <c r="BG142" s="36">
        <v>71.825000000000003</v>
      </c>
      <c r="BH142" s="36">
        <v>37.470999999999997</v>
      </c>
      <c r="BI142" s="36">
        <v>-11.435911392404998</v>
      </c>
      <c r="BJ142" s="36">
        <v>2.3530000000000002</v>
      </c>
      <c r="BK142" s="36">
        <v>-22.763379999999998</v>
      </c>
      <c r="BL142" s="36">
        <v>-7.5310000000000006</v>
      </c>
    </row>
    <row r="143" spans="30:64" x14ac:dyDescent="0.2">
      <c r="AD143" s="1" t="s">
        <v>259</v>
      </c>
      <c r="AE143" s="1" t="s">
        <v>260</v>
      </c>
      <c r="AF143" s="36" t="e">
        <f ca="1">_xll.BDP($AD143,AF$10)</f>
        <v>#NAME?</v>
      </c>
      <c r="AG143" s="36" t="e">
        <f ca="1">_xll.BDH($AD143,AG$10,$C$5,$C$5,"EQY_FUND_CRNCY=USD")</f>
        <v>#NAME?</v>
      </c>
      <c r="AH143" s="36" t="e">
        <f ca="1">_xll.BDH($AD143,AH$10,$C$5,$C$5,"EQY_FUND_CRNCY=USD")</f>
        <v>#NAME?</v>
      </c>
      <c r="AI143" s="36" t="e">
        <f ca="1">_xll.BDP($AD143,AI$10,"EQY_FUND_CRNCY=USD","FA_ADJUSTED=Y")</f>
        <v>#NAME?</v>
      </c>
      <c r="AJ143" s="36" t="e">
        <f ca="1">_xll.BDP($AD143,AJ$10,"BEST_FPERIOD_OVERRIDE=1TY","EQY_FUND_CRNCY=USD","FA_ADJUSTED=Y")</f>
        <v>#NAME?</v>
      </c>
      <c r="AK143" s="44" t="e">
        <f t="shared" ref="AK143:AK206" ca="1" si="29">(AJ143/AI143)-1</f>
        <v>#NAME?</v>
      </c>
      <c r="AL143" s="36" t="e">
        <f ca="1">_xll.BDP($AD143,AL$10,"EQY_FUND_CRNCY=USD","FA_ADJUSTED=Y")</f>
        <v>#NAME?</v>
      </c>
      <c r="AM143" s="36" t="e">
        <f ca="1">_xll.BDP($AD143,AM$10,"BEST_FPERIOD_OVERRIDE=1TY","EQY_FUND_CRNCY=USD","FA_ADJUSTED=Y")</f>
        <v>#NAME?</v>
      </c>
      <c r="AN143" s="36" t="e">
        <f ca="1">_xll.BDP($AD143,AN$10,"BEST_FPERIOD_OVERRIDE=1TY","EQY_FUND_CRNCY=USD","FA_ADJUSTED=Y")</f>
        <v>#NAME?</v>
      </c>
      <c r="AO143" s="36" t="e">
        <f ca="1">_xll.BDP($AD143,AO$10,"BEST_FPERIOD_OVERRIDE=1TY","EQY_FUND_CRNCY=USD","FA_ADJUSTED=Y")</f>
        <v>#NAME?</v>
      </c>
      <c r="AP143" s="36" t="e">
        <f ca="1">_xll.BDP($AD143,AP$10,"BEST_FPERIOD_OVERRIDE=1TY","EQY_FUND_CRNCY=USD","FA_ADJUSTED=Y")</f>
        <v>#NAME?</v>
      </c>
      <c r="AQ143" s="36" t="e">
        <f ca="1">_xll.BDP($AD143,AQ$10,"EQY_FUND_CRNCY=USD","FA_ADJUSTED=Y")</f>
        <v>#NAME?</v>
      </c>
      <c r="AR143" s="36" t="e">
        <f ca="1">_xll.BDP($AD143,AR$10,"BEST_FPERIOD_OVERRIDE=1TY","EQY_FUND_CRNCY=USD","FA_ADJUSTED=Y")</f>
        <v>#NAME?</v>
      </c>
      <c r="AS143" s="36" t="e">
        <f ca="1">_xll.BDP($AD143,AS$10,"EQY_FUND_CRNCY=USD","FA_ADJUSTED=Y")</f>
        <v>#NAME?</v>
      </c>
      <c r="AT143" s="36" t="e">
        <f ca="1">_xll.BDP($AD143,AT$10,"BEST_FPERIOD_OVERRIDE=1TY","EQY_FUND_CRNCY=USD","FA_ADJUSTED=Y")</f>
        <v>#NAME?</v>
      </c>
      <c r="AV143" s="1" t="s">
        <v>259</v>
      </c>
      <c r="AW143" s="1" t="s">
        <v>260</v>
      </c>
      <c r="AX143" s="36" t="s">
        <v>495</v>
      </c>
      <c r="AY143" s="36">
        <v>1513.4337</v>
      </c>
      <c r="AZ143" s="36">
        <v>1346.6967</v>
      </c>
      <c r="BA143" s="36">
        <v>128.28899999999999</v>
      </c>
      <c r="BB143" s="36">
        <v>156.166</v>
      </c>
      <c r="BC143" s="44">
        <v>0.21729844335835513</v>
      </c>
      <c r="BD143" s="36">
        <v>95.234000320434575</v>
      </c>
      <c r="BE143" s="36">
        <v>76.150000000000006</v>
      </c>
      <c r="BF143" s="36">
        <v>29.642999999999997</v>
      </c>
      <c r="BG143" s="36">
        <v>28.184999999999999</v>
      </c>
      <c r="BH143" s="36">
        <v>30.100999999999999</v>
      </c>
      <c r="BI143" s="36">
        <v>4.5019999999999998</v>
      </c>
      <c r="BJ143" s="36">
        <v>18.233000000000001</v>
      </c>
      <c r="BK143" s="36">
        <v>-4.702</v>
      </c>
      <c r="BL143" s="36">
        <v>8.918000000000001</v>
      </c>
    </row>
    <row r="144" spans="30:64" x14ac:dyDescent="0.2">
      <c r="AD144" s="1" t="s">
        <v>261</v>
      </c>
      <c r="AE144" s="1" t="s">
        <v>262</v>
      </c>
      <c r="AF144" s="36" t="e">
        <f ca="1">_xll.BDP($AD144,AF$10)</f>
        <v>#NAME?</v>
      </c>
      <c r="AG144" s="36" t="e">
        <f ca="1">_xll.BDH($AD144,AG$10,$C$5,$C$5,"EQY_FUND_CRNCY=USD")</f>
        <v>#NAME?</v>
      </c>
      <c r="AH144" s="36" t="e">
        <f ca="1">_xll.BDH($AD144,AH$10,$C$5,$C$5,"EQY_FUND_CRNCY=USD")</f>
        <v>#NAME?</v>
      </c>
      <c r="AI144" s="36" t="e">
        <f ca="1">_xll.BDP($AD144,AI$10,"EQY_FUND_CRNCY=USD","FA_ADJUSTED=Y")</f>
        <v>#NAME?</v>
      </c>
      <c r="AJ144" s="36" t="e">
        <f ca="1">_xll.BDP($AD144,AJ$10,"BEST_FPERIOD_OVERRIDE=1TY","EQY_FUND_CRNCY=USD","FA_ADJUSTED=Y")</f>
        <v>#NAME?</v>
      </c>
      <c r="AK144" s="44" t="e">
        <f t="shared" ca="1" si="29"/>
        <v>#NAME?</v>
      </c>
      <c r="AL144" s="36" t="e">
        <f ca="1">_xll.BDP($AD144,AL$10,"EQY_FUND_CRNCY=USD","FA_ADJUSTED=Y")</f>
        <v>#NAME?</v>
      </c>
      <c r="AM144" s="36" t="e">
        <f ca="1">_xll.BDP($AD144,AM$10,"BEST_FPERIOD_OVERRIDE=1TY","EQY_FUND_CRNCY=USD","FA_ADJUSTED=Y")</f>
        <v>#NAME?</v>
      </c>
      <c r="AN144" s="36" t="e">
        <f ca="1">_xll.BDP($AD144,AN$10,"BEST_FPERIOD_OVERRIDE=1TY","EQY_FUND_CRNCY=USD","FA_ADJUSTED=Y")</f>
        <v>#NAME?</v>
      </c>
      <c r="AO144" s="36" t="e">
        <f ca="1">_xll.BDP($AD144,AO$10,"BEST_FPERIOD_OVERRIDE=1TY","EQY_FUND_CRNCY=USD","FA_ADJUSTED=Y")</f>
        <v>#NAME?</v>
      </c>
      <c r="AP144" s="36" t="e">
        <f ca="1">_xll.BDP($AD144,AP$10,"BEST_FPERIOD_OVERRIDE=1TY","EQY_FUND_CRNCY=USD","FA_ADJUSTED=Y")</f>
        <v>#NAME?</v>
      </c>
      <c r="AQ144" s="36" t="e">
        <f ca="1">_xll.BDP($AD144,AQ$10,"EQY_FUND_CRNCY=USD","FA_ADJUSTED=Y")</f>
        <v>#NAME?</v>
      </c>
      <c r="AR144" s="36" t="e">
        <f ca="1">_xll.BDP($AD144,AR$10,"BEST_FPERIOD_OVERRIDE=1TY","EQY_FUND_CRNCY=USD","FA_ADJUSTED=Y")</f>
        <v>#NAME?</v>
      </c>
      <c r="AS144" s="36" t="e">
        <f ca="1">_xll.BDP($AD144,AS$10,"EQY_FUND_CRNCY=USD","FA_ADJUSTED=Y")</f>
        <v>#NAME?</v>
      </c>
      <c r="AT144" s="36" t="e">
        <f ca="1">_xll.BDP($AD144,AT$10,"BEST_FPERIOD_OVERRIDE=1TY","EQY_FUND_CRNCY=USD","FA_ADJUSTED=Y")</f>
        <v>#NAME?</v>
      </c>
      <c r="AV144" s="1" t="s">
        <v>261</v>
      </c>
      <c r="AW144" s="1" t="s">
        <v>262</v>
      </c>
      <c r="AX144" s="36" t="s">
        <v>495</v>
      </c>
      <c r="AY144" s="36">
        <v>1542.9568999999999</v>
      </c>
      <c r="AZ144" s="36">
        <v>1407.1201000000001</v>
      </c>
      <c r="BA144" s="36">
        <v>268.00934779214469</v>
      </c>
      <c r="BB144" s="36">
        <v>275.88499999999999</v>
      </c>
      <c r="BC144" s="44">
        <v>2.9385737000350076E-2</v>
      </c>
      <c r="BD144" s="36">
        <v>186.44702180226108</v>
      </c>
      <c r="BE144" s="36">
        <v>69.266999999999996</v>
      </c>
      <c r="BF144" s="36">
        <v>34.081785163002429</v>
      </c>
      <c r="BG144" s="36" t="s">
        <v>480</v>
      </c>
      <c r="BH144" s="36" t="s">
        <v>480</v>
      </c>
      <c r="BI144" s="36">
        <v>92.270070899827459</v>
      </c>
      <c r="BJ144" s="36">
        <v>82.138000000000005</v>
      </c>
      <c r="BK144" s="36">
        <v>45.2449786771883</v>
      </c>
      <c r="BL144" s="36">
        <v>49.151000000000003</v>
      </c>
    </row>
    <row r="145" spans="30:64" x14ac:dyDescent="0.2">
      <c r="AD145" s="1" t="s">
        <v>263</v>
      </c>
      <c r="AE145" s="1" t="s">
        <v>264</v>
      </c>
      <c r="AF145" s="36" t="e">
        <f ca="1">_xll.BDP($AD145,AF$10)</f>
        <v>#NAME?</v>
      </c>
      <c r="AG145" s="36" t="e">
        <f ca="1">_xll.BDH($AD145,AG$10,$C$5,$C$5,"EQY_FUND_CRNCY=USD")</f>
        <v>#NAME?</v>
      </c>
      <c r="AH145" s="36" t="e">
        <f ca="1">_xll.BDH($AD145,AH$10,$C$5,$C$5,"EQY_FUND_CRNCY=USD")</f>
        <v>#NAME?</v>
      </c>
      <c r="AI145" s="36" t="e">
        <f ca="1">_xll.BDP($AD145,AI$10,"EQY_FUND_CRNCY=USD","FA_ADJUSTED=Y")</f>
        <v>#NAME?</v>
      </c>
      <c r="AJ145" s="36" t="e">
        <f ca="1">_xll.BDP($AD145,AJ$10,"BEST_FPERIOD_OVERRIDE=1TY","EQY_FUND_CRNCY=USD","FA_ADJUSTED=Y")</f>
        <v>#NAME?</v>
      </c>
      <c r="AK145" s="44" t="e">
        <f t="shared" ca="1" si="29"/>
        <v>#NAME?</v>
      </c>
      <c r="AL145" s="36" t="e">
        <f ca="1">_xll.BDP($AD145,AL$10,"EQY_FUND_CRNCY=USD","FA_ADJUSTED=Y")</f>
        <v>#NAME?</v>
      </c>
      <c r="AM145" s="36" t="e">
        <f ca="1">_xll.BDP($AD145,AM$10,"BEST_FPERIOD_OVERRIDE=1TY","EQY_FUND_CRNCY=USD","FA_ADJUSTED=Y")</f>
        <v>#NAME?</v>
      </c>
      <c r="AN145" s="36" t="e">
        <f ca="1">_xll.BDP($AD145,AN$10,"BEST_FPERIOD_OVERRIDE=1TY","EQY_FUND_CRNCY=USD","FA_ADJUSTED=Y")</f>
        <v>#NAME?</v>
      </c>
      <c r="AO145" s="36" t="e">
        <f ca="1">_xll.BDP($AD145,AO$10,"BEST_FPERIOD_OVERRIDE=1TY","EQY_FUND_CRNCY=USD","FA_ADJUSTED=Y")</f>
        <v>#NAME?</v>
      </c>
      <c r="AP145" s="36" t="e">
        <f ca="1">_xll.BDP($AD145,AP$10,"BEST_FPERIOD_OVERRIDE=1TY","EQY_FUND_CRNCY=USD","FA_ADJUSTED=Y")</f>
        <v>#NAME?</v>
      </c>
      <c r="AQ145" s="36" t="e">
        <f ca="1">_xll.BDP($AD145,AQ$10,"EQY_FUND_CRNCY=USD","FA_ADJUSTED=Y")</f>
        <v>#NAME?</v>
      </c>
      <c r="AR145" s="36" t="e">
        <f ca="1">_xll.BDP($AD145,AR$10,"BEST_FPERIOD_OVERRIDE=1TY","EQY_FUND_CRNCY=USD","FA_ADJUSTED=Y")</f>
        <v>#NAME?</v>
      </c>
      <c r="AS145" s="36" t="e">
        <f ca="1">_xll.BDP($AD145,AS$10,"EQY_FUND_CRNCY=USD","FA_ADJUSTED=Y")</f>
        <v>#NAME?</v>
      </c>
      <c r="AT145" s="36" t="e">
        <f ca="1">_xll.BDP($AD145,AT$10,"BEST_FPERIOD_OVERRIDE=1TY","EQY_FUND_CRNCY=USD","FA_ADJUSTED=Y")</f>
        <v>#NAME?</v>
      </c>
      <c r="AV145" s="1" t="s">
        <v>263</v>
      </c>
      <c r="AW145" s="1" t="s">
        <v>264</v>
      </c>
      <c r="AX145" s="36" t="s">
        <v>505</v>
      </c>
      <c r="AY145" s="36">
        <v>1556.6736000000001</v>
      </c>
      <c r="AZ145" s="36">
        <v>1443.3649</v>
      </c>
      <c r="BA145" s="36">
        <v>221.20800000000003</v>
      </c>
      <c r="BB145" s="36">
        <v>260.59699999999998</v>
      </c>
      <c r="BC145" s="44">
        <v>0.17806318035514068</v>
      </c>
      <c r="BD145" s="36">
        <v>155.65399899291992</v>
      </c>
      <c r="BE145" s="36">
        <v>72.808999999999997</v>
      </c>
      <c r="BF145" s="36">
        <v>50.937999999999995</v>
      </c>
      <c r="BG145" s="36">
        <v>111.593</v>
      </c>
      <c r="BH145" s="36">
        <v>30.292999999999999</v>
      </c>
      <c r="BI145" s="36">
        <v>-47.295392405064</v>
      </c>
      <c r="BJ145" s="36">
        <v>-2.335</v>
      </c>
      <c r="BK145" s="36">
        <v>-53.869</v>
      </c>
      <c r="BL145" s="36">
        <v>-11.454000000000001</v>
      </c>
    </row>
    <row r="146" spans="30:64" x14ac:dyDescent="0.2">
      <c r="AD146" s="1" t="s">
        <v>265</v>
      </c>
      <c r="AE146" s="1" t="s">
        <v>266</v>
      </c>
      <c r="AF146" s="36" t="e">
        <f ca="1">_xll.BDP($AD146,AF$10)</f>
        <v>#NAME?</v>
      </c>
      <c r="AG146" s="36" t="e">
        <f ca="1">_xll.BDH($AD146,AG$10,$C$5,$C$5,"EQY_FUND_CRNCY=USD")</f>
        <v>#NAME?</v>
      </c>
      <c r="AH146" s="36" t="e">
        <f ca="1">_xll.BDH($AD146,AH$10,$C$5,$C$5,"EQY_FUND_CRNCY=USD")</f>
        <v>#NAME?</v>
      </c>
      <c r="AI146" s="36" t="e">
        <f ca="1">_xll.BDP($AD146,AI$10,"EQY_FUND_CRNCY=USD","FA_ADJUSTED=Y")</f>
        <v>#NAME?</v>
      </c>
      <c r="AJ146" s="36" t="e">
        <f ca="1">_xll.BDP($AD146,AJ$10,"BEST_FPERIOD_OVERRIDE=1TY","EQY_FUND_CRNCY=USD","FA_ADJUSTED=Y")</f>
        <v>#NAME?</v>
      </c>
      <c r="AK146" s="44" t="e">
        <f t="shared" ca="1" si="29"/>
        <v>#NAME?</v>
      </c>
      <c r="AL146" s="36" t="e">
        <f ca="1">_xll.BDP($AD146,AL$10,"EQY_FUND_CRNCY=USD","FA_ADJUSTED=Y")</f>
        <v>#NAME?</v>
      </c>
      <c r="AM146" s="36" t="e">
        <f ca="1">_xll.BDP($AD146,AM$10,"BEST_FPERIOD_OVERRIDE=1TY","EQY_FUND_CRNCY=USD","FA_ADJUSTED=Y")</f>
        <v>#NAME?</v>
      </c>
      <c r="AN146" s="36" t="e">
        <f ca="1">_xll.BDP($AD146,AN$10,"BEST_FPERIOD_OVERRIDE=1TY","EQY_FUND_CRNCY=USD","FA_ADJUSTED=Y")</f>
        <v>#NAME?</v>
      </c>
      <c r="AO146" s="36" t="e">
        <f ca="1">_xll.BDP($AD146,AO$10,"BEST_FPERIOD_OVERRIDE=1TY","EQY_FUND_CRNCY=USD","FA_ADJUSTED=Y")</f>
        <v>#NAME?</v>
      </c>
      <c r="AP146" s="36" t="e">
        <f ca="1">_xll.BDP($AD146,AP$10,"BEST_FPERIOD_OVERRIDE=1TY","EQY_FUND_CRNCY=USD","FA_ADJUSTED=Y")</f>
        <v>#NAME?</v>
      </c>
      <c r="AQ146" s="36" t="e">
        <f ca="1">_xll.BDP($AD146,AQ$10,"EQY_FUND_CRNCY=USD","FA_ADJUSTED=Y")</f>
        <v>#NAME?</v>
      </c>
      <c r="AR146" s="36" t="e">
        <f ca="1">_xll.BDP($AD146,AR$10,"BEST_FPERIOD_OVERRIDE=1TY","EQY_FUND_CRNCY=USD","FA_ADJUSTED=Y")</f>
        <v>#NAME?</v>
      </c>
      <c r="AS146" s="36" t="e">
        <f ca="1">_xll.BDP($AD146,AS$10,"EQY_FUND_CRNCY=USD","FA_ADJUSTED=Y")</f>
        <v>#NAME?</v>
      </c>
      <c r="AT146" s="36" t="e">
        <f ca="1">_xll.BDP($AD146,AT$10,"BEST_FPERIOD_OVERRIDE=1TY","EQY_FUND_CRNCY=USD","FA_ADJUSTED=Y")</f>
        <v>#NAME?</v>
      </c>
      <c r="AV146" s="1" t="s">
        <v>265</v>
      </c>
      <c r="AW146" s="1" t="s">
        <v>266</v>
      </c>
      <c r="AX146" s="36" t="s">
        <v>505</v>
      </c>
      <c r="AY146" s="36">
        <v>1459.6728000000001</v>
      </c>
      <c r="AZ146" s="36">
        <v>1409.3098</v>
      </c>
      <c r="BA146" s="36">
        <v>206.78900000000002</v>
      </c>
      <c r="BB146" s="36">
        <v>220.108</v>
      </c>
      <c r="BC146" s="44">
        <v>6.44086484290749E-2</v>
      </c>
      <c r="BD146" s="36">
        <v>128.89599989318847</v>
      </c>
      <c r="BE146" s="36">
        <v>64.533000000000001</v>
      </c>
      <c r="BF146" s="36">
        <v>34.835000000000001</v>
      </c>
      <c r="BG146" s="36">
        <v>81.965999999999994</v>
      </c>
      <c r="BH146" s="36">
        <v>27.15</v>
      </c>
      <c r="BI146" s="36">
        <v>-30.616</v>
      </c>
      <c r="BJ146" s="36">
        <v>-42.71</v>
      </c>
      <c r="BK146" s="36">
        <v>-33.673000000000002</v>
      </c>
      <c r="BL146" s="36">
        <v>-37.93</v>
      </c>
    </row>
    <row r="147" spans="30:64" x14ac:dyDescent="0.2">
      <c r="AD147" s="1" t="s">
        <v>267</v>
      </c>
      <c r="AE147" s="1" t="s">
        <v>268</v>
      </c>
      <c r="AF147" s="36" t="e">
        <f ca="1">_xll.BDP($AD147,AF$10)</f>
        <v>#NAME?</v>
      </c>
      <c r="AG147" s="36" t="e">
        <f ca="1">_xll.BDH($AD147,AG$10,$C$5,$C$5,"EQY_FUND_CRNCY=USD")</f>
        <v>#NAME?</v>
      </c>
      <c r="AH147" s="36" t="e">
        <f ca="1">_xll.BDH($AD147,AH$10,$C$5,$C$5,"EQY_FUND_CRNCY=USD")</f>
        <v>#NAME?</v>
      </c>
      <c r="AI147" s="36" t="e">
        <f ca="1">_xll.BDP($AD147,AI$10,"EQY_FUND_CRNCY=USD","FA_ADJUSTED=Y")</f>
        <v>#NAME?</v>
      </c>
      <c r="AJ147" s="36" t="e">
        <f ca="1">_xll.BDP($AD147,AJ$10,"BEST_FPERIOD_OVERRIDE=1TY","EQY_FUND_CRNCY=USD","FA_ADJUSTED=Y")</f>
        <v>#NAME?</v>
      </c>
      <c r="AK147" s="44" t="e">
        <f t="shared" ca="1" si="29"/>
        <v>#NAME?</v>
      </c>
      <c r="AL147" s="36" t="e">
        <f ca="1">_xll.BDP($AD147,AL$10,"EQY_FUND_CRNCY=USD","FA_ADJUSTED=Y")</f>
        <v>#NAME?</v>
      </c>
      <c r="AM147" s="36" t="e">
        <f ca="1">_xll.BDP($AD147,AM$10,"BEST_FPERIOD_OVERRIDE=1TY","EQY_FUND_CRNCY=USD","FA_ADJUSTED=Y")</f>
        <v>#NAME?</v>
      </c>
      <c r="AN147" s="36" t="e">
        <f ca="1">_xll.BDP($AD147,AN$10,"BEST_FPERIOD_OVERRIDE=1TY","EQY_FUND_CRNCY=USD","FA_ADJUSTED=Y")</f>
        <v>#NAME?</v>
      </c>
      <c r="AO147" s="36" t="e">
        <f ca="1">_xll.BDP($AD147,AO$10,"BEST_FPERIOD_OVERRIDE=1TY","EQY_FUND_CRNCY=USD","FA_ADJUSTED=Y")</f>
        <v>#NAME?</v>
      </c>
      <c r="AP147" s="36" t="e">
        <f ca="1">_xll.BDP($AD147,AP$10,"BEST_FPERIOD_OVERRIDE=1TY","EQY_FUND_CRNCY=USD","FA_ADJUSTED=Y")</f>
        <v>#NAME?</v>
      </c>
      <c r="AQ147" s="36" t="e">
        <f ca="1">_xll.BDP($AD147,AQ$10,"EQY_FUND_CRNCY=USD","FA_ADJUSTED=Y")</f>
        <v>#NAME?</v>
      </c>
      <c r="AR147" s="36" t="e">
        <f ca="1">_xll.BDP($AD147,AR$10,"BEST_FPERIOD_OVERRIDE=1TY","EQY_FUND_CRNCY=USD","FA_ADJUSTED=Y")</f>
        <v>#NAME?</v>
      </c>
      <c r="AS147" s="36" t="e">
        <f ca="1">_xll.BDP($AD147,AS$10,"EQY_FUND_CRNCY=USD","FA_ADJUSTED=Y")</f>
        <v>#NAME?</v>
      </c>
      <c r="AT147" s="36" t="e">
        <f ca="1">_xll.BDP($AD147,AT$10,"BEST_FPERIOD_OVERRIDE=1TY","EQY_FUND_CRNCY=USD","FA_ADJUSTED=Y")</f>
        <v>#NAME?</v>
      </c>
      <c r="AV147" s="1" t="s">
        <v>267</v>
      </c>
      <c r="AW147" s="1" t="s">
        <v>268</v>
      </c>
      <c r="AX147" s="36" t="s">
        <v>495</v>
      </c>
      <c r="AY147" s="36">
        <v>1457.1904999999999</v>
      </c>
      <c r="AZ147" s="36">
        <v>1375.7365</v>
      </c>
      <c r="BA147" s="36">
        <v>309.411</v>
      </c>
      <c r="BB147" s="36">
        <v>376.04599999999999</v>
      </c>
      <c r="BC147" s="44">
        <v>0.21536079842022415</v>
      </c>
      <c r="BD147" s="36">
        <v>220.4609998474121</v>
      </c>
      <c r="BE147" s="36">
        <v>74.707999999999998</v>
      </c>
      <c r="BF147" s="36">
        <v>101.09399999999999</v>
      </c>
      <c r="BG147" s="36">
        <v>200.18799999999999</v>
      </c>
      <c r="BH147" s="36">
        <v>78.281999999999996</v>
      </c>
      <c r="BI147" s="36">
        <v>-163.124</v>
      </c>
      <c r="BJ147" s="36">
        <v>-38.413000000000004</v>
      </c>
      <c r="BK147" s="36">
        <v>-176.84800000000001</v>
      </c>
      <c r="BL147" s="36">
        <v>-41.511000000000003</v>
      </c>
    </row>
    <row r="148" spans="30:64" x14ac:dyDescent="0.2">
      <c r="AD148" s="1" t="s">
        <v>269</v>
      </c>
      <c r="AE148" s="1" t="s">
        <v>270</v>
      </c>
      <c r="AF148" s="36" t="e">
        <f ca="1">_xll.BDP($AD148,AF$10)</f>
        <v>#NAME?</v>
      </c>
      <c r="AG148" s="36" t="e">
        <f ca="1">_xll.BDH($AD148,AG$10,$C$5,$C$5,"EQY_FUND_CRNCY=USD")</f>
        <v>#NAME?</v>
      </c>
      <c r="AH148" s="36" t="e">
        <f ca="1">_xll.BDH($AD148,AH$10,$C$5,$C$5,"EQY_FUND_CRNCY=USD")</f>
        <v>#NAME?</v>
      </c>
      <c r="AI148" s="36" t="e">
        <f ca="1">_xll.BDP($AD148,AI$10,"EQY_FUND_CRNCY=USD","FA_ADJUSTED=Y")</f>
        <v>#NAME?</v>
      </c>
      <c r="AJ148" s="36" t="e">
        <f ca="1">_xll.BDP($AD148,AJ$10,"BEST_FPERIOD_OVERRIDE=1TY","EQY_FUND_CRNCY=USD","FA_ADJUSTED=Y")</f>
        <v>#NAME?</v>
      </c>
      <c r="AK148" s="44" t="e">
        <f t="shared" ca="1" si="29"/>
        <v>#NAME?</v>
      </c>
      <c r="AL148" s="36" t="e">
        <f ca="1">_xll.BDP($AD148,AL$10,"EQY_FUND_CRNCY=USD","FA_ADJUSTED=Y")</f>
        <v>#NAME?</v>
      </c>
      <c r="AM148" s="36" t="e">
        <f ca="1">_xll.BDP($AD148,AM$10,"BEST_FPERIOD_OVERRIDE=1TY","EQY_FUND_CRNCY=USD","FA_ADJUSTED=Y")</f>
        <v>#NAME?</v>
      </c>
      <c r="AN148" s="36" t="e">
        <f ca="1">_xll.BDP($AD148,AN$10,"BEST_FPERIOD_OVERRIDE=1TY","EQY_FUND_CRNCY=USD","FA_ADJUSTED=Y")</f>
        <v>#NAME?</v>
      </c>
      <c r="AO148" s="36" t="e">
        <f ca="1">_xll.BDP($AD148,AO$10,"BEST_FPERIOD_OVERRIDE=1TY","EQY_FUND_CRNCY=USD","FA_ADJUSTED=Y")</f>
        <v>#NAME?</v>
      </c>
      <c r="AP148" s="36" t="e">
        <f ca="1">_xll.BDP($AD148,AP$10,"BEST_FPERIOD_OVERRIDE=1TY","EQY_FUND_CRNCY=USD","FA_ADJUSTED=Y")</f>
        <v>#NAME?</v>
      </c>
      <c r="AQ148" s="36" t="e">
        <f ca="1">_xll.BDP($AD148,AQ$10,"EQY_FUND_CRNCY=USD","FA_ADJUSTED=Y")</f>
        <v>#NAME?</v>
      </c>
      <c r="AR148" s="36" t="e">
        <f ca="1">_xll.BDP($AD148,AR$10,"BEST_FPERIOD_OVERRIDE=1TY","EQY_FUND_CRNCY=USD","FA_ADJUSTED=Y")</f>
        <v>#NAME?</v>
      </c>
      <c r="AS148" s="36" t="e">
        <f ca="1">_xll.BDP($AD148,AS$10,"EQY_FUND_CRNCY=USD","FA_ADJUSTED=Y")</f>
        <v>#NAME?</v>
      </c>
      <c r="AT148" s="36" t="e">
        <f ca="1">_xll.BDP($AD148,AT$10,"BEST_FPERIOD_OVERRIDE=1TY","EQY_FUND_CRNCY=USD","FA_ADJUSTED=Y")</f>
        <v>#NAME?</v>
      </c>
      <c r="AV148" s="1" t="s">
        <v>269</v>
      </c>
      <c r="AW148" s="1" t="s">
        <v>270</v>
      </c>
      <c r="AX148" s="36" t="s">
        <v>495</v>
      </c>
      <c r="AY148" s="36">
        <v>1469.1429000000001</v>
      </c>
      <c r="AZ148" s="36">
        <v>1455.3159000000001</v>
      </c>
      <c r="BA148" s="36">
        <v>122.828</v>
      </c>
      <c r="BB148" s="36">
        <v>163.084</v>
      </c>
      <c r="BC148" s="44">
        <v>0.32774285993421692</v>
      </c>
      <c r="BD148" s="36">
        <v>85.026000061035163</v>
      </c>
      <c r="BE148" s="36">
        <v>71.689000000000007</v>
      </c>
      <c r="BF148" s="36">
        <v>22.241</v>
      </c>
      <c r="BG148" s="36">
        <v>46.997999999999998</v>
      </c>
      <c r="BH148" s="36">
        <v>22.895</v>
      </c>
      <c r="BI148" s="36">
        <v>-24.664999999999999</v>
      </c>
      <c r="BJ148" s="36">
        <v>-0.70599999999999996</v>
      </c>
      <c r="BK148" s="36">
        <v>-39.188639999999999</v>
      </c>
      <c r="BL148" s="36">
        <v>-13.982000000000001</v>
      </c>
    </row>
    <row r="149" spans="30:64" x14ac:dyDescent="0.2">
      <c r="AD149" s="1" t="s">
        <v>271</v>
      </c>
      <c r="AE149" s="1" t="s">
        <v>272</v>
      </c>
      <c r="AF149" s="36" t="e">
        <f ca="1">_xll.BDP($AD149,AF$10)</f>
        <v>#NAME?</v>
      </c>
      <c r="AG149" s="36" t="e">
        <f ca="1">_xll.BDH($AD149,AG$10,$C$5,$C$5,"EQY_FUND_CRNCY=USD")</f>
        <v>#NAME?</v>
      </c>
      <c r="AH149" s="36" t="e">
        <f ca="1">_xll.BDH($AD149,AH$10,$C$5,$C$5,"EQY_FUND_CRNCY=USD")</f>
        <v>#NAME?</v>
      </c>
      <c r="AI149" s="36" t="e">
        <f ca="1">_xll.BDP($AD149,AI$10,"EQY_FUND_CRNCY=USD","FA_ADJUSTED=Y")</f>
        <v>#NAME?</v>
      </c>
      <c r="AJ149" s="36" t="e">
        <f ca="1">_xll.BDP($AD149,AJ$10,"BEST_FPERIOD_OVERRIDE=1TY","EQY_FUND_CRNCY=USD","FA_ADJUSTED=Y")</f>
        <v>#NAME?</v>
      </c>
      <c r="AK149" s="44" t="e">
        <f t="shared" ca="1" si="29"/>
        <v>#NAME?</v>
      </c>
      <c r="AL149" s="36" t="e">
        <f ca="1">_xll.BDP($AD149,AL$10,"EQY_FUND_CRNCY=USD","FA_ADJUSTED=Y")</f>
        <v>#NAME?</v>
      </c>
      <c r="AM149" s="36" t="e">
        <f ca="1">_xll.BDP($AD149,AM$10,"BEST_FPERIOD_OVERRIDE=1TY","EQY_FUND_CRNCY=USD","FA_ADJUSTED=Y")</f>
        <v>#NAME?</v>
      </c>
      <c r="AN149" s="36" t="e">
        <f ca="1">_xll.BDP($AD149,AN$10,"BEST_FPERIOD_OVERRIDE=1TY","EQY_FUND_CRNCY=USD","FA_ADJUSTED=Y")</f>
        <v>#NAME?</v>
      </c>
      <c r="AO149" s="36" t="e">
        <f ca="1">_xll.BDP($AD149,AO$10,"BEST_FPERIOD_OVERRIDE=1TY","EQY_FUND_CRNCY=USD","FA_ADJUSTED=Y")</f>
        <v>#NAME?</v>
      </c>
      <c r="AP149" s="36" t="e">
        <f ca="1">_xll.BDP($AD149,AP$10,"BEST_FPERIOD_OVERRIDE=1TY","EQY_FUND_CRNCY=USD","FA_ADJUSTED=Y")</f>
        <v>#NAME?</v>
      </c>
      <c r="AQ149" s="36" t="e">
        <f ca="1">_xll.BDP($AD149,AQ$10,"EQY_FUND_CRNCY=USD","FA_ADJUSTED=Y")</f>
        <v>#NAME?</v>
      </c>
      <c r="AR149" s="36" t="e">
        <f ca="1">_xll.BDP($AD149,AR$10,"BEST_FPERIOD_OVERRIDE=1TY","EQY_FUND_CRNCY=USD","FA_ADJUSTED=Y")</f>
        <v>#NAME?</v>
      </c>
      <c r="AS149" s="36" t="e">
        <f ca="1">_xll.BDP($AD149,AS$10,"EQY_FUND_CRNCY=USD","FA_ADJUSTED=Y")</f>
        <v>#NAME?</v>
      </c>
      <c r="AT149" s="36" t="e">
        <f ca="1">_xll.BDP($AD149,AT$10,"BEST_FPERIOD_OVERRIDE=1TY","EQY_FUND_CRNCY=USD","FA_ADJUSTED=Y")</f>
        <v>#NAME?</v>
      </c>
      <c r="AV149" s="1" t="s">
        <v>271</v>
      </c>
      <c r="AW149" s="1" t="s">
        <v>272</v>
      </c>
      <c r="AX149" s="36" t="s">
        <v>495</v>
      </c>
      <c r="AY149" s="36">
        <v>1512.7247</v>
      </c>
      <c r="AZ149" s="36">
        <v>1335.0657000000001</v>
      </c>
      <c r="BA149" s="36">
        <v>234.53299999999999</v>
      </c>
      <c r="BB149" s="36">
        <v>255.227</v>
      </c>
      <c r="BC149" s="44">
        <v>8.8234917900679388E-2</v>
      </c>
      <c r="BD149" s="36">
        <v>156.26900183105468</v>
      </c>
      <c r="BE149" s="36">
        <v>66.875</v>
      </c>
      <c r="BF149" s="36">
        <v>23.183</v>
      </c>
      <c r="BG149" s="36">
        <v>73.295000000000002</v>
      </c>
      <c r="BH149" s="36">
        <v>37.460999999999999</v>
      </c>
      <c r="BI149" s="36">
        <v>24.942</v>
      </c>
      <c r="BJ149" s="36">
        <v>52.480000000000004</v>
      </c>
      <c r="BK149" s="36">
        <v>10.046000000000001</v>
      </c>
      <c r="BL149" s="36">
        <v>29.999000000000002</v>
      </c>
    </row>
    <row r="150" spans="30:64" x14ac:dyDescent="0.2">
      <c r="AD150" s="1" t="s">
        <v>273</v>
      </c>
      <c r="AE150" s="1" t="s">
        <v>274</v>
      </c>
      <c r="AF150" s="36" t="e">
        <f ca="1">_xll.BDP($AD150,AF$10)</f>
        <v>#NAME?</v>
      </c>
      <c r="AG150" s="36" t="e">
        <f ca="1">_xll.BDH($AD150,AG$10,$C$5,$C$5,"EQY_FUND_CRNCY=USD")</f>
        <v>#NAME?</v>
      </c>
      <c r="AH150" s="36" t="e">
        <f ca="1">_xll.BDH($AD150,AH$10,$C$5,$C$5,"EQY_FUND_CRNCY=USD")</f>
        <v>#NAME?</v>
      </c>
      <c r="AI150" s="36" t="e">
        <f ca="1">_xll.BDP($AD150,AI$10,"EQY_FUND_CRNCY=USD","FA_ADJUSTED=Y")</f>
        <v>#NAME?</v>
      </c>
      <c r="AJ150" s="36" t="e">
        <f ca="1">_xll.BDP($AD150,AJ$10,"BEST_FPERIOD_OVERRIDE=1TY","EQY_FUND_CRNCY=USD","FA_ADJUSTED=Y")</f>
        <v>#NAME?</v>
      </c>
      <c r="AK150" s="44" t="e">
        <f t="shared" ca="1" si="29"/>
        <v>#NAME?</v>
      </c>
      <c r="AL150" s="36" t="e">
        <f ca="1">_xll.BDP($AD150,AL$10,"EQY_FUND_CRNCY=USD","FA_ADJUSTED=Y")</f>
        <v>#NAME?</v>
      </c>
      <c r="AM150" s="36" t="e">
        <f ca="1">_xll.BDP($AD150,AM$10,"BEST_FPERIOD_OVERRIDE=1TY","EQY_FUND_CRNCY=USD","FA_ADJUSTED=Y")</f>
        <v>#NAME?</v>
      </c>
      <c r="AN150" s="36" t="e">
        <f ca="1">_xll.BDP($AD150,AN$10,"BEST_FPERIOD_OVERRIDE=1TY","EQY_FUND_CRNCY=USD","FA_ADJUSTED=Y")</f>
        <v>#NAME?</v>
      </c>
      <c r="AO150" s="36" t="e">
        <f ca="1">_xll.BDP($AD150,AO$10,"BEST_FPERIOD_OVERRIDE=1TY","EQY_FUND_CRNCY=USD","FA_ADJUSTED=Y")</f>
        <v>#NAME?</v>
      </c>
      <c r="AP150" s="36" t="e">
        <f ca="1">_xll.BDP($AD150,AP$10,"BEST_FPERIOD_OVERRIDE=1TY","EQY_FUND_CRNCY=USD","FA_ADJUSTED=Y")</f>
        <v>#NAME?</v>
      </c>
      <c r="AQ150" s="36" t="e">
        <f ca="1">_xll.BDP($AD150,AQ$10,"EQY_FUND_CRNCY=USD","FA_ADJUSTED=Y")</f>
        <v>#NAME?</v>
      </c>
      <c r="AR150" s="36" t="e">
        <f ca="1">_xll.BDP($AD150,AR$10,"BEST_FPERIOD_OVERRIDE=1TY","EQY_FUND_CRNCY=USD","FA_ADJUSTED=Y")</f>
        <v>#NAME?</v>
      </c>
      <c r="AS150" s="36" t="e">
        <f ca="1">_xll.BDP($AD150,AS$10,"EQY_FUND_CRNCY=USD","FA_ADJUSTED=Y")</f>
        <v>#NAME?</v>
      </c>
      <c r="AT150" s="36" t="e">
        <f ca="1">_xll.BDP($AD150,AT$10,"BEST_FPERIOD_OVERRIDE=1TY","EQY_FUND_CRNCY=USD","FA_ADJUSTED=Y")</f>
        <v>#NAME?</v>
      </c>
      <c r="AV150" s="1" t="s">
        <v>273</v>
      </c>
      <c r="AW150" s="1" t="s">
        <v>274</v>
      </c>
      <c r="AX150" s="36" t="s">
        <v>505</v>
      </c>
      <c r="AY150" s="36">
        <v>1399.9066</v>
      </c>
      <c r="AZ150" s="36">
        <v>2032.1335999999999</v>
      </c>
      <c r="BA150" s="36">
        <v>774.83100000000002</v>
      </c>
      <c r="BB150" s="36">
        <v>685.5</v>
      </c>
      <c r="BC150" s="44">
        <v>-0.11529094731625344</v>
      </c>
      <c r="BD150" s="36">
        <v>572.46900695800787</v>
      </c>
      <c r="BE150" s="36">
        <v>73.2</v>
      </c>
      <c r="BF150" s="36">
        <v>194.38200000000001</v>
      </c>
      <c r="BG150" s="36" t="s">
        <v>480</v>
      </c>
      <c r="BH150" s="36" t="s">
        <v>480</v>
      </c>
      <c r="BI150" s="36">
        <v>202.02800000000002</v>
      </c>
      <c r="BJ150" s="36">
        <v>206.42500000000001</v>
      </c>
      <c r="BK150" s="36">
        <v>-55.119129999999998</v>
      </c>
      <c r="BL150" s="36">
        <v>129.5</v>
      </c>
    </row>
    <row r="151" spans="30:64" x14ac:dyDescent="0.2">
      <c r="AD151" s="1" t="s">
        <v>275</v>
      </c>
      <c r="AE151" s="1" t="s">
        <v>276</v>
      </c>
      <c r="AF151" s="36" t="e">
        <f ca="1">_xll.BDP($AD151,AF$10)</f>
        <v>#NAME?</v>
      </c>
      <c r="AG151" s="36" t="e">
        <f ca="1">_xll.BDH($AD151,AG$10,$C$5,$C$5,"EQY_FUND_CRNCY=USD")</f>
        <v>#NAME?</v>
      </c>
      <c r="AH151" s="36" t="e">
        <f ca="1">_xll.BDH($AD151,AH$10,$C$5,$C$5,"EQY_FUND_CRNCY=USD")</f>
        <v>#NAME?</v>
      </c>
      <c r="AI151" s="36" t="e">
        <f ca="1">_xll.BDP($AD151,AI$10,"EQY_FUND_CRNCY=USD","FA_ADJUSTED=Y")</f>
        <v>#NAME?</v>
      </c>
      <c r="AJ151" s="36" t="e">
        <f ca="1">_xll.BDP($AD151,AJ$10,"BEST_FPERIOD_OVERRIDE=1TY","EQY_FUND_CRNCY=USD","FA_ADJUSTED=Y")</f>
        <v>#NAME?</v>
      </c>
      <c r="AK151" s="44" t="e">
        <f t="shared" ca="1" si="29"/>
        <v>#NAME?</v>
      </c>
      <c r="AL151" s="36" t="e">
        <f ca="1">_xll.BDP($AD151,AL$10,"EQY_FUND_CRNCY=USD","FA_ADJUSTED=Y")</f>
        <v>#NAME?</v>
      </c>
      <c r="AM151" s="36" t="e">
        <f ca="1">_xll.BDP($AD151,AM$10,"BEST_FPERIOD_OVERRIDE=1TY","EQY_FUND_CRNCY=USD","FA_ADJUSTED=Y")</f>
        <v>#NAME?</v>
      </c>
      <c r="AN151" s="36" t="e">
        <f ca="1">_xll.BDP($AD151,AN$10,"BEST_FPERIOD_OVERRIDE=1TY","EQY_FUND_CRNCY=USD","FA_ADJUSTED=Y")</f>
        <v>#NAME?</v>
      </c>
      <c r="AO151" s="36" t="e">
        <f ca="1">_xll.BDP($AD151,AO$10,"BEST_FPERIOD_OVERRIDE=1TY","EQY_FUND_CRNCY=USD","FA_ADJUSTED=Y")</f>
        <v>#NAME?</v>
      </c>
      <c r="AP151" s="36" t="e">
        <f ca="1">_xll.BDP($AD151,AP$10,"BEST_FPERIOD_OVERRIDE=1TY","EQY_FUND_CRNCY=USD","FA_ADJUSTED=Y")</f>
        <v>#NAME?</v>
      </c>
      <c r="AQ151" s="36" t="e">
        <f ca="1">_xll.BDP($AD151,AQ$10,"EQY_FUND_CRNCY=USD","FA_ADJUSTED=Y")</f>
        <v>#NAME?</v>
      </c>
      <c r="AR151" s="36" t="e">
        <f ca="1">_xll.BDP($AD151,AR$10,"BEST_FPERIOD_OVERRIDE=1TY","EQY_FUND_CRNCY=USD","FA_ADJUSTED=Y")</f>
        <v>#NAME?</v>
      </c>
      <c r="AS151" s="36" t="e">
        <f ca="1">_xll.BDP($AD151,AS$10,"EQY_FUND_CRNCY=USD","FA_ADJUSTED=Y")</f>
        <v>#NAME?</v>
      </c>
      <c r="AT151" s="36" t="e">
        <f ca="1">_xll.BDP($AD151,AT$10,"BEST_FPERIOD_OVERRIDE=1TY","EQY_FUND_CRNCY=USD","FA_ADJUSTED=Y")</f>
        <v>#NAME?</v>
      </c>
      <c r="AV151" s="1" t="s">
        <v>275</v>
      </c>
      <c r="AW151" s="1" t="s">
        <v>276</v>
      </c>
      <c r="AX151" s="36" t="s">
        <v>495</v>
      </c>
      <c r="AY151" s="36">
        <v>1420.0074</v>
      </c>
      <c r="AZ151" s="36">
        <v>719.44939999999997</v>
      </c>
      <c r="BA151" s="36">
        <v>506.92600000000004</v>
      </c>
      <c r="BB151" s="36">
        <v>514</v>
      </c>
      <c r="BC151" s="44">
        <v>1.3954699502491508E-2</v>
      </c>
      <c r="BD151" s="36">
        <v>407.5589940185547</v>
      </c>
      <c r="BE151" s="36" t="s">
        <v>480</v>
      </c>
      <c r="BF151" s="36">
        <v>78.765999999999991</v>
      </c>
      <c r="BG151" s="36">
        <v>174.61199999999999</v>
      </c>
      <c r="BH151" s="36">
        <v>80.161000000000001</v>
      </c>
      <c r="BI151" s="36">
        <v>47.558000000000007</v>
      </c>
      <c r="BJ151" s="36" t="s">
        <v>480</v>
      </c>
      <c r="BK151" s="36">
        <v>42.201000000000001</v>
      </c>
      <c r="BL151" s="36" t="s">
        <v>480</v>
      </c>
    </row>
    <row r="152" spans="30:64" x14ac:dyDescent="0.2">
      <c r="AD152" s="1" t="s">
        <v>277</v>
      </c>
      <c r="AE152" s="1" t="s">
        <v>278</v>
      </c>
      <c r="AF152" s="36" t="e">
        <f ca="1">_xll.BDP($AD152,AF$10)</f>
        <v>#NAME?</v>
      </c>
      <c r="AG152" s="36" t="e">
        <f ca="1">_xll.BDH($AD152,AG$10,$C$5,$C$5,"EQY_FUND_CRNCY=USD")</f>
        <v>#NAME?</v>
      </c>
      <c r="AH152" s="36" t="e">
        <f ca="1">_xll.BDH($AD152,AH$10,$C$5,$C$5,"EQY_FUND_CRNCY=USD")</f>
        <v>#NAME?</v>
      </c>
      <c r="AI152" s="36" t="e">
        <f ca="1">_xll.BDP($AD152,AI$10,"EQY_FUND_CRNCY=USD","FA_ADJUSTED=Y")</f>
        <v>#NAME?</v>
      </c>
      <c r="AJ152" s="36" t="e">
        <f ca="1">_xll.BDP($AD152,AJ$10,"BEST_FPERIOD_OVERRIDE=1TY","EQY_FUND_CRNCY=USD","FA_ADJUSTED=Y")</f>
        <v>#NAME?</v>
      </c>
      <c r="AK152" s="44" t="e">
        <f t="shared" ca="1" si="29"/>
        <v>#NAME?</v>
      </c>
      <c r="AL152" s="36" t="e">
        <f ca="1">_xll.BDP($AD152,AL$10,"EQY_FUND_CRNCY=USD","FA_ADJUSTED=Y")</f>
        <v>#NAME?</v>
      </c>
      <c r="AM152" s="36" t="e">
        <f ca="1">_xll.BDP($AD152,AM$10,"BEST_FPERIOD_OVERRIDE=1TY","EQY_FUND_CRNCY=USD","FA_ADJUSTED=Y")</f>
        <v>#NAME?</v>
      </c>
      <c r="AN152" s="36" t="e">
        <f ca="1">_xll.BDP($AD152,AN$10,"BEST_FPERIOD_OVERRIDE=1TY","EQY_FUND_CRNCY=USD","FA_ADJUSTED=Y")</f>
        <v>#NAME?</v>
      </c>
      <c r="AO152" s="36" t="e">
        <f ca="1">_xll.BDP($AD152,AO$10,"BEST_FPERIOD_OVERRIDE=1TY","EQY_FUND_CRNCY=USD","FA_ADJUSTED=Y")</f>
        <v>#NAME?</v>
      </c>
      <c r="AP152" s="36" t="e">
        <f ca="1">_xll.BDP($AD152,AP$10,"BEST_FPERIOD_OVERRIDE=1TY","EQY_FUND_CRNCY=USD","FA_ADJUSTED=Y")</f>
        <v>#NAME?</v>
      </c>
      <c r="AQ152" s="36" t="e">
        <f ca="1">_xll.BDP($AD152,AQ$10,"EQY_FUND_CRNCY=USD","FA_ADJUSTED=Y")</f>
        <v>#NAME?</v>
      </c>
      <c r="AR152" s="36" t="e">
        <f ca="1">_xll.BDP($AD152,AR$10,"BEST_FPERIOD_OVERRIDE=1TY","EQY_FUND_CRNCY=USD","FA_ADJUSTED=Y")</f>
        <v>#NAME?</v>
      </c>
      <c r="AS152" s="36" t="e">
        <f ca="1">_xll.BDP($AD152,AS$10,"EQY_FUND_CRNCY=USD","FA_ADJUSTED=Y")</f>
        <v>#NAME?</v>
      </c>
      <c r="AT152" s="36" t="e">
        <f ca="1">_xll.BDP($AD152,AT$10,"BEST_FPERIOD_OVERRIDE=1TY","EQY_FUND_CRNCY=USD","FA_ADJUSTED=Y")</f>
        <v>#NAME?</v>
      </c>
      <c r="AV152" s="1" t="s">
        <v>277</v>
      </c>
      <c r="AW152" s="1" t="s">
        <v>278</v>
      </c>
      <c r="AX152" s="36" t="s">
        <v>505</v>
      </c>
      <c r="AY152" s="36">
        <v>1423.8616</v>
      </c>
      <c r="AZ152" s="36">
        <v>1403.5246</v>
      </c>
      <c r="BA152" s="36">
        <v>401.911</v>
      </c>
      <c r="BB152" s="36">
        <v>396.25</v>
      </c>
      <c r="BC152" s="44">
        <v>-1.4085207919166232E-2</v>
      </c>
      <c r="BD152" s="36">
        <v>333.70999957275393</v>
      </c>
      <c r="BE152" s="36">
        <v>89</v>
      </c>
      <c r="BF152" s="36">
        <v>76.988</v>
      </c>
      <c r="BG152" s="36">
        <v>96.344999999999999</v>
      </c>
      <c r="BH152" s="36">
        <v>45.738999999999997</v>
      </c>
      <c r="BI152" s="36">
        <v>142.37699999999998</v>
      </c>
      <c r="BJ152" s="36">
        <v>184</v>
      </c>
      <c r="BK152" s="36">
        <v>65.876939999999991</v>
      </c>
      <c r="BL152" s="36">
        <v>108.733</v>
      </c>
    </row>
    <row r="153" spans="30:64" x14ac:dyDescent="0.2">
      <c r="AD153" s="1" t="s">
        <v>279</v>
      </c>
      <c r="AE153" s="1" t="s">
        <v>280</v>
      </c>
      <c r="AF153" s="36" t="e">
        <f ca="1">_xll.BDP($AD153,AF$10)</f>
        <v>#NAME?</v>
      </c>
      <c r="AG153" s="36" t="e">
        <f ca="1">_xll.BDH($AD153,AG$10,$C$5,$C$5,"EQY_FUND_CRNCY=USD")</f>
        <v>#NAME?</v>
      </c>
      <c r="AH153" s="36" t="e">
        <f ca="1">_xll.BDH($AD153,AH$10,$C$5,$C$5,"EQY_FUND_CRNCY=USD")</f>
        <v>#NAME?</v>
      </c>
      <c r="AI153" s="36" t="e">
        <f ca="1">_xll.BDP($AD153,AI$10,"EQY_FUND_CRNCY=USD","FA_ADJUSTED=Y")</f>
        <v>#NAME?</v>
      </c>
      <c r="AJ153" s="36" t="e">
        <f ca="1">_xll.BDP($AD153,AJ$10,"BEST_FPERIOD_OVERRIDE=1TY","EQY_FUND_CRNCY=USD","FA_ADJUSTED=Y")</f>
        <v>#NAME?</v>
      </c>
      <c r="AK153" s="44" t="e">
        <f t="shared" ca="1" si="29"/>
        <v>#NAME?</v>
      </c>
      <c r="AL153" s="36" t="e">
        <f ca="1">_xll.BDP($AD153,AL$10,"EQY_FUND_CRNCY=USD","FA_ADJUSTED=Y")</f>
        <v>#NAME?</v>
      </c>
      <c r="AM153" s="36" t="e">
        <f ca="1">_xll.BDP($AD153,AM$10,"BEST_FPERIOD_OVERRIDE=1TY","EQY_FUND_CRNCY=USD","FA_ADJUSTED=Y")</f>
        <v>#NAME?</v>
      </c>
      <c r="AN153" s="36" t="e">
        <f ca="1">_xll.BDP($AD153,AN$10,"BEST_FPERIOD_OVERRIDE=1TY","EQY_FUND_CRNCY=USD","FA_ADJUSTED=Y")</f>
        <v>#NAME?</v>
      </c>
      <c r="AO153" s="36" t="e">
        <f ca="1">_xll.BDP($AD153,AO$10,"BEST_FPERIOD_OVERRIDE=1TY","EQY_FUND_CRNCY=USD","FA_ADJUSTED=Y")</f>
        <v>#NAME?</v>
      </c>
      <c r="AP153" s="36" t="e">
        <f ca="1">_xll.BDP($AD153,AP$10,"BEST_FPERIOD_OVERRIDE=1TY","EQY_FUND_CRNCY=USD","FA_ADJUSTED=Y")</f>
        <v>#NAME?</v>
      </c>
      <c r="AQ153" s="36" t="e">
        <f ca="1">_xll.BDP($AD153,AQ$10,"EQY_FUND_CRNCY=USD","FA_ADJUSTED=Y")</f>
        <v>#NAME?</v>
      </c>
      <c r="AR153" s="36" t="e">
        <f ca="1">_xll.BDP($AD153,AR$10,"BEST_FPERIOD_OVERRIDE=1TY","EQY_FUND_CRNCY=USD","FA_ADJUSTED=Y")</f>
        <v>#NAME?</v>
      </c>
      <c r="AS153" s="36" t="e">
        <f ca="1">_xll.BDP($AD153,AS$10,"EQY_FUND_CRNCY=USD","FA_ADJUSTED=Y")</f>
        <v>#NAME?</v>
      </c>
      <c r="AT153" s="36" t="e">
        <f ca="1">_xll.BDP($AD153,AT$10,"BEST_FPERIOD_OVERRIDE=1TY","EQY_FUND_CRNCY=USD","FA_ADJUSTED=Y")</f>
        <v>#NAME?</v>
      </c>
      <c r="AV153" s="1" t="s">
        <v>279</v>
      </c>
      <c r="AW153" s="1" t="s">
        <v>280</v>
      </c>
      <c r="AX153" s="36" t="s">
        <v>495</v>
      </c>
      <c r="AY153" s="36">
        <v>1422.0752</v>
      </c>
      <c r="AZ153" s="36">
        <v>1360.3652</v>
      </c>
      <c r="BA153" s="36">
        <v>225.61</v>
      </c>
      <c r="BB153" s="36">
        <v>255.92000000000002</v>
      </c>
      <c r="BC153" s="44">
        <v>0.13434688178715493</v>
      </c>
      <c r="BD153" s="36">
        <v>161.06200064086914</v>
      </c>
      <c r="BE153" s="36">
        <v>72.180000000000007</v>
      </c>
      <c r="BF153" s="36">
        <v>68.171999999999997</v>
      </c>
      <c r="BG153" s="36">
        <v>84.161000000000001</v>
      </c>
      <c r="BH153" s="36">
        <v>39.594000000000001</v>
      </c>
      <c r="BI153" s="36">
        <v>-48.74664556962</v>
      </c>
      <c r="BJ153" s="36">
        <v>-16.401</v>
      </c>
      <c r="BK153" s="36">
        <v>-53.88</v>
      </c>
      <c r="BL153" s="36">
        <v>-22.204000000000001</v>
      </c>
    </row>
    <row r="154" spans="30:64" x14ac:dyDescent="0.2">
      <c r="AD154" s="1" t="s">
        <v>281</v>
      </c>
      <c r="AE154" s="1" t="s">
        <v>282</v>
      </c>
      <c r="AF154" s="36" t="e">
        <f ca="1">_xll.BDP($AD154,AF$10)</f>
        <v>#NAME?</v>
      </c>
      <c r="AG154" s="36" t="e">
        <f ca="1">_xll.BDH($AD154,AG$10,$C$5,$C$5,"EQY_FUND_CRNCY=USD")</f>
        <v>#NAME?</v>
      </c>
      <c r="AH154" s="36" t="e">
        <f ca="1">_xll.BDH($AD154,AH$10,$C$5,$C$5,"EQY_FUND_CRNCY=USD")</f>
        <v>#NAME?</v>
      </c>
      <c r="AI154" s="36" t="e">
        <f ca="1">_xll.BDP($AD154,AI$10,"EQY_FUND_CRNCY=USD","FA_ADJUSTED=Y")</f>
        <v>#NAME?</v>
      </c>
      <c r="AJ154" s="36" t="e">
        <f ca="1">_xll.BDP($AD154,AJ$10,"BEST_FPERIOD_OVERRIDE=1TY","EQY_FUND_CRNCY=USD","FA_ADJUSTED=Y")</f>
        <v>#NAME?</v>
      </c>
      <c r="AK154" s="44" t="e">
        <f t="shared" ca="1" si="29"/>
        <v>#NAME?</v>
      </c>
      <c r="AL154" s="36" t="e">
        <f ca="1">_xll.BDP($AD154,AL$10,"EQY_FUND_CRNCY=USD","FA_ADJUSTED=Y")</f>
        <v>#NAME?</v>
      </c>
      <c r="AM154" s="36" t="e">
        <f ca="1">_xll.BDP($AD154,AM$10,"BEST_FPERIOD_OVERRIDE=1TY","EQY_FUND_CRNCY=USD","FA_ADJUSTED=Y")</f>
        <v>#NAME?</v>
      </c>
      <c r="AN154" s="36" t="e">
        <f ca="1">_xll.BDP($AD154,AN$10,"BEST_FPERIOD_OVERRIDE=1TY","EQY_FUND_CRNCY=USD","FA_ADJUSTED=Y")</f>
        <v>#NAME?</v>
      </c>
      <c r="AO154" s="36" t="e">
        <f ca="1">_xll.BDP($AD154,AO$10,"BEST_FPERIOD_OVERRIDE=1TY","EQY_FUND_CRNCY=USD","FA_ADJUSTED=Y")</f>
        <v>#NAME?</v>
      </c>
      <c r="AP154" s="36" t="e">
        <f ca="1">_xll.BDP($AD154,AP$10,"BEST_FPERIOD_OVERRIDE=1TY","EQY_FUND_CRNCY=USD","FA_ADJUSTED=Y")</f>
        <v>#NAME?</v>
      </c>
      <c r="AQ154" s="36" t="e">
        <f ca="1">_xll.BDP($AD154,AQ$10,"EQY_FUND_CRNCY=USD","FA_ADJUSTED=Y")</f>
        <v>#NAME?</v>
      </c>
      <c r="AR154" s="36" t="e">
        <f ca="1">_xll.BDP($AD154,AR$10,"BEST_FPERIOD_OVERRIDE=1TY","EQY_FUND_CRNCY=USD","FA_ADJUSTED=Y")</f>
        <v>#NAME?</v>
      </c>
      <c r="AS154" s="36" t="e">
        <f ca="1">_xll.BDP($AD154,AS$10,"EQY_FUND_CRNCY=USD","FA_ADJUSTED=Y")</f>
        <v>#NAME?</v>
      </c>
      <c r="AT154" s="36" t="e">
        <f ca="1">_xll.BDP($AD154,AT$10,"BEST_FPERIOD_OVERRIDE=1TY","EQY_FUND_CRNCY=USD","FA_ADJUSTED=Y")</f>
        <v>#NAME?</v>
      </c>
      <c r="AV154" s="1" t="s">
        <v>281</v>
      </c>
      <c r="AW154" s="1" t="s">
        <v>282</v>
      </c>
      <c r="AX154" s="36" t="s">
        <v>495</v>
      </c>
      <c r="AY154" s="36">
        <v>1370.3783000000001</v>
      </c>
      <c r="AZ154" s="36">
        <v>1736.9733000000001</v>
      </c>
      <c r="BA154" s="36">
        <v>233.50800000000001</v>
      </c>
      <c r="BB154" s="36">
        <v>262.5</v>
      </c>
      <c r="BC154" s="44">
        <v>0.12415848707538912</v>
      </c>
      <c r="BD154" s="36">
        <v>165.91700256347656</v>
      </c>
      <c r="BE154" s="36">
        <v>72.7</v>
      </c>
      <c r="BF154" s="36">
        <v>53.66</v>
      </c>
      <c r="BG154" s="36">
        <v>73.510999999999996</v>
      </c>
      <c r="BH154" s="36">
        <v>47.94</v>
      </c>
      <c r="BI154" s="36" t="s">
        <v>480</v>
      </c>
      <c r="BJ154" s="36">
        <v>12.965</v>
      </c>
      <c r="BK154" s="36">
        <v>-31.000930000000004</v>
      </c>
      <c r="BL154" s="36">
        <v>-116.59100000000001</v>
      </c>
    </row>
    <row r="155" spans="30:64" x14ac:dyDescent="0.2">
      <c r="AD155" s="1" t="s">
        <v>283</v>
      </c>
      <c r="AE155" s="1" t="s">
        <v>284</v>
      </c>
      <c r="AF155" s="36" t="e">
        <f ca="1">_xll.BDP($AD155,AF$10)</f>
        <v>#NAME?</v>
      </c>
      <c r="AG155" s="36" t="e">
        <f ca="1">_xll.BDH($AD155,AG$10,$C$5,$C$5,"EQY_FUND_CRNCY=USD")</f>
        <v>#NAME?</v>
      </c>
      <c r="AH155" s="36" t="e">
        <f ca="1">_xll.BDH($AD155,AH$10,$C$5,$C$5,"EQY_FUND_CRNCY=USD")</f>
        <v>#NAME?</v>
      </c>
      <c r="AI155" s="36" t="e">
        <f ca="1">_xll.BDP($AD155,AI$10,"EQY_FUND_CRNCY=USD","FA_ADJUSTED=Y")</f>
        <v>#NAME?</v>
      </c>
      <c r="AJ155" s="36" t="e">
        <f ca="1">_xll.BDP($AD155,AJ$10,"BEST_FPERIOD_OVERRIDE=1TY","EQY_FUND_CRNCY=USD","FA_ADJUSTED=Y")</f>
        <v>#NAME?</v>
      </c>
      <c r="AK155" s="44" t="e">
        <f t="shared" ca="1" si="29"/>
        <v>#NAME?</v>
      </c>
      <c r="AL155" s="36" t="e">
        <f ca="1">_xll.BDP($AD155,AL$10,"EQY_FUND_CRNCY=USD","FA_ADJUSTED=Y")</f>
        <v>#NAME?</v>
      </c>
      <c r="AM155" s="36" t="e">
        <f ca="1">_xll.BDP($AD155,AM$10,"BEST_FPERIOD_OVERRIDE=1TY","EQY_FUND_CRNCY=USD","FA_ADJUSTED=Y")</f>
        <v>#NAME?</v>
      </c>
      <c r="AN155" s="36" t="e">
        <f ca="1">_xll.BDP($AD155,AN$10,"BEST_FPERIOD_OVERRIDE=1TY","EQY_FUND_CRNCY=USD","FA_ADJUSTED=Y")</f>
        <v>#NAME?</v>
      </c>
      <c r="AO155" s="36" t="e">
        <f ca="1">_xll.BDP($AD155,AO$10,"BEST_FPERIOD_OVERRIDE=1TY","EQY_FUND_CRNCY=USD","FA_ADJUSTED=Y")</f>
        <v>#NAME?</v>
      </c>
      <c r="AP155" s="36" t="e">
        <f ca="1">_xll.BDP($AD155,AP$10,"BEST_FPERIOD_OVERRIDE=1TY","EQY_FUND_CRNCY=USD","FA_ADJUSTED=Y")</f>
        <v>#NAME?</v>
      </c>
      <c r="AQ155" s="36" t="e">
        <f ca="1">_xll.BDP($AD155,AQ$10,"EQY_FUND_CRNCY=USD","FA_ADJUSTED=Y")</f>
        <v>#NAME?</v>
      </c>
      <c r="AR155" s="36" t="e">
        <f ca="1">_xll.BDP($AD155,AR$10,"BEST_FPERIOD_OVERRIDE=1TY","EQY_FUND_CRNCY=USD","FA_ADJUSTED=Y")</f>
        <v>#NAME?</v>
      </c>
      <c r="AS155" s="36" t="e">
        <f ca="1">_xll.BDP($AD155,AS$10,"EQY_FUND_CRNCY=USD","FA_ADJUSTED=Y")</f>
        <v>#NAME?</v>
      </c>
      <c r="AT155" s="36" t="e">
        <f ca="1">_xll.BDP($AD155,AT$10,"BEST_FPERIOD_OVERRIDE=1TY","EQY_FUND_CRNCY=USD","FA_ADJUSTED=Y")</f>
        <v>#NAME?</v>
      </c>
      <c r="AV155" s="1" t="s">
        <v>283</v>
      </c>
      <c r="AW155" s="1" t="s">
        <v>284</v>
      </c>
      <c r="AX155" s="36" t="s">
        <v>506</v>
      </c>
      <c r="AY155" s="36">
        <v>1272.5319</v>
      </c>
      <c r="AZ155" s="36">
        <v>2037.6169</v>
      </c>
      <c r="BA155" s="36">
        <v>1442.086</v>
      </c>
      <c r="BB155" s="36">
        <v>1299.5</v>
      </c>
      <c r="BC155" s="44">
        <v>-9.8874824386340321E-2</v>
      </c>
      <c r="BD155" s="36">
        <v>493.43699993896485</v>
      </c>
      <c r="BE155" s="36">
        <v>31.833000000000002</v>
      </c>
      <c r="BF155" s="36">
        <v>0</v>
      </c>
      <c r="BG155" s="36" t="s">
        <v>480</v>
      </c>
      <c r="BH155" s="36" t="s">
        <v>480</v>
      </c>
      <c r="BI155" s="36">
        <v>321.95100000000002</v>
      </c>
      <c r="BJ155" s="36">
        <v>274.86700000000002</v>
      </c>
      <c r="BK155" s="36">
        <v>65.558989999999994</v>
      </c>
      <c r="BL155" s="36">
        <v>81.405000000000001</v>
      </c>
    </row>
    <row r="156" spans="30:64" x14ac:dyDescent="0.2">
      <c r="AD156" s="1" t="s">
        <v>285</v>
      </c>
      <c r="AE156" s="1" t="s">
        <v>286</v>
      </c>
      <c r="AF156" s="36" t="e">
        <f ca="1">_xll.BDP($AD156,AF$10)</f>
        <v>#NAME?</v>
      </c>
      <c r="AG156" s="36" t="e">
        <f ca="1">_xll.BDH($AD156,AG$10,$C$5,$C$5,"EQY_FUND_CRNCY=USD")</f>
        <v>#NAME?</v>
      </c>
      <c r="AH156" s="36" t="e">
        <f ca="1">_xll.BDH($AD156,AH$10,$C$5,$C$5,"EQY_FUND_CRNCY=USD")</f>
        <v>#NAME?</v>
      </c>
      <c r="AI156" s="36" t="e">
        <f ca="1">_xll.BDP($AD156,AI$10,"EQY_FUND_CRNCY=USD","FA_ADJUSTED=Y")</f>
        <v>#NAME?</v>
      </c>
      <c r="AJ156" s="36" t="e">
        <f ca="1">_xll.BDP($AD156,AJ$10,"BEST_FPERIOD_OVERRIDE=1TY","EQY_FUND_CRNCY=USD","FA_ADJUSTED=Y")</f>
        <v>#NAME?</v>
      </c>
      <c r="AK156" s="44" t="e">
        <f t="shared" ca="1" si="29"/>
        <v>#NAME?</v>
      </c>
      <c r="AL156" s="36" t="e">
        <f ca="1">_xll.BDP($AD156,AL$10,"EQY_FUND_CRNCY=USD","FA_ADJUSTED=Y")</f>
        <v>#NAME?</v>
      </c>
      <c r="AM156" s="36" t="e">
        <f ca="1">_xll.BDP($AD156,AM$10,"BEST_FPERIOD_OVERRIDE=1TY","EQY_FUND_CRNCY=USD","FA_ADJUSTED=Y")</f>
        <v>#NAME?</v>
      </c>
      <c r="AN156" s="36" t="e">
        <f ca="1">_xll.BDP($AD156,AN$10,"BEST_FPERIOD_OVERRIDE=1TY","EQY_FUND_CRNCY=USD","FA_ADJUSTED=Y")</f>
        <v>#NAME?</v>
      </c>
      <c r="AO156" s="36" t="e">
        <f ca="1">_xll.BDP($AD156,AO$10,"BEST_FPERIOD_OVERRIDE=1TY","EQY_FUND_CRNCY=USD","FA_ADJUSTED=Y")</f>
        <v>#NAME?</v>
      </c>
      <c r="AP156" s="36" t="e">
        <f ca="1">_xll.BDP($AD156,AP$10,"BEST_FPERIOD_OVERRIDE=1TY","EQY_FUND_CRNCY=USD","FA_ADJUSTED=Y")</f>
        <v>#NAME?</v>
      </c>
      <c r="AQ156" s="36" t="e">
        <f ca="1">_xll.BDP($AD156,AQ$10,"EQY_FUND_CRNCY=USD","FA_ADJUSTED=Y")</f>
        <v>#NAME?</v>
      </c>
      <c r="AR156" s="36" t="e">
        <f ca="1">_xll.BDP($AD156,AR$10,"BEST_FPERIOD_OVERRIDE=1TY","EQY_FUND_CRNCY=USD","FA_ADJUSTED=Y")</f>
        <v>#NAME?</v>
      </c>
      <c r="AS156" s="36" t="e">
        <f ca="1">_xll.BDP($AD156,AS$10,"EQY_FUND_CRNCY=USD","FA_ADJUSTED=Y")</f>
        <v>#NAME?</v>
      </c>
      <c r="AT156" s="36" t="e">
        <f ca="1">_xll.BDP($AD156,AT$10,"BEST_FPERIOD_OVERRIDE=1TY","EQY_FUND_CRNCY=USD","FA_ADJUSTED=Y")</f>
        <v>#NAME?</v>
      </c>
      <c r="AV156" s="1" t="s">
        <v>285</v>
      </c>
      <c r="AW156" s="1" t="s">
        <v>286</v>
      </c>
      <c r="AX156" s="36" t="s">
        <v>506</v>
      </c>
      <c r="AY156" s="36">
        <v>1308.6161999999999</v>
      </c>
      <c r="AZ156" s="36">
        <v>1236.1941999999999</v>
      </c>
      <c r="BA156" s="36">
        <v>1637.712</v>
      </c>
      <c r="BB156" s="36">
        <v>1656.5</v>
      </c>
      <c r="BC156" s="44">
        <v>1.147210254305997E-2</v>
      </c>
      <c r="BD156" s="36">
        <v>553.73400109863292</v>
      </c>
      <c r="BE156" s="36">
        <v>34.1</v>
      </c>
      <c r="BF156" s="36">
        <v>0</v>
      </c>
      <c r="BG156" s="36" t="s">
        <v>480</v>
      </c>
      <c r="BH156" s="36">
        <v>376.863</v>
      </c>
      <c r="BI156" s="36">
        <v>168.06400000000002</v>
      </c>
      <c r="BJ156" s="36">
        <v>180.32500000000002</v>
      </c>
      <c r="BK156" s="36">
        <v>71.187725335842003</v>
      </c>
      <c r="BL156" s="36">
        <v>91.15</v>
      </c>
    </row>
    <row r="157" spans="30:64" x14ac:dyDescent="0.2">
      <c r="AD157" s="1" t="s">
        <v>287</v>
      </c>
      <c r="AE157" s="1" t="s">
        <v>288</v>
      </c>
      <c r="AF157" s="36" t="e">
        <f ca="1">_xll.BDP($AD157,AF$10)</f>
        <v>#NAME?</v>
      </c>
      <c r="AG157" s="36" t="e">
        <f ca="1">_xll.BDH($AD157,AG$10,$C$5,$C$5,"EQY_FUND_CRNCY=USD")</f>
        <v>#NAME?</v>
      </c>
      <c r="AH157" s="36" t="e">
        <f ca="1">_xll.BDH($AD157,AH$10,$C$5,$C$5,"EQY_FUND_CRNCY=USD")</f>
        <v>#NAME?</v>
      </c>
      <c r="AI157" s="36" t="e">
        <f ca="1">_xll.BDP($AD157,AI$10,"EQY_FUND_CRNCY=USD","FA_ADJUSTED=Y")</f>
        <v>#NAME?</v>
      </c>
      <c r="AJ157" s="36" t="e">
        <f ca="1">_xll.BDP($AD157,AJ$10,"BEST_FPERIOD_OVERRIDE=1TY","EQY_FUND_CRNCY=USD","FA_ADJUSTED=Y")</f>
        <v>#NAME?</v>
      </c>
      <c r="AK157" s="44" t="e">
        <f t="shared" ca="1" si="29"/>
        <v>#NAME?</v>
      </c>
      <c r="AL157" s="36" t="e">
        <f ca="1">_xll.BDP($AD157,AL$10,"EQY_FUND_CRNCY=USD","FA_ADJUSTED=Y")</f>
        <v>#NAME?</v>
      </c>
      <c r="AM157" s="36" t="e">
        <f ca="1">_xll.BDP($AD157,AM$10,"BEST_FPERIOD_OVERRIDE=1TY","EQY_FUND_CRNCY=USD","FA_ADJUSTED=Y")</f>
        <v>#NAME?</v>
      </c>
      <c r="AN157" s="36" t="e">
        <f ca="1">_xll.BDP($AD157,AN$10,"BEST_FPERIOD_OVERRIDE=1TY","EQY_FUND_CRNCY=USD","FA_ADJUSTED=Y")</f>
        <v>#NAME?</v>
      </c>
      <c r="AO157" s="36" t="e">
        <f ca="1">_xll.BDP($AD157,AO$10,"BEST_FPERIOD_OVERRIDE=1TY","EQY_FUND_CRNCY=USD","FA_ADJUSTED=Y")</f>
        <v>#NAME?</v>
      </c>
      <c r="AP157" s="36" t="e">
        <f ca="1">_xll.BDP($AD157,AP$10,"BEST_FPERIOD_OVERRIDE=1TY","EQY_FUND_CRNCY=USD","FA_ADJUSTED=Y")</f>
        <v>#NAME?</v>
      </c>
      <c r="AQ157" s="36" t="e">
        <f ca="1">_xll.BDP($AD157,AQ$10,"EQY_FUND_CRNCY=USD","FA_ADJUSTED=Y")</f>
        <v>#NAME?</v>
      </c>
      <c r="AR157" s="36" t="e">
        <f ca="1">_xll.BDP($AD157,AR$10,"BEST_FPERIOD_OVERRIDE=1TY","EQY_FUND_CRNCY=USD","FA_ADJUSTED=Y")</f>
        <v>#NAME?</v>
      </c>
      <c r="AS157" s="36" t="e">
        <f ca="1">_xll.BDP($AD157,AS$10,"EQY_FUND_CRNCY=USD","FA_ADJUSTED=Y")</f>
        <v>#NAME?</v>
      </c>
      <c r="AT157" s="36" t="e">
        <f ca="1">_xll.BDP($AD157,AT$10,"BEST_FPERIOD_OVERRIDE=1TY","EQY_FUND_CRNCY=USD","FA_ADJUSTED=Y")</f>
        <v>#NAME?</v>
      </c>
      <c r="AV157" s="1" t="s">
        <v>287</v>
      </c>
      <c r="AW157" s="1" t="s">
        <v>288</v>
      </c>
      <c r="AX157" s="36" t="s">
        <v>495</v>
      </c>
      <c r="AY157" s="36">
        <v>1284.3643999999999</v>
      </c>
      <c r="AZ157" s="36">
        <v>1214.4014</v>
      </c>
      <c r="BA157" s="36">
        <v>233.78399999999999</v>
      </c>
      <c r="BB157" s="36">
        <v>258.85399999999998</v>
      </c>
      <c r="BC157" s="44">
        <v>0.10723573897272698</v>
      </c>
      <c r="BD157" s="36">
        <v>174.50399725341796</v>
      </c>
      <c r="BE157" s="36">
        <v>75.575000000000003</v>
      </c>
      <c r="BF157" s="36">
        <v>40.033999999999999</v>
      </c>
      <c r="BG157" s="36">
        <v>90.905000000000001</v>
      </c>
      <c r="BH157" s="36">
        <v>43.124000000000002</v>
      </c>
      <c r="BI157" s="36">
        <v>9.7840000000000007</v>
      </c>
      <c r="BJ157" s="36">
        <v>26.565000000000001</v>
      </c>
      <c r="BK157" s="36">
        <v>-8.9980586626340013</v>
      </c>
      <c r="BL157" s="36">
        <v>9.8350000000000009</v>
      </c>
    </row>
    <row r="158" spans="30:64" x14ac:dyDescent="0.2">
      <c r="AD158" s="1" t="s">
        <v>289</v>
      </c>
      <c r="AE158" s="1" t="s">
        <v>290</v>
      </c>
      <c r="AF158" s="36" t="e">
        <f ca="1">_xll.BDP($AD158,AF$10)</f>
        <v>#NAME?</v>
      </c>
      <c r="AG158" s="36" t="e">
        <f ca="1">_xll.BDH($AD158,AG$10,$C$5,$C$5,"EQY_FUND_CRNCY=USD")</f>
        <v>#NAME?</v>
      </c>
      <c r="AH158" s="36" t="e">
        <f ca="1">_xll.BDH($AD158,AH$10,$C$5,$C$5,"EQY_FUND_CRNCY=USD")</f>
        <v>#NAME?</v>
      </c>
      <c r="AI158" s="36" t="e">
        <f ca="1">_xll.BDP($AD158,AI$10,"EQY_FUND_CRNCY=USD","FA_ADJUSTED=Y")</f>
        <v>#NAME?</v>
      </c>
      <c r="AJ158" s="36" t="e">
        <f ca="1">_xll.BDP($AD158,AJ$10,"BEST_FPERIOD_OVERRIDE=1TY","EQY_FUND_CRNCY=USD","FA_ADJUSTED=Y")</f>
        <v>#NAME?</v>
      </c>
      <c r="AK158" s="44" t="e">
        <f t="shared" ca="1" si="29"/>
        <v>#NAME?</v>
      </c>
      <c r="AL158" s="36" t="e">
        <f ca="1">_xll.BDP($AD158,AL$10,"EQY_FUND_CRNCY=USD","FA_ADJUSTED=Y")</f>
        <v>#NAME?</v>
      </c>
      <c r="AM158" s="36" t="e">
        <f ca="1">_xll.BDP($AD158,AM$10,"BEST_FPERIOD_OVERRIDE=1TY","EQY_FUND_CRNCY=USD","FA_ADJUSTED=Y")</f>
        <v>#NAME?</v>
      </c>
      <c r="AN158" s="36" t="e">
        <f ca="1">_xll.BDP($AD158,AN$10,"BEST_FPERIOD_OVERRIDE=1TY","EQY_FUND_CRNCY=USD","FA_ADJUSTED=Y")</f>
        <v>#NAME?</v>
      </c>
      <c r="AO158" s="36" t="e">
        <f ca="1">_xll.BDP($AD158,AO$10,"BEST_FPERIOD_OVERRIDE=1TY","EQY_FUND_CRNCY=USD","FA_ADJUSTED=Y")</f>
        <v>#NAME?</v>
      </c>
      <c r="AP158" s="36" t="e">
        <f ca="1">_xll.BDP($AD158,AP$10,"BEST_FPERIOD_OVERRIDE=1TY","EQY_FUND_CRNCY=USD","FA_ADJUSTED=Y")</f>
        <v>#NAME?</v>
      </c>
      <c r="AQ158" s="36" t="e">
        <f ca="1">_xll.BDP($AD158,AQ$10,"EQY_FUND_CRNCY=USD","FA_ADJUSTED=Y")</f>
        <v>#NAME?</v>
      </c>
      <c r="AR158" s="36" t="e">
        <f ca="1">_xll.BDP($AD158,AR$10,"BEST_FPERIOD_OVERRIDE=1TY","EQY_FUND_CRNCY=USD","FA_ADJUSTED=Y")</f>
        <v>#NAME?</v>
      </c>
      <c r="AS158" s="36" t="e">
        <f ca="1">_xll.BDP($AD158,AS$10,"EQY_FUND_CRNCY=USD","FA_ADJUSTED=Y")</f>
        <v>#NAME?</v>
      </c>
      <c r="AT158" s="36" t="e">
        <f ca="1">_xll.BDP($AD158,AT$10,"BEST_FPERIOD_OVERRIDE=1TY","EQY_FUND_CRNCY=USD","FA_ADJUSTED=Y")</f>
        <v>#NAME?</v>
      </c>
      <c r="AV158" s="1" t="s">
        <v>289</v>
      </c>
      <c r="AW158" s="1" t="s">
        <v>290</v>
      </c>
      <c r="AX158" s="36" t="s">
        <v>505</v>
      </c>
      <c r="AY158" s="36">
        <v>1208.1090999999999</v>
      </c>
      <c r="AZ158" s="36">
        <v>1444.5420999999999</v>
      </c>
      <c r="BA158" s="36">
        <v>162.01400000000001</v>
      </c>
      <c r="BB158" s="36">
        <v>226.63</v>
      </c>
      <c r="BC158" s="44">
        <v>0.39882973076400785</v>
      </c>
      <c r="BD158" s="36">
        <v>126.376</v>
      </c>
      <c r="BE158" s="36">
        <v>78.225000000000009</v>
      </c>
      <c r="BF158" s="36">
        <v>52.046999999999997</v>
      </c>
      <c r="BG158" s="36">
        <v>107.19</v>
      </c>
      <c r="BH158" s="36">
        <v>22.337</v>
      </c>
      <c r="BI158" s="36">
        <v>-48.109000000000002</v>
      </c>
      <c r="BJ158" s="36">
        <v>-55.024999999999999</v>
      </c>
      <c r="BK158" s="36">
        <v>-55.826999999999998</v>
      </c>
      <c r="BL158" s="36">
        <v>-63.1</v>
      </c>
    </row>
    <row r="159" spans="30:64" x14ac:dyDescent="0.2">
      <c r="AD159" s="1" t="s">
        <v>291</v>
      </c>
      <c r="AE159" s="1" t="s">
        <v>292</v>
      </c>
      <c r="AF159" s="36" t="e">
        <f ca="1">_xll.BDP($AD159,AF$10)</f>
        <v>#NAME?</v>
      </c>
      <c r="AG159" s="36" t="e">
        <f ca="1">_xll.BDH($AD159,AG$10,$C$5,$C$5,"EQY_FUND_CRNCY=USD")</f>
        <v>#NAME?</v>
      </c>
      <c r="AH159" s="36" t="e">
        <f ca="1">_xll.BDH($AD159,AH$10,$C$5,$C$5,"EQY_FUND_CRNCY=USD")</f>
        <v>#NAME?</v>
      </c>
      <c r="AI159" s="36" t="e">
        <f ca="1">_xll.BDP($AD159,AI$10,"EQY_FUND_CRNCY=USD","FA_ADJUSTED=Y")</f>
        <v>#NAME?</v>
      </c>
      <c r="AJ159" s="36" t="e">
        <f ca="1">_xll.BDP($AD159,AJ$10,"BEST_FPERIOD_OVERRIDE=1TY","EQY_FUND_CRNCY=USD","FA_ADJUSTED=Y")</f>
        <v>#NAME?</v>
      </c>
      <c r="AK159" s="44" t="e">
        <f t="shared" ca="1" si="29"/>
        <v>#NAME?</v>
      </c>
      <c r="AL159" s="36" t="e">
        <f ca="1">_xll.BDP($AD159,AL$10,"EQY_FUND_CRNCY=USD","FA_ADJUSTED=Y")</f>
        <v>#NAME?</v>
      </c>
      <c r="AM159" s="36" t="e">
        <f ca="1">_xll.BDP($AD159,AM$10,"BEST_FPERIOD_OVERRIDE=1TY","EQY_FUND_CRNCY=USD","FA_ADJUSTED=Y")</f>
        <v>#NAME?</v>
      </c>
      <c r="AN159" s="36" t="e">
        <f ca="1">_xll.BDP($AD159,AN$10,"BEST_FPERIOD_OVERRIDE=1TY","EQY_FUND_CRNCY=USD","FA_ADJUSTED=Y")</f>
        <v>#NAME?</v>
      </c>
      <c r="AO159" s="36" t="e">
        <f ca="1">_xll.BDP($AD159,AO$10,"BEST_FPERIOD_OVERRIDE=1TY","EQY_FUND_CRNCY=USD","FA_ADJUSTED=Y")</f>
        <v>#NAME?</v>
      </c>
      <c r="AP159" s="36" t="e">
        <f ca="1">_xll.BDP($AD159,AP$10,"BEST_FPERIOD_OVERRIDE=1TY","EQY_FUND_CRNCY=USD","FA_ADJUSTED=Y")</f>
        <v>#NAME?</v>
      </c>
      <c r="AQ159" s="36" t="e">
        <f ca="1">_xll.BDP($AD159,AQ$10,"EQY_FUND_CRNCY=USD","FA_ADJUSTED=Y")</f>
        <v>#NAME?</v>
      </c>
      <c r="AR159" s="36" t="e">
        <f ca="1">_xll.BDP($AD159,AR$10,"BEST_FPERIOD_OVERRIDE=1TY","EQY_FUND_CRNCY=USD","FA_ADJUSTED=Y")</f>
        <v>#NAME?</v>
      </c>
      <c r="AS159" s="36" t="e">
        <f ca="1">_xll.BDP($AD159,AS$10,"EQY_FUND_CRNCY=USD","FA_ADJUSTED=Y")</f>
        <v>#NAME?</v>
      </c>
      <c r="AT159" s="36" t="e">
        <f ca="1">_xll.BDP($AD159,AT$10,"BEST_FPERIOD_OVERRIDE=1TY","EQY_FUND_CRNCY=USD","FA_ADJUSTED=Y")</f>
        <v>#NAME?</v>
      </c>
      <c r="AV159" s="1" t="s">
        <v>291</v>
      </c>
      <c r="AW159" s="1" t="s">
        <v>292</v>
      </c>
      <c r="AX159" s="36" t="s">
        <v>495</v>
      </c>
      <c r="AY159" s="36">
        <v>1266.3698999999999</v>
      </c>
      <c r="AZ159" s="36">
        <v>1016.1319</v>
      </c>
      <c r="BA159" s="36">
        <v>212.47800000000001</v>
      </c>
      <c r="BB159" s="36">
        <v>249.06300000000002</v>
      </c>
      <c r="BC159" s="44">
        <v>0.17218253183859034</v>
      </c>
      <c r="BD159" s="36">
        <v>147.23399932861327</v>
      </c>
      <c r="BE159" s="36">
        <v>72.100000000000009</v>
      </c>
      <c r="BF159" s="36">
        <v>40.549999999999997</v>
      </c>
      <c r="BG159" s="36">
        <v>87.948999999999998</v>
      </c>
      <c r="BH159" s="36">
        <v>27.706</v>
      </c>
      <c r="BI159" s="36">
        <v>-14.339075949367</v>
      </c>
      <c r="BJ159" s="36">
        <v>11.973000000000001</v>
      </c>
      <c r="BK159" s="36">
        <v>-23.346969999999999</v>
      </c>
      <c r="BL159" s="36">
        <v>5.1749999999999998</v>
      </c>
    </row>
    <row r="160" spans="30:64" x14ac:dyDescent="0.2">
      <c r="AD160" s="1" t="s">
        <v>293</v>
      </c>
      <c r="AE160" s="1" t="s">
        <v>294</v>
      </c>
      <c r="AF160" s="36" t="e">
        <f ca="1">_xll.BDP($AD160,AF$10)</f>
        <v>#NAME?</v>
      </c>
      <c r="AG160" s="36" t="e">
        <f ca="1">_xll.BDH($AD160,AG$10,$C$5,$C$5,"EQY_FUND_CRNCY=USD")</f>
        <v>#NAME?</v>
      </c>
      <c r="AH160" s="36" t="e">
        <f ca="1">_xll.BDH($AD160,AH$10,$C$5,$C$5,"EQY_FUND_CRNCY=USD")</f>
        <v>#NAME?</v>
      </c>
      <c r="AI160" s="36" t="e">
        <f ca="1">_xll.BDP($AD160,AI$10,"EQY_FUND_CRNCY=USD","FA_ADJUSTED=Y")</f>
        <v>#NAME?</v>
      </c>
      <c r="AJ160" s="36" t="e">
        <f ca="1">_xll.BDP($AD160,AJ$10,"BEST_FPERIOD_OVERRIDE=1TY","EQY_FUND_CRNCY=USD","FA_ADJUSTED=Y")</f>
        <v>#NAME?</v>
      </c>
      <c r="AK160" s="44" t="e">
        <f t="shared" ca="1" si="29"/>
        <v>#NAME?</v>
      </c>
      <c r="AL160" s="36" t="e">
        <f ca="1">_xll.BDP($AD160,AL$10,"EQY_FUND_CRNCY=USD","FA_ADJUSTED=Y")</f>
        <v>#NAME?</v>
      </c>
      <c r="AM160" s="36" t="e">
        <f ca="1">_xll.BDP($AD160,AM$10,"BEST_FPERIOD_OVERRIDE=1TY","EQY_FUND_CRNCY=USD","FA_ADJUSTED=Y")</f>
        <v>#NAME?</v>
      </c>
      <c r="AN160" s="36" t="e">
        <f ca="1">_xll.BDP($AD160,AN$10,"BEST_FPERIOD_OVERRIDE=1TY","EQY_FUND_CRNCY=USD","FA_ADJUSTED=Y")</f>
        <v>#NAME?</v>
      </c>
      <c r="AO160" s="36" t="e">
        <f ca="1">_xll.BDP($AD160,AO$10,"BEST_FPERIOD_OVERRIDE=1TY","EQY_FUND_CRNCY=USD","FA_ADJUSTED=Y")</f>
        <v>#NAME?</v>
      </c>
      <c r="AP160" s="36" t="e">
        <f ca="1">_xll.BDP($AD160,AP$10,"BEST_FPERIOD_OVERRIDE=1TY","EQY_FUND_CRNCY=USD","FA_ADJUSTED=Y")</f>
        <v>#NAME?</v>
      </c>
      <c r="AQ160" s="36" t="e">
        <f ca="1">_xll.BDP($AD160,AQ$10,"EQY_FUND_CRNCY=USD","FA_ADJUSTED=Y")</f>
        <v>#NAME?</v>
      </c>
      <c r="AR160" s="36" t="e">
        <f ca="1">_xll.BDP($AD160,AR$10,"BEST_FPERIOD_OVERRIDE=1TY","EQY_FUND_CRNCY=USD","FA_ADJUSTED=Y")</f>
        <v>#NAME?</v>
      </c>
      <c r="AS160" s="36" t="e">
        <f ca="1">_xll.BDP($AD160,AS$10,"EQY_FUND_CRNCY=USD","FA_ADJUSTED=Y")</f>
        <v>#NAME?</v>
      </c>
      <c r="AT160" s="36" t="e">
        <f ca="1">_xll.BDP($AD160,AT$10,"BEST_FPERIOD_OVERRIDE=1TY","EQY_FUND_CRNCY=USD","FA_ADJUSTED=Y")</f>
        <v>#NAME?</v>
      </c>
      <c r="AV160" s="1" t="s">
        <v>293</v>
      </c>
      <c r="AW160" s="1" t="s">
        <v>294</v>
      </c>
      <c r="AX160" s="36" t="s">
        <v>505</v>
      </c>
      <c r="AY160" s="36">
        <v>1222.0399</v>
      </c>
      <c r="AZ160" s="36">
        <v>1118.7239</v>
      </c>
      <c r="BA160" s="36">
        <v>493.41899999999998</v>
      </c>
      <c r="BB160" s="36">
        <v>540.76700000000005</v>
      </c>
      <c r="BC160" s="44">
        <v>9.5959012522825571E-2</v>
      </c>
      <c r="BD160" s="36">
        <v>254.20199630737304</v>
      </c>
      <c r="BE160" s="36">
        <v>53.95</v>
      </c>
      <c r="BF160" s="36">
        <v>80.164000000000001</v>
      </c>
      <c r="BG160" s="36">
        <v>151.34100000000001</v>
      </c>
      <c r="BH160" s="36">
        <v>92.725999999999999</v>
      </c>
      <c r="BI160" s="36">
        <v>-32.902000000000001</v>
      </c>
      <c r="BJ160" s="36">
        <v>-0.65700000000000003</v>
      </c>
      <c r="BK160" s="36">
        <v>-51.781127336844001</v>
      </c>
      <c r="BL160" s="36">
        <v>-11.215</v>
      </c>
    </row>
    <row r="161" spans="30:64" x14ac:dyDescent="0.2">
      <c r="AD161" s="1" t="s">
        <v>295</v>
      </c>
      <c r="AE161" s="1" t="s">
        <v>296</v>
      </c>
      <c r="AF161" s="36" t="e">
        <f ca="1">_xll.BDP($AD161,AF$10)</f>
        <v>#NAME?</v>
      </c>
      <c r="AG161" s="36" t="e">
        <f ca="1">_xll.BDH($AD161,AG$10,$C$5,$C$5,"EQY_FUND_CRNCY=USD")</f>
        <v>#NAME?</v>
      </c>
      <c r="AH161" s="36" t="e">
        <f ca="1">_xll.BDH($AD161,AH$10,$C$5,$C$5,"EQY_FUND_CRNCY=USD")</f>
        <v>#NAME?</v>
      </c>
      <c r="AI161" s="36" t="e">
        <f ca="1">_xll.BDP($AD161,AI$10,"EQY_FUND_CRNCY=USD","FA_ADJUSTED=Y")</f>
        <v>#NAME?</v>
      </c>
      <c r="AJ161" s="36" t="e">
        <f ca="1">_xll.BDP($AD161,AJ$10,"BEST_FPERIOD_OVERRIDE=1TY","EQY_FUND_CRNCY=USD","FA_ADJUSTED=Y")</f>
        <v>#NAME?</v>
      </c>
      <c r="AK161" s="44" t="e">
        <f t="shared" ca="1" si="29"/>
        <v>#NAME?</v>
      </c>
      <c r="AL161" s="36" t="e">
        <f ca="1">_xll.BDP($AD161,AL$10,"EQY_FUND_CRNCY=USD","FA_ADJUSTED=Y")</f>
        <v>#NAME?</v>
      </c>
      <c r="AM161" s="36" t="e">
        <f ca="1">_xll.BDP($AD161,AM$10,"BEST_FPERIOD_OVERRIDE=1TY","EQY_FUND_CRNCY=USD","FA_ADJUSTED=Y")</f>
        <v>#NAME?</v>
      </c>
      <c r="AN161" s="36" t="e">
        <f ca="1">_xll.BDP($AD161,AN$10,"BEST_FPERIOD_OVERRIDE=1TY","EQY_FUND_CRNCY=USD","FA_ADJUSTED=Y")</f>
        <v>#NAME?</v>
      </c>
      <c r="AO161" s="36" t="e">
        <f ca="1">_xll.BDP($AD161,AO$10,"BEST_FPERIOD_OVERRIDE=1TY","EQY_FUND_CRNCY=USD","FA_ADJUSTED=Y")</f>
        <v>#NAME?</v>
      </c>
      <c r="AP161" s="36" t="e">
        <f ca="1">_xll.BDP($AD161,AP$10,"BEST_FPERIOD_OVERRIDE=1TY","EQY_FUND_CRNCY=USD","FA_ADJUSTED=Y")</f>
        <v>#NAME?</v>
      </c>
      <c r="AQ161" s="36" t="e">
        <f ca="1">_xll.BDP($AD161,AQ$10,"EQY_FUND_CRNCY=USD","FA_ADJUSTED=Y")</f>
        <v>#NAME?</v>
      </c>
      <c r="AR161" s="36" t="e">
        <f ca="1">_xll.BDP($AD161,AR$10,"BEST_FPERIOD_OVERRIDE=1TY","EQY_FUND_CRNCY=USD","FA_ADJUSTED=Y")</f>
        <v>#NAME?</v>
      </c>
      <c r="AS161" s="36" t="e">
        <f ca="1">_xll.BDP($AD161,AS$10,"EQY_FUND_CRNCY=USD","FA_ADJUSTED=Y")</f>
        <v>#NAME?</v>
      </c>
      <c r="AT161" s="36" t="e">
        <f ca="1">_xll.BDP($AD161,AT$10,"BEST_FPERIOD_OVERRIDE=1TY","EQY_FUND_CRNCY=USD","FA_ADJUSTED=Y")</f>
        <v>#NAME?</v>
      </c>
      <c r="AV161" s="1" t="s">
        <v>295</v>
      </c>
      <c r="AW161" s="1" t="s">
        <v>296</v>
      </c>
      <c r="AX161" s="36" t="s">
        <v>506</v>
      </c>
      <c r="AY161" s="36">
        <v>1182.72</v>
      </c>
      <c r="AZ161" s="36">
        <v>1357.76</v>
      </c>
      <c r="BA161" s="36">
        <v>819.13599999999997</v>
      </c>
      <c r="BB161" s="36">
        <v>876.5</v>
      </c>
      <c r="BC161" s="44">
        <v>7.0029885147277149E-2</v>
      </c>
      <c r="BD161" s="36">
        <v>409.10499536132812</v>
      </c>
      <c r="BE161" s="36">
        <v>49.300000000000004</v>
      </c>
      <c r="BF161" s="36">
        <v>113.19999999999999</v>
      </c>
      <c r="BG161" s="36" t="s">
        <v>480</v>
      </c>
      <c r="BH161" s="36" t="s">
        <v>480</v>
      </c>
      <c r="BI161" s="36">
        <v>168.92100000000002</v>
      </c>
      <c r="BJ161" s="36">
        <v>182.75</v>
      </c>
      <c r="BK161" s="36">
        <v>64.680810627462009</v>
      </c>
      <c r="BL161" s="36">
        <v>97.2</v>
      </c>
    </row>
    <row r="162" spans="30:64" x14ac:dyDescent="0.2">
      <c r="AD162" s="1" t="s">
        <v>297</v>
      </c>
      <c r="AE162" s="1" t="s">
        <v>298</v>
      </c>
      <c r="AF162" s="36" t="e">
        <f ca="1">_xll.BDP($AD162,AF$10)</f>
        <v>#NAME?</v>
      </c>
      <c r="AG162" s="36" t="e">
        <f ca="1">_xll.BDH($AD162,AG$10,$C$5,$C$5,"EQY_FUND_CRNCY=USD")</f>
        <v>#NAME?</v>
      </c>
      <c r="AH162" s="36" t="e">
        <f ca="1">_xll.BDH($AD162,AH$10,$C$5,$C$5,"EQY_FUND_CRNCY=USD")</f>
        <v>#NAME?</v>
      </c>
      <c r="AI162" s="36" t="e">
        <f ca="1">_xll.BDP($AD162,AI$10,"EQY_FUND_CRNCY=USD","FA_ADJUSTED=Y")</f>
        <v>#NAME?</v>
      </c>
      <c r="AJ162" s="36" t="e">
        <f ca="1">_xll.BDP($AD162,AJ$10,"BEST_FPERIOD_OVERRIDE=1TY","EQY_FUND_CRNCY=USD","FA_ADJUSTED=Y")</f>
        <v>#NAME?</v>
      </c>
      <c r="AK162" s="44" t="e">
        <f t="shared" ca="1" si="29"/>
        <v>#NAME?</v>
      </c>
      <c r="AL162" s="36" t="e">
        <f ca="1">_xll.BDP($AD162,AL$10,"EQY_FUND_CRNCY=USD","FA_ADJUSTED=Y")</f>
        <v>#NAME?</v>
      </c>
      <c r="AM162" s="36" t="e">
        <f ca="1">_xll.BDP($AD162,AM$10,"BEST_FPERIOD_OVERRIDE=1TY","EQY_FUND_CRNCY=USD","FA_ADJUSTED=Y")</f>
        <v>#NAME?</v>
      </c>
      <c r="AN162" s="36" t="e">
        <f ca="1">_xll.BDP($AD162,AN$10,"BEST_FPERIOD_OVERRIDE=1TY","EQY_FUND_CRNCY=USD","FA_ADJUSTED=Y")</f>
        <v>#NAME?</v>
      </c>
      <c r="AO162" s="36" t="e">
        <f ca="1">_xll.BDP($AD162,AO$10,"BEST_FPERIOD_OVERRIDE=1TY","EQY_FUND_CRNCY=USD","FA_ADJUSTED=Y")</f>
        <v>#NAME?</v>
      </c>
      <c r="AP162" s="36" t="e">
        <f ca="1">_xll.BDP($AD162,AP$10,"BEST_FPERIOD_OVERRIDE=1TY","EQY_FUND_CRNCY=USD","FA_ADJUSTED=Y")</f>
        <v>#NAME?</v>
      </c>
      <c r="AQ162" s="36" t="e">
        <f ca="1">_xll.BDP($AD162,AQ$10,"EQY_FUND_CRNCY=USD","FA_ADJUSTED=Y")</f>
        <v>#NAME?</v>
      </c>
      <c r="AR162" s="36" t="e">
        <f ca="1">_xll.BDP($AD162,AR$10,"BEST_FPERIOD_OVERRIDE=1TY","EQY_FUND_CRNCY=USD","FA_ADJUSTED=Y")</f>
        <v>#NAME?</v>
      </c>
      <c r="AS162" s="36" t="e">
        <f ca="1">_xll.BDP($AD162,AS$10,"EQY_FUND_CRNCY=USD","FA_ADJUSTED=Y")</f>
        <v>#NAME?</v>
      </c>
      <c r="AT162" s="36" t="e">
        <f ca="1">_xll.BDP($AD162,AT$10,"BEST_FPERIOD_OVERRIDE=1TY","EQY_FUND_CRNCY=USD","FA_ADJUSTED=Y")</f>
        <v>#NAME?</v>
      </c>
      <c r="AV162" s="1" t="s">
        <v>297</v>
      </c>
      <c r="AW162" s="1" t="s">
        <v>298</v>
      </c>
      <c r="AX162" s="36" t="s">
        <v>506</v>
      </c>
      <c r="AY162" s="36">
        <v>1161.232</v>
      </c>
      <c r="AZ162" s="36">
        <v>1386.7829999999999</v>
      </c>
      <c r="BA162" s="36">
        <v>1510.7610000000002</v>
      </c>
      <c r="BB162" s="36">
        <v>1523.8330000000001</v>
      </c>
      <c r="BC162" s="44">
        <v>8.6525929647376376E-3</v>
      </c>
      <c r="BD162" s="36">
        <v>364.96499401855471</v>
      </c>
      <c r="BE162" s="36">
        <v>24.033000000000001</v>
      </c>
      <c r="BF162" s="36">
        <v>0</v>
      </c>
      <c r="BG162" s="36" t="s">
        <v>480</v>
      </c>
      <c r="BH162" s="36" t="s">
        <v>480</v>
      </c>
      <c r="BI162" s="36">
        <v>185.99944985394302</v>
      </c>
      <c r="BJ162" s="36">
        <v>199.28300000000002</v>
      </c>
      <c r="BK162" s="36">
        <v>69.219760000000008</v>
      </c>
      <c r="BL162" s="36">
        <v>81.94</v>
      </c>
    </row>
    <row r="163" spans="30:64" x14ac:dyDescent="0.2">
      <c r="AD163" s="1" t="s">
        <v>299</v>
      </c>
      <c r="AE163" s="1" t="s">
        <v>300</v>
      </c>
      <c r="AF163" s="36" t="e">
        <f ca="1">_xll.BDP($AD163,AF$10)</f>
        <v>#NAME?</v>
      </c>
      <c r="AG163" s="36" t="e">
        <f ca="1">_xll.BDH($AD163,AG$10,$C$5,$C$5,"EQY_FUND_CRNCY=USD")</f>
        <v>#NAME?</v>
      </c>
      <c r="AH163" s="36" t="e">
        <f ca="1">_xll.BDH($AD163,AH$10,$C$5,$C$5,"EQY_FUND_CRNCY=USD")</f>
        <v>#NAME?</v>
      </c>
      <c r="AI163" s="36" t="e">
        <f ca="1">_xll.BDP($AD163,AI$10,"EQY_FUND_CRNCY=USD","FA_ADJUSTED=Y")</f>
        <v>#NAME?</v>
      </c>
      <c r="AJ163" s="36" t="e">
        <f ca="1">_xll.BDP($AD163,AJ$10,"BEST_FPERIOD_OVERRIDE=1TY","EQY_FUND_CRNCY=USD","FA_ADJUSTED=Y")</f>
        <v>#NAME?</v>
      </c>
      <c r="AK163" s="44" t="e">
        <f t="shared" ca="1" si="29"/>
        <v>#NAME?</v>
      </c>
      <c r="AL163" s="36" t="e">
        <f ca="1">_xll.BDP($AD163,AL$10,"EQY_FUND_CRNCY=USD","FA_ADJUSTED=Y")</f>
        <v>#NAME?</v>
      </c>
      <c r="AM163" s="36" t="e">
        <f ca="1">_xll.BDP($AD163,AM$10,"BEST_FPERIOD_OVERRIDE=1TY","EQY_FUND_CRNCY=USD","FA_ADJUSTED=Y")</f>
        <v>#NAME?</v>
      </c>
      <c r="AN163" s="36" t="e">
        <f ca="1">_xll.BDP($AD163,AN$10,"BEST_FPERIOD_OVERRIDE=1TY","EQY_FUND_CRNCY=USD","FA_ADJUSTED=Y")</f>
        <v>#NAME?</v>
      </c>
      <c r="AO163" s="36" t="e">
        <f ca="1">_xll.BDP($AD163,AO$10,"BEST_FPERIOD_OVERRIDE=1TY","EQY_FUND_CRNCY=USD","FA_ADJUSTED=Y")</f>
        <v>#NAME?</v>
      </c>
      <c r="AP163" s="36" t="e">
        <f ca="1">_xll.BDP($AD163,AP$10,"BEST_FPERIOD_OVERRIDE=1TY","EQY_FUND_CRNCY=USD","FA_ADJUSTED=Y")</f>
        <v>#NAME?</v>
      </c>
      <c r="AQ163" s="36" t="e">
        <f ca="1">_xll.BDP($AD163,AQ$10,"EQY_FUND_CRNCY=USD","FA_ADJUSTED=Y")</f>
        <v>#NAME?</v>
      </c>
      <c r="AR163" s="36" t="e">
        <f ca="1">_xll.BDP($AD163,AR$10,"BEST_FPERIOD_OVERRIDE=1TY","EQY_FUND_CRNCY=USD","FA_ADJUSTED=Y")</f>
        <v>#NAME?</v>
      </c>
      <c r="AS163" s="36" t="e">
        <f ca="1">_xll.BDP($AD163,AS$10,"EQY_FUND_CRNCY=USD","FA_ADJUSTED=Y")</f>
        <v>#NAME?</v>
      </c>
      <c r="AT163" s="36" t="e">
        <f ca="1">_xll.BDP($AD163,AT$10,"BEST_FPERIOD_OVERRIDE=1TY","EQY_FUND_CRNCY=USD","FA_ADJUSTED=Y")</f>
        <v>#NAME?</v>
      </c>
      <c r="AV163" s="1" t="s">
        <v>299</v>
      </c>
      <c r="AW163" s="1" t="s">
        <v>300</v>
      </c>
      <c r="AX163" s="36" t="s">
        <v>505</v>
      </c>
      <c r="AY163" s="36">
        <v>1151.3871999999999</v>
      </c>
      <c r="AZ163" s="36">
        <v>949.03020000000004</v>
      </c>
      <c r="BA163" s="36">
        <v>257.60300000000001</v>
      </c>
      <c r="BB163" s="36">
        <v>302.613</v>
      </c>
      <c r="BC163" s="44">
        <v>0.17472622601444865</v>
      </c>
      <c r="BD163" s="36">
        <v>194.42499871826172</v>
      </c>
      <c r="BE163" s="36">
        <v>77.725000000000009</v>
      </c>
      <c r="BF163" s="36">
        <v>47.434999999999995</v>
      </c>
      <c r="BG163" s="36">
        <v>151.09299999999999</v>
      </c>
      <c r="BH163" s="36">
        <v>51.206000000000003</v>
      </c>
      <c r="BI163" s="36">
        <v>-82.965000000000003</v>
      </c>
      <c r="BJ163" s="36">
        <v>-29.065999999999999</v>
      </c>
      <c r="BK163" s="36">
        <v>-92.112000000000009</v>
      </c>
      <c r="BL163" s="36">
        <v>-39.933</v>
      </c>
    </row>
    <row r="164" spans="30:64" x14ac:dyDescent="0.2">
      <c r="AD164" s="1" t="s">
        <v>301</v>
      </c>
      <c r="AE164" s="1" t="s">
        <v>302</v>
      </c>
      <c r="AF164" s="36" t="e">
        <f ca="1">_xll.BDP($AD164,AF$10)</f>
        <v>#NAME?</v>
      </c>
      <c r="AG164" s="36" t="e">
        <f ca="1">_xll.BDH($AD164,AG$10,$C$5,$C$5,"EQY_FUND_CRNCY=USD")</f>
        <v>#NAME?</v>
      </c>
      <c r="AH164" s="36" t="e">
        <f ca="1">_xll.BDH($AD164,AH$10,$C$5,$C$5,"EQY_FUND_CRNCY=USD")</f>
        <v>#NAME?</v>
      </c>
      <c r="AI164" s="36" t="e">
        <f ca="1">_xll.BDP($AD164,AI$10,"EQY_FUND_CRNCY=USD","FA_ADJUSTED=Y")</f>
        <v>#NAME?</v>
      </c>
      <c r="AJ164" s="36" t="e">
        <f ca="1">_xll.BDP($AD164,AJ$10,"BEST_FPERIOD_OVERRIDE=1TY","EQY_FUND_CRNCY=USD","FA_ADJUSTED=Y")</f>
        <v>#NAME?</v>
      </c>
      <c r="AK164" s="44" t="e">
        <f t="shared" ca="1" si="29"/>
        <v>#NAME?</v>
      </c>
      <c r="AL164" s="36" t="e">
        <f ca="1">_xll.BDP($AD164,AL$10,"EQY_FUND_CRNCY=USD","FA_ADJUSTED=Y")</f>
        <v>#NAME?</v>
      </c>
      <c r="AM164" s="36" t="e">
        <f ca="1">_xll.BDP($AD164,AM$10,"BEST_FPERIOD_OVERRIDE=1TY","EQY_FUND_CRNCY=USD","FA_ADJUSTED=Y")</f>
        <v>#NAME?</v>
      </c>
      <c r="AN164" s="36" t="e">
        <f ca="1">_xll.BDP($AD164,AN$10,"BEST_FPERIOD_OVERRIDE=1TY","EQY_FUND_CRNCY=USD","FA_ADJUSTED=Y")</f>
        <v>#NAME?</v>
      </c>
      <c r="AO164" s="36" t="e">
        <f ca="1">_xll.BDP($AD164,AO$10,"BEST_FPERIOD_OVERRIDE=1TY","EQY_FUND_CRNCY=USD","FA_ADJUSTED=Y")</f>
        <v>#NAME?</v>
      </c>
      <c r="AP164" s="36" t="e">
        <f ca="1">_xll.BDP($AD164,AP$10,"BEST_FPERIOD_OVERRIDE=1TY","EQY_FUND_CRNCY=USD","FA_ADJUSTED=Y")</f>
        <v>#NAME?</v>
      </c>
      <c r="AQ164" s="36" t="e">
        <f ca="1">_xll.BDP($AD164,AQ$10,"EQY_FUND_CRNCY=USD","FA_ADJUSTED=Y")</f>
        <v>#NAME?</v>
      </c>
      <c r="AR164" s="36" t="e">
        <f ca="1">_xll.BDP($AD164,AR$10,"BEST_FPERIOD_OVERRIDE=1TY","EQY_FUND_CRNCY=USD","FA_ADJUSTED=Y")</f>
        <v>#NAME?</v>
      </c>
      <c r="AS164" s="36" t="e">
        <f ca="1">_xll.BDP($AD164,AS$10,"EQY_FUND_CRNCY=USD","FA_ADJUSTED=Y")</f>
        <v>#NAME?</v>
      </c>
      <c r="AT164" s="36" t="e">
        <f ca="1">_xll.BDP($AD164,AT$10,"BEST_FPERIOD_OVERRIDE=1TY","EQY_FUND_CRNCY=USD","FA_ADJUSTED=Y")</f>
        <v>#NAME?</v>
      </c>
      <c r="AV164" s="1" t="s">
        <v>301</v>
      </c>
      <c r="AW164" s="1" t="s">
        <v>302</v>
      </c>
      <c r="AX164" s="36" t="s">
        <v>495</v>
      </c>
      <c r="AY164" s="36">
        <v>1198.4507000000001</v>
      </c>
      <c r="AZ164" s="36">
        <v>801.98320000000001</v>
      </c>
      <c r="BA164" s="36">
        <v>743.14976220640108</v>
      </c>
      <c r="BB164" s="36">
        <v>822.476</v>
      </c>
      <c r="BC164" s="44">
        <v>0.10674327279346829</v>
      </c>
      <c r="BD164" s="36">
        <v>496.47299441525269</v>
      </c>
      <c r="BE164" s="36">
        <v>69.7</v>
      </c>
      <c r="BF164" s="36">
        <v>101.45992430675803</v>
      </c>
      <c r="BG164" s="36">
        <v>245.40509841204184</v>
      </c>
      <c r="BH164" s="36">
        <v>60.356286968074329</v>
      </c>
      <c r="BI164" s="36" t="s">
        <v>480</v>
      </c>
      <c r="BJ164" s="36">
        <v>129.55100000000002</v>
      </c>
      <c r="BK164" s="36">
        <v>265.41550240821056</v>
      </c>
      <c r="BL164" s="36">
        <v>117.84700000000001</v>
      </c>
    </row>
    <row r="165" spans="30:64" x14ac:dyDescent="0.2">
      <c r="AD165" s="1" t="s">
        <v>303</v>
      </c>
      <c r="AE165" s="1" t="s">
        <v>304</v>
      </c>
      <c r="AF165" s="36" t="e">
        <f ca="1">_xll.BDP($AD165,AF$10)</f>
        <v>#NAME?</v>
      </c>
      <c r="AG165" s="36" t="e">
        <f ca="1">_xll.BDH($AD165,AG$10,$C$5,$C$5,"EQY_FUND_CRNCY=USD")</f>
        <v>#NAME?</v>
      </c>
      <c r="AH165" s="36" t="e">
        <f ca="1">_xll.BDH($AD165,AH$10,$C$5,$C$5,"EQY_FUND_CRNCY=USD")</f>
        <v>#NAME?</v>
      </c>
      <c r="AI165" s="36" t="e">
        <f ca="1">_xll.BDP($AD165,AI$10,"EQY_FUND_CRNCY=USD","FA_ADJUSTED=Y")</f>
        <v>#NAME?</v>
      </c>
      <c r="AJ165" s="36" t="e">
        <f ca="1">_xll.BDP($AD165,AJ$10,"BEST_FPERIOD_OVERRIDE=1TY","EQY_FUND_CRNCY=USD","FA_ADJUSTED=Y")</f>
        <v>#NAME?</v>
      </c>
      <c r="AK165" s="44" t="e">
        <f t="shared" ca="1" si="29"/>
        <v>#NAME?</v>
      </c>
      <c r="AL165" s="36" t="e">
        <f ca="1">_xll.BDP($AD165,AL$10,"EQY_FUND_CRNCY=USD","FA_ADJUSTED=Y")</f>
        <v>#NAME?</v>
      </c>
      <c r="AM165" s="36" t="e">
        <f ca="1">_xll.BDP($AD165,AM$10,"BEST_FPERIOD_OVERRIDE=1TY","EQY_FUND_CRNCY=USD","FA_ADJUSTED=Y")</f>
        <v>#NAME?</v>
      </c>
      <c r="AN165" s="36" t="e">
        <f ca="1">_xll.BDP($AD165,AN$10,"BEST_FPERIOD_OVERRIDE=1TY","EQY_FUND_CRNCY=USD","FA_ADJUSTED=Y")</f>
        <v>#NAME?</v>
      </c>
      <c r="AO165" s="36" t="e">
        <f ca="1">_xll.BDP($AD165,AO$10,"BEST_FPERIOD_OVERRIDE=1TY","EQY_FUND_CRNCY=USD","FA_ADJUSTED=Y")</f>
        <v>#NAME?</v>
      </c>
      <c r="AP165" s="36" t="e">
        <f ca="1">_xll.BDP($AD165,AP$10,"BEST_FPERIOD_OVERRIDE=1TY","EQY_FUND_CRNCY=USD","FA_ADJUSTED=Y")</f>
        <v>#NAME?</v>
      </c>
      <c r="AQ165" s="36" t="e">
        <f ca="1">_xll.BDP($AD165,AQ$10,"EQY_FUND_CRNCY=USD","FA_ADJUSTED=Y")</f>
        <v>#NAME?</v>
      </c>
      <c r="AR165" s="36" t="e">
        <f ca="1">_xll.BDP($AD165,AR$10,"BEST_FPERIOD_OVERRIDE=1TY","EQY_FUND_CRNCY=USD","FA_ADJUSTED=Y")</f>
        <v>#NAME?</v>
      </c>
      <c r="AS165" s="36" t="e">
        <f ca="1">_xll.BDP($AD165,AS$10,"EQY_FUND_CRNCY=USD","FA_ADJUSTED=Y")</f>
        <v>#NAME?</v>
      </c>
      <c r="AT165" s="36" t="e">
        <f ca="1">_xll.BDP($AD165,AT$10,"BEST_FPERIOD_OVERRIDE=1TY","EQY_FUND_CRNCY=USD","FA_ADJUSTED=Y")</f>
        <v>#NAME?</v>
      </c>
      <c r="AV165" s="1" t="s">
        <v>303</v>
      </c>
      <c r="AW165" s="1" t="s">
        <v>304</v>
      </c>
      <c r="AX165" s="36" t="s">
        <v>495</v>
      </c>
      <c r="AY165" s="36">
        <v>1131.8515</v>
      </c>
      <c r="AZ165" s="36">
        <v>1209.0925</v>
      </c>
      <c r="BA165" s="36">
        <v>183.61700000000002</v>
      </c>
      <c r="BB165" s="36">
        <v>205.86799999999999</v>
      </c>
      <c r="BC165" s="44">
        <v>0.12118158993992911</v>
      </c>
      <c r="BD165" s="36">
        <v>109.50099978637695</v>
      </c>
      <c r="BE165" s="36">
        <v>63.478000000000002</v>
      </c>
      <c r="BF165" s="36">
        <v>56.021000000000001</v>
      </c>
      <c r="BG165" s="36">
        <v>68.116</v>
      </c>
      <c r="BH165" s="36">
        <v>40.335999999999999</v>
      </c>
      <c r="BI165" s="36">
        <v>-44.247999999999998</v>
      </c>
      <c r="BJ165" s="36">
        <v>-21.440999999999999</v>
      </c>
      <c r="BK165" s="36">
        <v>-63.304550127549</v>
      </c>
      <c r="BL165" s="36">
        <v>-22.835000000000001</v>
      </c>
    </row>
    <row r="166" spans="30:64" x14ac:dyDescent="0.2">
      <c r="AD166" s="1" t="s">
        <v>305</v>
      </c>
      <c r="AE166" s="1" t="s">
        <v>306</v>
      </c>
      <c r="AF166" s="36" t="e">
        <f ca="1">_xll.BDP($AD166,AF$10)</f>
        <v>#NAME?</v>
      </c>
      <c r="AG166" s="36" t="e">
        <f ca="1">_xll.BDH($AD166,AG$10,$C$5,$C$5,"EQY_FUND_CRNCY=USD")</f>
        <v>#NAME?</v>
      </c>
      <c r="AH166" s="36" t="e">
        <f ca="1">_xll.BDH($AD166,AH$10,$C$5,$C$5,"EQY_FUND_CRNCY=USD")</f>
        <v>#NAME?</v>
      </c>
      <c r="AI166" s="36" t="e">
        <f ca="1">_xll.BDP($AD166,AI$10,"EQY_FUND_CRNCY=USD","FA_ADJUSTED=Y")</f>
        <v>#NAME?</v>
      </c>
      <c r="AJ166" s="36" t="e">
        <f ca="1">_xll.BDP($AD166,AJ$10,"BEST_FPERIOD_OVERRIDE=1TY","EQY_FUND_CRNCY=USD","FA_ADJUSTED=Y")</f>
        <v>#NAME?</v>
      </c>
      <c r="AK166" s="44" t="e">
        <f t="shared" ca="1" si="29"/>
        <v>#NAME?</v>
      </c>
      <c r="AL166" s="36" t="e">
        <f ca="1">_xll.BDP($AD166,AL$10,"EQY_FUND_CRNCY=USD","FA_ADJUSTED=Y")</f>
        <v>#NAME?</v>
      </c>
      <c r="AM166" s="36" t="e">
        <f ca="1">_xll.BDP($AD166,AM$10,"BEST_FPERIOD_OVERRIDE=1TY","EQY_FUND_CRNCY=USD","FA_ADJUSTED=Y")</f>
        <v>#NAME?</v>
      </c>
      <c r="AN166" s="36" t="e">
        <f ca="1">_xll.BDP($AD166,AN$10,"BEST_FPERIOD_OVERRIDE=1TY","EQY_FUND_CRNCY=USD","FA_ADJUSTED=Y")</f>
        <v>#NAME?</v>
      </c>
      <c r="AO166" s="36" t="e">
        <f ca="1">_xll.BDP($AD166,AO$10,"BEST_FPERIOD_OVERRIDE=1TY","EQY_FUND_CRNCY=USD","FA_ADJUSTED=Y")</f>
        <v>#NAME?</v>
      </c>
      <c r="AP166" s="36" t="e">
        <f ca="1">_xll.BDP($AD166,AP$10,"BEST_FPERIOD_OVERRIDE=1TY","EQY_FUND_CRNCY=USD","FA_ADJUSTED=Y")</f>
        <v>#NAME?</v>
      </c>
      <c r="AQ166" s="36" t="e">
        <f ca="1">_xll.BDP($AD166,AQ$10,"EQY_FUND_CRNCY=USD","FA_ADJUSTED=Y")</f>
        <v>#NAME?</v>
      </c>
      <c r="AR166" s="36" t="e">
        <f ca="1">_xll.BDP($AD166,AR$10,"BEST_FPERIOD_OVERRIDE=1TY","EQY_FUND_CRNCY=USD","FA_ADJUSTED=Y")</f>
        <v>#NAME?</v>
      </c>
      <c r="AS166" s="36" t="e">
        <f ca="1">_xll.BDP($AD166,AS$10,"EQY_FUND_CRNCY=USD","FA_ADJUSTED=Y")</f>
        <v>#NAME?</v>
      </c>
      <c r="AT166" s="36" t="e">
        <f ca="1">_xll.BDP($AD166,AT$10,"BEST_FPERIOD_OVERRIDE=1TY","EQY_FUND_CRNCY=USD","FA_ADJUSTED=Y")</f>
        <v>#NAME?</v>
      </c>
      <c r="AV166" s="1" t="s">
        <v>305</v>
      </c>
      <c r="AW166" s="1" t="s">
        <v>306</v>
      </c>
      <c r="AX166" s="36" t="s">
        <v>495</v>
      </c>
      <c r="AY166" s="36">
        <v>1127.7728999999999</v>
      </c>
      <c r="AZ166" s="36">
        <v>1011.2338999999999</v>
      </c>
      <c r="BA166" s="36">
        <v>184.83700000000002</v>
      </c>
      <c r="BB166" s="36">
        <v>231.28900000000002</v>
      </c>
      <c r="BC166" s="44">
        <v>0.25131331930295331</v>
      </c>
      <c r="BD166" s="36">
        <v>130.4860018157959</v>
      </c>
      <c r="BE166" s="36">
        <v>71.875</v>
      </c>
      <c r="BF166" s="36">
        <v>48.292999999999999</v>
      </c>
      <c r="BG166" s="36">
        <v>83.715999999999994</v>
      </c>
      <c r="BH166" s="36">
        <v>31.196000000000002</v>
      </c>
      <c r="BI166" s="36">
        <v>-40.238</v>
      </c>
      <c r="BJ166" s="36">
        <v>-17.818999999999999</v>
      </c>
      <c r="BK166" s="36">
        <v>-49.079000000000001</v>
      </c>
      <c r="BL166" s="36">
        <v>-28.419</v>
      </c>
    </row>
    <row r="167" spans="30:64" x14ac:dyDescent="0.2">
      <c r="AD167" s="1" t="s">
        <v>307</v>
      </c>
      <c r="AE167" s="1" t="s">
        <v>308</v>
      </c>
      <c r="AF167" s="36" t="e">
        <f ca="1">_xll.BDP($AD167,AF$10)</f>
        <v>#NAME?</v>
      </c>
      <c r="AG167" s="36" t="e">
        <f ca="1">_xll.BDH($AD167,AG$10,$C$5,$C$5,"EQY_FUND_CRNCY=USD")</f>
        <v>#NAME?</v>
      </c>
      <c r="AH167" s="36" t="e">
        <f ca="1">_xll.BDH($AD167,AH$10,$C$5,$C$5,"EQY_FUND_CRNCY=USD")</f>
        <v>#NAME?</v>
      </c>
      <c r="AI167" s="36" t="e">
        <f ca="1">_xll.BDP($AD167,AI$10,"EQY_FUND_CRNCY=USD","FA_ADJUSTED=Y")</f>
        <v>#NAME?</v>
      </c>
      <c r="AJ167" s="36" t="e">
        <f ca="1">_xll.BDP($AD167,AJ$10,"BEST_FPERIOD_OVERRIDE=1TY","EQY_FUND_CRNCY=USD","FA_ADJUSTED=Y")</f>
        <v>#NAME?</v>
      </c>
      <c r="AK167" s="44" t="e">
        <f t="shared" ca="1" si="29"/>
        <v>#NAME?</v>
      </c>
      <c r="AL167" s="36" t="e">
        <f ca="1">_xll.BDP($AD167,AL$10,"EQY_FUND_CRNCY=USD","FA_ADJUSTED=Y")</f>
        <v>#NAME?</v>
      </c>
      <c r="AM167" s="36" t="e">
        <f ca="1">_xll.BDP($AD167,AM$10,"BEST_FPERIOD_OVERRIDE=1TY","EQY_FUND_CRNCY=USD","FA_ADJUSTED=Y")</f>
        <v>#NAME?</v>
      </c>
      <c r="AN167" s="36" t="e">
        <f ca="1">_xll.BDP($AD167,AN$10,"BEST_FPERIOD_OVERRIDE=1TY","EQY_FUND_CRNCY=USD","FA_ADJUSTED=Y")</f>
        <v>#NAME?</v>
      </c>
      <c r="AO167" s="36" t="e">
        <f ca="1">_xll.BDP($AD167,AO$10,"BEST_FPERIOD_OVERRIDE=1TY","EQY_FUND_CRNCY=USD","FA_ADJUSTED=Y")</f>
        <v>#NAME?</v>
      </c>
      <c r="AP167" s="36" t="e">
        <f ca="1">_xll.BDP($AD167,AP$10,"BEST_FPERIOD_OVERRIDE=1TY","EQY_FUND_CRNCY=USD","FA_ADJUSTED=Y")</f>
        <v>#NAME?</v>
      </c>
      <c r="AQ167" s="36" t="e">
        <f ca="1">_xll.BDP($AD167,AQ$10,"EQY_FUND_CRNCY=USD","FA_ADJUSTED=Y")</f>
        <v>#NAME?</v>
      </c>
      <c r="AR167" s="36" t="e">
        <f ca="1">_xll.BDP($AD167,AR$10,"BEST_FPERIOD_OVERRIDE=1TY","EQY_FUND_CRNCY=USD","FA_ADJUSTED=Y")</f>
        <v>#NAME?</v>
      </c>
      <c r="AS167" s="36" t="e">
        <f ca="1">_xll.BDP($AD167,AS$10,"EQY_FUND_CRNCY=USD","FA_ADJUSTED=Y")</f>
        <v>#NAME?</v>
      </c>
      <c r="AT167" s="36" t="e">
        <f ca="1">_xll.BDP($AD167,AT$10,"BEST_FPERIOD_OVERRIDE=1TY","EQY_FUND_CRNCY=USD","FA_ADJUSTED=Y")</f>
        <v>#NAME?</v>
      </c>
      <c r="AV167" s="1" t="s">
        <v>307</v>
      </c>
      <c r="AW167" s="1" t="s">
        <v>308</v>
      </c>
      <c r="AX167" s="36" t="s">
        <v>495</v>
      </c>
      <c r="AY167" s="36">
        <v>1030.893</v>
      </c>
      <c r="AZ167" s="36">
        <v>1106.0070000000001</v>
      </c>
      <c r="BA167" s="36">
        <v>252.16</v>
      </c>
      <c r="BB167" s="36">
        <v>269.78399999999999</v>
      </c>
      <c r="BC167" s="44">
        <v>6.989213197969546E-2</v>
      </c>
      <c r="BD167" s="36">
        <v>126.30899749755859</v>
      </c>
      <c r="BE167" s="36">
        <v>49.975000000000001</v>
      </c>
      <c r="BF167" s="36">
        <v>49.548999999999999</v>
      </c>
      <c r="BG167" s="36">
        <v>69.28</v>
      </c>
      <c r="BH167" s="36">
        <v>27.268000000000001</v>
      </c>
      <c r="BI167" s="36">
        <v>-11.269886075949</v>
      </c>
      <c r="BJ167" s="36">
        <v>17.629000000000001</v>
      </c>
      <c r="BK167" s="36">
        <v>-40.211799999999997</v>
      </c>
      <c r="BL167" s="36">
        <v>-13.441000000000001</v>
      </c>
    </row>
    <row r="168" spans="30:64" x14ac:dyDescent="0.2">
      <c r="AD168" s="1" t="s">
        <v>309</v>
      </c>
      <c r="AE168" s="1" t="s">
        <v>310</v>
      </c>
      <c r="AF168" s="36" t="e">
        <f ca="1">_xll.BDP($AD168,AF$10)</f>
        <v>#NAME?</v>
      </c>
      <c r="AG168" s="36" t="e">
        <f ca="1">_xll.BDH($AD168,AG$10,$C$5,$C$5,"EQY_FUND_CRNCY=USD")</f>
        <v>#NAME?</v>
      </c>
      <c r="AH168" s="36" t="e">
        <f ca="1">_xll.BDH($AD168,AH$10,$C$5,$C$5,"EQY_FUND_CRNCY=USD")</f>
        <v>#NAME?</v>
      </c>
      <c r="AI168" s="36" t="e">
        <f ca="1">_xll.BDP($AD168,AI$10,"EQY_FUND_CRNCY=USD","FA_ADJUSTED=Y")</f>
        <v>#NAME?</v>
      </c>
      <c r="AJ168" s="36" t="e">
        <f ca="1">_xll.BDP($AD168,AJ$10,"BEST_FPERIOD_OVERRIDE=1TY","EQY_FUND_CRNCY=USD","FA_ADJUSTED=Y")</f>
        <v>#NAME?</v>
      </c>
      <c r="AK168" s="44" t="e">
        <f t="shared" ca="1" si="29"/>
        <v>#NAME?</v>
      </c>
      <c r="AL168" s="36" t="e">
        <f ca="1">_xll.BDP($AD168,AL$10,"EQY_FUND_CRNCY=USD","FA_ADJUSTED=Y")</f>
        <v>#NAME?</v>
      </c>
      <c r="AM168" s="36" t="e">
        <f ca="1">_xll.BDP($AD168,AM$10,"BEST_FPERIOD_OVERRIDE=1TY","EQY_FUND_CRNCY=USD","FA_ADJUSTED=Y")</f>
        <v>#NAME?</v>
      </c>
      <c r="AN168" s="36" t="e">
        <f ca="1">_xll.BDP($AD168,AN$10,"BEST_FPERIOD_OVERRIDE=1TY","EQY_FUND_CRNCY=USD","FA_ADJUSTED=Y")</f>
        <v>#NAME?</v>
      </c>
      <c r="AO168" s="36" t="e">
        <f ca="1">_xll.BDP($AD168,AO$10,"BEST_FPERIOD_OVERRIDE=1TY","EQY_FUND_CRNCY=USD","FA_ADJUSTED=Y")</f>
        <v>#NAME?</v>
      </c>
      <c r="AP168" s="36" t="e">
        <f ca="1">_xll.BDP($AD168,AP$10,"BEST_FPERIOD_OVERRIDE=1TY","EQY_FUND_CRNCY=USD","FA_ADJUSTED=Y")</f>
        <v>#NAME?</v>
      </c>
      <c r="AQ168" s="36" t="e">
        <f ca="1">_xll.BDP($AD168,AQ$10,"EQY_FUND_CRNCY=USD","FA_ADJUSTED=Y")</f>
        <v>#NAME?</v>
      </c>
      <c r="AR168" s="36" t="e">
        <f ca="1">_xll.BDP($AD168,AR$10,"BEST_FPERIOD_OVERRIDE=1TY","EQY_FUND_CRNCY=USD","FA_ADJUSTED=Y")</f>
        <v>#NAME?</v>
      </c>
      <c r="AS168" s="36" t="e">
        <f ca="1">_xll.BDP($AD168,AS$10,"EQY_FUND_CRNCY=USD","FA_ADJUSTED=Y")</f>
        <v>#NAME?</v>
      </c>
      <c r="AT168" s="36" t="e">
        <f ca="1">_xll.BDP($AD168,AT$10,"BEST_FPERIOD_OVERRIDE=1TY","EQY_FUND_CRNCY=USD","FA_ADJUSTED=Y")</f>
        <v>#NAME?</v>
      </c>
      <c r="AV168" s="1" t="s">
        <v>309</v>
      </c>
      <c r="AW168" s="1" t="s">
        <v>310</v>
      </c>
      <c r="AX168" s="36" t="s">
        <v>506</v>
      </c>
      <c r="AY168" s="36">
        <v>941.15639999999996</v>
      </c>
      <c r="AZ168" s="36">
        <v>768.43140000000005</v>
      </c>
      <c r="BA168" s="36">
        <v>347.22800000000001</v>
      </c>
      <c r="BB168" s="36">
        <v>324.12</v>
      </c>
      <c r="BC168" s="44">
        <v>-6.6549932609121343E-2</v>
      </c>
      <c r="BD168" s="36">
        <v>141.53299899291994</v>
      </c>
      <c r="BE168" s="36">
        <v>38.58</v>
      </c>
      <c r="BF168" s="36">
        <v>0</v>
      </c>
      <c r="BG168" s="36" t="s">
        <v>480</v>
      </c>
      <c r="BH168" s="36" t="s">
        <v>480</v>
      </c>
      <c r="BI168" s="36">
        <v>88.400999999999996</v>
      </c>
      <c r="BJ168" s="36">
        <v>68.400000000000006</v>
      </c>
      <c r="BK168" s="36">
        <v>57.685500000000005</v>
      </c>
      <c r="BL168" s="36">
        <v>45.496000000000002</v>
      </c>
    </row>
    <row r="169" spans="30:64" x14ac:dyDescent="0.2">
      <c r="AD169" s="1" t="s">
        <v>311</v>
      </c>
      <c r="AE169" s="1" t="s">
        <v>312</v>
      </c>
      <c r="AF169" s="36" t="e">
        <f ca="1">_xll.BDP($AD169,AF$10)</f>
        <v>#NAME?</v>
      </c>
      <c r="AG169" s="36" t="e">
        <f ca="1">_xll.BDH($AD169,AG$10,$C$5,$C$5,"EQY_FUND_CRNCY=USD")</f>
        <v>#NAME?</v>
      </c>
      <c r="AH169" s="36" t="e">
        <f ca="1">_xll.BDH($AD169,AH$10,$C$5,$C$5,"EQY_FUND_CRNCY=USD")</f>
        <v>#NAME?</v>
      </c>
      <c r="AI169" s="36" t="e">
        <f ca="1">_xll.BDP($AD169,AI$10,"EQY_FUND_CRNCY=USD","FA_ADJUSTED=Y")</f>
        <v>#NAME?</v>
      </c>
      <c r="AJ169" s="36" t="e">
        <f ca="1">_xll.BDP($AD169,AJ$10,"BEST_FPERIOD_OVERRIDE=1TY","EQY_FUND_CRNCY=USD","FA_ADJUSTED=Y")</f>
        <v>#NAME?</v>
      </c>
      <c r="AK169" s="44" t="e">
        <f t="shared" ca="1" si="29"/>
        <v>#NAME?</v>
      </c>
      <c r="AL169" s="36" t="e">
        <f ca="1">_xll.BDP($AD169,AL$10,"EQY_FUND_CRNCY=USD","FA_ADJUSTED=Y")</f>
        <v>#NAME?</v>
      </c>
      <c r="AM169" s="36" t="e">
        <f ca="1">_xll.BDP($AD169,AM$10,"BEST_FPERIOD_OVERRIDE=1TY","EQY_FUND_CRNCY=USD","FA_ADJUSTED=Y")</f>
        <v>#NAME?</v>
      </c>
      <c r="AN169" s="36" t="e">
        <f ca="1">_xll.BDP($AD169,AN$10,"BEST_FPERIOD_OVERRIDE=1TY","EQY_FUND_CRNCY=USD","FA_ADJUSTED=Y")</f>
        <v>#NAME?</v>
      </c>
      <c r="AO169" s="36" t="e">
        <f ca="1">_xll.BDP($AD169,AO$10,"BEST_FPERIOD_OVERRIDE=1TY","EQY_FUND_CRNCY=USD","FA_ADJUSTED=Y")</f>
        <v>#NAME?</v>
      </c>
      <c r="AP169" s="36" t="e">
        <f ca="1">_xll.BDP($AD169,AP$10,"BEST_FPERIOD_OVERRIDE=1TY","EQY_FUND_CRNCY=USD","FA_ADJUSTED=Y")</f>
        <v>#NAME?</v>
      </c>
      <c r="AQ169" s="36" t="e">
        <f ca="1">_xll.BDP($AD169,AQ$10,"EQY_FUND_CRNCY=USD","FA_ADJUSTED=Y")</f>
        <v>#NAME?</v>
      </c>
      <c r="AR169" s="36" t="e">
        <f ca="1">_xll.BDP($AD169,AR$10,"BEST_FPERIOD_OVERRIDE=1TY","EQY_FUND_CRNCY=USD","FA_ADJUSTED=Y")</f>
        <v>#NAME?</v>
      </c>
      <c r="AS169" s="36" t="e">
        <f ca="1">_xll.BDP($AD169,AS$10,"EQY_FUND_CRNCY=USD","FA_ADJUSTED=Y")</f>
        <v>#NAME?</v>
      </c>
      <c r="AT169" s="36" t="e">
        <f ca="1">_xll.BDP($AD169,AT$10,"BEST_FPERIOD_OVERRIDE=1TY","EQY_FUND_CRNCY=USD","FA_ADJUSTED=Y")</f>
        <v>#NAME?</v>
      </c>
      <c r="AV169" s="2" t="s">
        <v>311</v>
      </c>
      <c r="AW169" s="2" t="s">
        <v>312</v>
      </c>
      <c r="AX169" s="2" t="s">
        <v>506</v>
      </c>
      <c r="AY169" s="2">
        <v>841.37490000000003</v>
      </c>
      <c r="AZ169" s="2">
        <v>841.87649999999996</v>
      </c>
      <c r="BA169" s="2">
        <v>0</v>
      </c>
      <c r="BB169" s="2" t="s">
        <v>480</v>
      </c>
      <c r="BC169" s="2" t="e">
        <v>#VALUE!</v>
      </c>
      <c r="BD169" s="2">
        <v>0</v>
      </c>
      <c r="BE169" s="2" t="s">
        <v>480</v>
      </c>
      <c r="BF169" s="2">
        <v>0</v>
      </c>
      <c r="BG169" s="2" t="s">
        <v>480</v>
      </c>
      <c r="BH169" s="2">
        <v>0.12</v>
      </c>
      <c r="BI169" s="2" t="s">
        <v>480</v>
      </c>
      <c r="BJ169" s="2" t="s">
        <v>480</v>
      </c>
      <c r="BK169" s="2">
        <v>-0.17027000000000003</v>
      </c>
      <c r="BL169" s="2" t="s">
        <v>480</v>
      </c>
    </row>
    <row r="170" spans="30:64" x14ac:dyDescent="0.2">
      <c r="AD170" s="1" t="s">
        <v>313</v>
      </c>
      <c r="AE170" s="1" t="s">
        <v>314</v>
      </c>
      <c r="AF170" s="36" t="e">
        <f ca="1">_xll.BDP($AD170,AF$10)</f>
        <v>#NAME?</v>
      </c>
      <c r="AG170" s="36" t="e">
        <f ca="1">_xll.BDH($AD170,AG$10,$C$5,$C$5,"EQY_FUND_CRNCY=USD")</f>
        <v>#NAME?</v>
      </c>
      <c r="AH170" s="36" t="e">
        <f ca="1">_xll.BDH($AD170,AH$10,$C$5,$C$5,"EQY_FUND_CRNCY=USD")</f>
        <v>#NAME?</v>
      </c>
      <c r="AI170" s="36" t="e">
        <f ca="1">_xll.BDP($AD170,AI$10,"EQY_FUND_CRNCY=USD","FA_ADJUSTED=Y")</f>
        <v>#NAME?</v>
      </c>
      <c r="AJ170" s="36" t="e">
        <f ca="1">_xll.BDP($AD170,AJ$10,"BEST_FPERIOD_OVERRIDE=1TY","EQY_FUND_CRNCY=USD","FA_ADJUSTED=Y")</f>
        <v>#NAME?</v>
      </c>
      <c r="AK170" s="44" t="e">
        <f t="shared" ca="1" si="29"/>
        <v>#NAME?</v>
      </c>
      <c r="AL170" s="36" t="e">
        <f ca="1">_xll.BDP($AD170,AL$10,"EQY_FUND_CRNCY=USD","FA_ADJUSTED=Y")</f>
        <v>#NAME?</v>
      </c>
      <c r="AM170" s="36" t="e">
        <f ca="1">_xll.BDP($AD170,AM$10,"BEST_FPERIOD_OVERRIDE=1TY","EQY_FUND_CRNCY=USD","FA_ADJUSTED=Y")</f>
        <v>#NAME?</v>
      </c>
      <c r="AN170" s="36" t="e">
        <f ca="1">_xll.BDP($AD170,AN$10,"BEST_FPERIOD_OVERRIDE=1TY","EQY_FUND_CRNCY=USD","FA_ADJUSTED=Y")</f>
        <v>#NAME?</v>
      </c>
      <c r="AO170" s="36" t="e">
        <f ca="1">_xll.BDP($AD170,AO$10,"BEST_FPERIOD_OVERRIDE=1TY","EQY_FUND_CRNCY=USD","FA_ADJUSTED=Y")</f>
        <v>#NAME?</v>
      </c>
      <c r="AP170" s="36" t="e">
        <f ca="1">_xll.BDP($AD170,AP$10,"BEST_FPERIOD_OVERRIDE=1TY","EQY_FUND_CRNCY=USD","FA_ADJUSTED=Y")</f>
        <v>#NAME?</v>
      </c>
      <c r="AQ170" s="36" t="e">
        <f ca="1">_xll.BDP($AD170,AQ$10,"EQY_FUND_CRNCY=USD","FA_ADJUSTED=Y")</f>
        <v>#NAME?</v>
      </c>
      <c r="AR170" s="36" t="e">
        <f ca="1">_xll.BDP($AD170,AR$10,"BEST_FPERIOD_OVERRIDE=1TY","EQY_FUND_CRNCY=USD","FA_ADJUSTED=Y")</f>
        <v>#NAME?</v>
      </c>
      <c r="AS170" s="36" t="e">
        <f ca="1">_xll.BDP($AD170,AS$10,"EQY_FUND_CRNCY=USD","FA_ADJUSTED=Y")</f>
        <v>#NAME?</v>
      </c>
      <c r="AT170" s="36" t="e">
        <f ca="1">_xll.BDP($AD170,AT$10,"BEST_FPERIOD_OVERRIDE=1TY","EQY_FUND_CRNCY=USD","FA_ADJUSTED=Y")</f>
        <v>#NAME?</v>
      </c>
      <c r="AV170" s="2" t="s">
        <v>313</v>
      </c>
      <c r="AW170" s="2" t="s">
        <v>314</v>
      </c>
      <c r="AX170" s="2" t="s">
        <v>495</v>
      </c>
      <c r="AY170" s="2">
        <v>810.56510000000003</v>
      </c>
      <c r="AZ170" s="2">
        <v>684.58810000000005</v>
      </c>
      <c r="BA170" s="2">
        <v>328.411</v>
      </c>
      <c r="BB170" s="2">
        <v>339.733</v>
      </c>
      <c r="BC170" s="2">
        <v>3.4475093708797866E-2</v>
      </c>
      <c r="BD170" s="2">
        <v>169.04300082397461</v>
      </c>
      <c r="BE170" s="2">
        <v>51.533000000000001</v>
      </c>
      <c r="BF170" s="2">
        <v>47.661000000000001</v>
      </c>
      <c r="BG170" s="2">
        <v>75.367999999999995</v>
      </c>
      <c r="BH170" s="2">
        <v>35.222000000000001</v>
      </c>
      <c r="BI170" s="2">
        <v>6.7769999999999992</v>
      </c>
      <c r="BJ170" s="2">
        <v>18.382999999999999</v>
      </c>
      <c r="BK170" s="2">
        <v>-1.2028757999999999</v>
      </c>
      <c r="BL170" s="2">
        <v>10.827</v>
      </c>
    </row>
    <row r="171" spans="30:64" x14ac:dyDescent="0.2">
      <c r="AD171" s="1" t="s">
        <v>315</v>
      </c>
      <c r="AE171" s="1" t="s">
        <v>316</v>
      </c>
      <c r="AF171" s="36" t="e">
        <f ca="1">_xll.BDP($AD171,AF$10)</f>
        <v>#NAME?</v>
      </c>
      <c r="AG171" s="36" t="e">
        <f ca="1">_xll.BDH($AD171,AG$10,$C$5,$C$5,"EQY_FUND_CRNCY=USD")</f>
        <v>#NAME?</v>
      </c>
      <c r="AH171" s="36" t="e">
        <f ca="1">_xll.BDH($AD171,AH$10,$C$5,$C$5,"EQY_FUND_CRNCY=USD")</f>
        <v>#NAME?</v>
      </c>
      <c r="AI171" s="36" t="e">
        <f ca="1">_xll.BDP($AD171,AI$10,"EQY_FUND_CRNCY=USD","FA_ADJUSTED=Y")</f>
        <v>#NAME?</v>
      </c>
      <c r="AJ171" s="36" t="e">
        <f ca="1">_xll.BDP($AD171,AJ$10,"BEST_FPERIOD_OVERRIDE=1TY","EQY_FUND_CRNCY=USD","FA_ADJUSTED=Y")</f>
        <v>#NAME?</v>
      </c>
      <c r="AK171" s="44" t="e">
        <f t="shared" ca="1" si="29"/>
        <v>#NAME?</v>
      </c>
      <c r="AL171" s="36" t="e">
        <f ca="1">_xll.BDP($AD171,AL$10,"EQY_FUND_CRNCY=USD","FA_ADJUSTED=Y")</f>
        <v>#NAME?</v>
      </c>
      <c r="AM171" s="36" t="e">
        <f ca="1">_xll.BDP($AD171,AM$10,"BEST_FPERIOD_OVERRIDE=1TY","EQY_FUND_CRNCY=USD","FA_ADJUSTED=Y")</f>
        <v>#NAME?</v>
      </c>
      <c r="AN171" s="36" t="e">
        <f ca="1">_xll.BDP($AD171,AN$10,"BEST_FPERIOD_OVERRIDE=1TY","EQY_FUND_CRNCY=USD","FA_ADJUSTED=Y")</f>
        <v>#NAME?</v>
      </c>
      <c r="AO171" s="36" t="e">
        <f ca="1">_xll.BDP($AD171,AO$10,"BEST_FPERIOD_OVERRIDE=1TY","EQY_FUND_CRNCY=USD","FA_ADJUSTED=Y")</f>
        <v>#NAME?</v>
      </c>
      <c r="AP171" s="36" t="e">
        <f ca="1">_xll.BDP($AD171,AP$10,"BEST_FPERIOD_OVERRIDE=1TY","EQY_FUND_CRNCY=USD","FA_ADJUSTED=Y")</f>
        <v>#NAME?</v>
      </c>
      <c r="AQ171" s="36" t="e">
        <f ca="1">_xll.BDP($AD171,AQ$10,"EQY_FUND_CRNCY=USD","FA_ADJUSTED=Y")</f>
        <v>#NAME?</v>
      </c>
      <c r="AR171" s="36" t="e">
        <f ca="1">_xll.BDP($AD171,AR$10,"BEST_FPERIOD_OVERRIDE=1TY","EQY_FUND_CRNCY=USD","FA_ADJUSTED=Y")</f>
        <v>#NAME?</v>
      </c>
      <c r="AS171" s="36" t="e">
        <f ca="1">_xll.BDP($AD171,AS$10,"EQY_FUND_CRNCY=USD","FA_ADJUSTED=Y")</f>
        <v>#NAME?</v>
      </c>
      <c r="AT171" s="36" t="e">
        <f ca="1">_xll.BDP($AD171,AT$10,"BEST_FPERIOD_OVERRIDE=1TY","EQY_FUND_CRNCY=USD","FA_ADJUSTED=Y")</f>
        <v>#NAME?</v>
      </c>
      <c r="AV171" s="2" t="s">
        <v>315</v>
      </c>
      <c r="AW171" s="2" t="s">
        <v>316</v>
      </c>
      <c r="AX171" s="2" t="s">
        <v>506</v>
      </c>
      <c r="AY171" s="2">
        <v>783.20150000000001</v>
      </c>
      <c r="AZ171" s="2">
        <v>386.01310000000001</v>
      </c>
      <c r="BA171" s="2">
        <v>421.69007902324608</v>
      </c>
      <c r="BB171" s="2">
        <v>255.601</v>
      </c>
      <c r="BC171" s="2">
        <v>-0.39386527519915937</v>
      </c>
      <c r="BD171" s="2">
        <v>218.75141071311592</v>
      </c>
      <c r="BE171" s="2" t="s">
        <v>480</v>
      </c>
      <c r="BF171" s="2">
        <v>0</v>
      </c>
      <c r="BG171" s="2" t="s">
        <v>480</v>
      </c>
      <c r="BH171" s="2" t="s">
        <v>480</v>
      </c>
      <c r="BI171" s="2">
        <v>81.622901835776418</v>
      </c>
      <c r="BJ171" s="2">
        <v>78.579000000000008</v>
      </c>
      <c r="BK171" s="2">
        <v>54.138304797875108</v>
      </c>
      <c r="BL171" s="2">
        <v>50.417999999999999</v>
      </c>
    </row>
    <row r="172" spans="30:64" x14ac:dyDescent="0.2">
      <c r="AD172" s="1" t="s">
        <v>317</v>
      </c>
      <c r="AE172" s="1" t="s">
        <v>318</v>
      </c>
      <c r="AF172" s="36" t="e">
        <f ca="1">_xll.BDP($AD172,AF$10)</f>
        <v>#NAME?</v>
      </c>
      <c r="AG172" s="36" t="e">
        <f ca="1">_xll.BDH($AD172,AG$10,$C$5,$C$5,"EQY_FUND_CRNCY=USD")</f>
        <v>#NAME?</v>
      </c>
      <c r="AH172" s="36" t="e">
        <f ca="1">_xll.BDH($AD172,AH$10,$C$5,$C$5,"EQY_FUND_CRNCY=USD")</f>
        <v>#NAME?</v>
      </c>
      <c r="AI172" s="36" t="e">
        <f ca="1">_xll.BDP($AD172,AI$10,"EQY_FUND_CRNCY=USD","FA_ADJUSTED=Y")</f>
        <v>#NAME?</v>
      </c>
      <c r="AJ172" s="36" t="e">
        <f ca="1">_xll.BDP($AD172,AJ$10,"BEST_FPERIOD_OVERRIDE=1TY","EQY_FUND_CRNCY=USD","FA_ADJUSTED=Y")</f>
        <v>#NAME?</v>
      </c>
      <c r="AK172" s="44" t="e">
        <f t="shared" ca="1" si="29"/>
        <v>#NAME?</v>
      </c>
      <c r="AL172" s="36" t="e">
        <f ca="1">_xll.BDP($AD172,AL$10,"EQY_FUND_CRNCY=USD","FA_ADJUSTED=Y")</f>
        <v>#NAME?</v>
      </c>
      <c r="AM172" s="36" t="e">
        <f ca="1">_xll.BDP($AD172,AM$10,"BEST_FPERIOD_OVERRIDE=1TY","EQY_FUND_CRNCY=USD","FA_ADJUSTED=Y")</f>
        <v>#NAME?</v>
      </c>
      <c r="AN172" s="36" t="e">
        <f ca="1">_xll.BDP($AD172,AN$10,"BEST_FPERIOD_OVERRIDE=1TY","EQY_FUND_CRNCY=USD","FA_ADJUSTED=Y")</f>
        <v>#NAME?</v>
      </c>
      <c r="AO172" s="36" t="e">
        <f ca="1">_xll.BDP($AD172,AO$10,"BEST_FPERIOD_OVERRIDE=1TY","EQY_FUND_CRNCY=USD","FA_ADJUSTED=Y")</f>
        <v>#NAME?</v>
      </c>
      <c r="AP172" s="36" t="e">
        <f ca="1">_xll.BDP($AD172,AP$10,"BEST_FPERIOD_OVERRIDE=1TY","EQY_FUND_CRNCY=USD","FA_ADJUSTED=Y")</f>
        <v>#NAME?</v>
      </c>
      <c r="AQ172" s="36" t="e">
        <f ca="1">_xll.BDP($AD172,AQ$10,"EQY_FUND_CRNCY=USD","FA_ADJUSTED=Y")</f>
        <v>#NAME?</v>
      </c>
      <c r="AR172" s="36" t="e">
        <f ca="1">_xll.BDP($AD172,AR$10,"BEST_FPERIOD_OVERRIDE=1TY","EQY_FUND_CRNCY=USD","FA_ADJUSTED=Y")</f>
        <v>#NAME?</v>
      </c>
      <c r="AS172" s="36" t="e">
        <f ca="1">_xll.BDP($AD172,AS$10,"EQY_FUND_CRNCY=USD","FA_ADJUSTED=Y")</f>
        <v>#NAME?</v>
      </c>
      <c r="AT172" s="36" t="e">
        <f ca="1">_xll.BDP($AD172,AT$10,"BEST_FPERIOD_OVERRIDE=1TY","EQY_FUND_CRNCY=USD","FA_ADJUSTED=Y")</f>
        <v>#NAME?</v>
      </c>
      <c r="AV172" s="2" t="s">
        <v>317</v>
      </c>
      <c r="AW172" s="2" t="s">
        <v>318</v>
      </c>
      <c r="AX172" s="2" t="s">
        <v>495</v>
      </c>
      <c r="AY172" s="2">
        <v>759.13250000000005</v>
      </c>
      <c r="AZ172" s="2">
        <v>759.31349999999998</v>
      </c>
      <c r="BA172" s="2">
        <v>242.89300000000003</v>
      </c>
      <c r="BB172" s="2">
        <v>247.21700000000001</v>
      </c>
      <c r="BC172" s="2">
        <v>1.7802077457975241E-2</v>
      </c>
      <c r="BD172" s="2">
        <v>197.1649987182617</v>
      </c>
      <c r="BE172" s="2" t="s">
        <v>480</v>
      </c>
      <c r="BF172" s="2">
        <v>37.662999999999997</v>
      </c>
      <c r="BG172" s="2">
        <v>91.507999999999996</v>
      </c>
      <c r="BH172" s="2">
        <v>46.557000000000002</v>
      </c>
      <c r="BI172" s="2">
        <v>40.060203810127</v>
      </c>
      <c r="BJ172" s="2">
        <v>71.650000000000006</v>
      </c>
      <c r="BK172" s="2">
        <v>15.346821010000001</v>
      </c>
      <c r="BL172" s="2">
        <v>29.908000000000001</v>
      </c>
    </row>
    <row r="173" spans="30:64" x14ac:dyDescent="0.2">
      <c r="AD173" s="1" t="s">
        <v>319</v>
      </c>
      <c r="AE173" s="1" t="s">
        <v>320</v>
      </c>
      <c r="AF173" s="36" t="e">
        <f ca="1">_xll.BDP($AD173,AF$10)</f>
        <v>#NAME?</v>
      </c>
      <c r="AG173" s="36" t="e">
        <f ca="1">_xll.BDH($AD173,AG$10,$C$5,$C$5,"EQY_FUND_CRNCY=USD")</f>
        <v>#NAME?</v>
      </c>
      <c r="AH173" s="36" t="e">
        <f ca="1">_xll.BDH($AD173,AH$10,$C$5,$C$5,"EQY_FUND_CRNCY=USD")</f>
        <v>#NAME?</v>
      </c>
      <c r="AI173" s="36" t="e">
        <f ca="1">_xll.BDP($AD173,AI$10,"EQY_FUND_CRNCY=USD","FA_ADJUSTED=Y")</f>
        <v>#NAME?</v>
      </c>
      <c r="AJ173" s="36" t="e">
        <f ca="1">_xll.BDP($AD173,AJ$10,"BEST_FPERIOD_OVERRIDE=1TY","EQY_FUND_CRNCY=USD","FA_ADJUSTED=Y")</f>
        <v>#NAME?</v>
      </c>
      <c r="AK173" s="44" t="e">
        <f t="shared" ca="1" si="29"/>
        <v>#NAME?</v>
      </c>
      <c r="AL173" s="36" t="e">
        <f ca="1">_xll.BDP($AD173,AL$10,"EQY_FUND_CRNCY=USD","FA_ADJUSTED=Y")</f>
        <v>#NAME?</v>
      </c>
      <c r="AM173" s="36" t="e">
        <f ca="1">_xll.BDP($AD173,AM$10,"BEST_FPERIOD_OVERRIDE=1TY","EQY_FUND_CRNCY=USD","FA_ADJUSTED=Y")</f>
        <v>#NAME?</v>
      </c>
      <c r="AN173" s="36" t="e">
        <f ca="1">_xll.BDP($AD173,AN$10,"BEST_FPERIOD_OVERRIDE=1TY","EQY_FUND_CRNCY=USD","FA_ADJUSTED=Y")</f>
        <v>#NAME?</v>
      </c>
      <c r="AO173" s="36" t="e">
        <f ca="1">_xll.BDP($AD173,AO$10,"BEST_FPERIOD_OVERRIDE=1TY","EQY_FUND_CRNCY=USD","FA_ADJUSTED=Y")</f>
        <v>#NAME?</v>
      </c>
      <c r="AP173" s="36" t="e">
        <f ca="1">_xll.BDP($AD173,AP$10,"BEST_FPERIOD_OVERRIDE=1TY","EQY_FUND_CRNCY=USD","FA_ADJUSTED=Y")</f>
        <v>#NAME?</v>
      </c>
      <c r="AQ173" s="36" t="e">
        <f ca="1">_xll.BDP($AD173,AQ$10,"EQY_FUND_CRNCY=USD","FA_ADJUSTED=Y")</f>
        <v>#NAME?</v>
      </c>
      <c r="AR173" s="36" t="e">
        <f ca="1">_xll.BDP($AD173,AR$10,"BEST_FPERIOD_OVERRIDE=1TY","EQY_FUND_CRNCY=USD","FA_ADJUSTED=Y")</f>
        <v>#NAME?</v>
      </c>
      <c r="AS173" s="36" t="e">
        <f ca="1">_xll.BDP($AD173,AS$10,"EQY_FUND_CRNCY=USD","FA_ADJUSTED=Y")</f>
        <v>#NAME?</v>
      </c>
      <c r="AT173" s="36" t="e">
        <f ca="1">_xll.BDP($AD173,AT$10,"BEST_FPERIOD_OVERRIDE=1TY","EQY_FUND_CRNCY=USD","FA_ADJUSTED=Y")</f>
        <v>#NAME?</v>
      </c>
      <c r="AV173" s="2" t="s">
        <v>319</v>
      </c>
      <c r="AW173" s="2" t="s">
        <v>320</v>
      </c>
      <c r="AX173" s="2" t="s">
        <v>506</v>
      </c>
      <c r="AY173" s="2">
        <v>737.6653</v>
      </c>
      <c r="AZ173" s="2">
        <v>611.46230000000003</v>
      </c>
      <c r="BA173" s="2">
        <v>144.40199999999999</v>
      </c>
      <c r="BB173" s="2" t="s">
        <v>480</v>
      </c>
      <c r="BC173" s="2" t="e">
        <v>#VALUE!</v>
      </c>
      <c r="BD173" s="2" t="s">
        <v>480</v>
      </c>
      <c r="BE173" s="2" t="s">
        <v>480</v>
      </c>
      <c r="BF173" s="2" t="s">
        <v>480</v>
      </c>
      <c r="BG173" s="2" t="s">
        <v>480</v>
      </c>
      <c r="BH173" s="2" t="s">
        <v>480</v>
      </c>
      <c r="BI173" s="2">
        <v>51.265000000000001</v>
      </c>
      <c r="BJ173" s="2" t="s">
        <v>480</v>
      </c>
      <c r="BK173" s="2">
        <v>29.619</v>
      </c>
      <c r="BL173" s="2" t="s">
        <v>480</v>
      </c>
    </row>
    <row r="174" spans="30:64" x14ac:dyDescent="0.2">
      <c r="AD174" s="1" t="s">
        <v>321</v>
      </c>
      <c r="AE174" s="1" t="s">
        <v>322</v>
      </c>
      <c r="AF174" s="36" t="e">
        <f ca="1">_xll.BDP($AD174,AF$10)</f>
        <v>#NAME?</v>
      </c>
      <c r="AG174" s="36" t="e">
        <f ca="1">_xll.BDH($AD174,AG$10,$C$5,$C$5,"EQY_FUND_CRNCY=USD")</f>
        <v>#NAME?</v>
      </c>
      <c r="AH174" s="36" t="e">
        <f ca="1">_xll.BDH($AD174,AH$10,$C$5,$C$5,"EQY_FUND_CRNCY=USD")</f>
        <v>#NAME?</v>
      </c>
      <c r="AI174" s="36" t="e">
        <f ca="1">_xll.BDP($AD174,AI$10,"EQY_FUND_CRNCY=USD","FA_ADJUSTED=Y")</f>
        <v>#NAME?</v>
      </c>
      <c r="AJ174" s="36" t="e">
        <f ca="1">_xll.BDP($AD174,AJ$10,"BEST_FPERIOD_OVERRIDE=1TY","EQY_FUND_CRNCY=USD","FA_ADJUSTED=Y")</f>
        <v>#NAME?</v>
      </c>
      <c r="AK174" s="44" t="e">
        <f t="shared" ca="1" si="29"/>
        <v>#NAME?</v>
      </c>
      <c r="AL174" s="36" t="e">
        <f ca="1">_xll.BDP($AD174,AL$10,"EQY_FUND_CRNCY=USD","FA_ADJUSTED=Y")</f>
        <v>#NAME?</v>
      </c>
      <c r="AM174" s="36" t="e">
        <f ca="1">_xll.BDP($AD174,AM$10,"BEST_FPERIOD_OVERRIDE=1TY","EQY_FUND_CRNCY=USD","FA_ADJUSTED=Y")</f>
        <v>#NAME?</v>
      </c>
      <c r="AN174" s="36" t="e">
        <f ca="1">_xll.BDP($AD174,AN$10,"BEST_FPERIOD_OVERRIDE=1TY","EQY_FUND_CRNCY=USD","FA_ADJUSTED=Y")</f>
        <v>#NAME?</v>
      </c>
      <c r="AO174" s="36" t="e">
        <f ca="1">_xll.BDP($AD174,AO$10,"BEST_FPERIOD_OVERRIDE=1TY","EQY_FUND_CRNCY=USD","FA_ADJUSTED=Y")</f>
        <v>#NAME?</v>
      </c>
      <c r="AP174" s="36" t="e">
        <f ca="1">_xll.BDP($AD174,AP$10,"BEST_FPERIOD_OVERRIDE=1TY","EQY_FUND_CRNCY=USD","FA_ADJUSTED=Y")</f>
        <v>#NAME?</v>
      </c>
      <c r="AQ174" s="36" t="e">
        <f ca="1">_xll.BDP($AD174,AQ$10,"EQY_FUND_CRNCY=USD","FA_ADJUSTED=Y")</f>
        <v>#NAME?</v>
      </c>
      <c r="AR174" s="36" t="e">
        <f ca="1">_xll.BDP($AD174,AR$10,"BEST_FPERIOD_OVERRIDE=1TY","EQY_FUND_CRNCY=USD","FA_ADJUSTED=Y")</f>
        <v>#NAME?</v>
      </c>
      <c r="AS174" s="36" t="e">
        <f ca="1">_xll.BDP($AD174,AS$10,"EQY_FUND_CRNCY=USD","FA_ADJUSTED=Y")</f>
        <v>#NAME?</v>
      </c>
      <c r="AT174" s="36" t="e">
        <f ca="1">_xll.BDP($AD174,AT$10,"BEST_FPERIOD_OVERRIDE=1TY","EQY_FUND_CRNCY=USD","FA_ADJUSTED=Y")</f>
        <v>#NAME?</v>
      </c>
      <c r="AV174" s="2" t="s">
        <v>321</v>
      </c>
      <c r="AW174" s="2" t="s">
        <v>322</v>
      </c>
      <c r="AX174" s="2" t="s">
        <v>495</v>
      </c>
      <c r="AY174" s="2">
        <v>729.69579999999996</v>
      </c>
      <c r="AZ174" s="2">
        <v>702.59379999999999</v>
      </c>
      <c r="BA174" s="2">
        <v>128.893</v>
      </c>
      <c r="BB174" s="2" t="s">
        <v>480</v>
      </c>
      <c r="BC174" s="2" t="e">
        <v>#VALUE!</v>
      </c>
      <c r="BD174" s="2" t="s">
        <v>480</v>
      </c>
      <c r="BE174" s="2" t="s">
        <v>480</v>
      </c>
      <c r="BF174" s="2">
        <v>0</v>
      </c>
      <c r="BG174" s="2" t="s">
        <v>480</v>
      </c>
      <c r="BH174" s="2" t="s">
        <v>480</v>
      </c>
      <c r="BI174" s="2">
        <v>30.082999999999998</v>
      </c>
      <c r="BJ174" s="2" t="s">
        <v>480</v>
      </c>
      <c r="BK174" s="2">
        <v>8.17</v>
      </c>
      <c r="BL174" s="2" t="s">
        <v>480</v>
      </c>
    </row>
    <row r="175" spans="30:64" x14ac:dyDescent="0.2">
      <c r="AD175" s="1" t="s">
        <v>323</v>
      </c>
      <c r="AE175" s="1" t="s">
        <v>324</v>
      </c>
      <c r="AF175" s="36" t="e">
        <f ca="1">_xll.BDP($AD175,AF$10)</f>
        <v>#NAME?</v>
      </c>
      <c r="AG175" s="36" t="e">
        <f ca="1">_xll.BDH($AD175,AG$10,$C$5,$C$5,"EQY_FUND_CRNCY=USD")</f>
        <v>#NAME?</v>
      </c>
      <c r="AH175" s="36" t="e">
        <f ca="1">_xll.BDH($AD175,AH$10,$C$5,$C$5,"EQY_FUND_CRNCY=USD")</f>
        <v>#NAME?</v>
      </c>
      <c r="AI175" s="36" t="e">
        <f ca="1">_xll.BDP($AD175,AI$10,"EQY_FUND_CRNCY=USD","FA_ADJUSTED=Y")</f>
        <v>#NAME?</v>
      </c>
      <c r="AJ175" s="36" t="e">
        <f ca="1">_xll.BDP($AD175,AJ$10,"BEST_FPERIOD_OVERRIDE=1TY","EQY_FUND_CRNCY=USD","FA_ADJUSTED=Y")</f>
        <v>#NAME?</v>
      </c>
      <c r="AK175" s="44" t="e">
        <f t="shared" ca="1" si="29"/>
        <v>#NAME?</v>
      </c>
      <c r="AL175" s="36" t="e">
        <f ca="1">_xll.BDP($AD175,AL$10,"EQY_FUND_CRNCY=USD","FA_ADJUSTED=Y")</f>
        <v>#NAME?</v>
      </c>
      <c r="AM175" s="36" t="e">
        <f ca="1">_xll.BDP($AD175,AM$10,"BEST_FPERIOD_OVERRIDE=1TY","EQY_FUND_CRNCY=USD","FA_ADJUSTED=Y")</f>
        <v>#NAME?</v>
      </c>
      <c r="AN175" s="36" t="e">
        <f ca="1">_xll.BDP($AD175,AN$10,"BEST_FPERIOD_OVERRIDE=1TY","EQY_FUND_CRNCY=USD","FA_ADJUSTED=Y")</f>
        <v>#NAME?</v>
      </c>
      <c r="AO175" s="36" t="e">
        <f ca="1">_xll.BDP($AD175,AO$10,"BEST_FPERIOD_OVERRIDE=1TY","EQY_FUND_CRNCY=USD","FA_ADJUSTED=Y")</f>
        <v>#NAME?</v>
      </c>
      <c r="AP175" s="36" t="e">
        <f ca="1">_xll.BDP($AD175,AP$10,"BEST_FPERIOD_OVERRIDE=1TY","EQY_FUND_CRNCY=USD","FA_ADJUSTED=Y")</f>
        <v>#NAME?</v>
      </c>
      <c r="AQ175" s="36" t="e">
        <f ca="1">_xll.BDP($AD175,AQ$10,"EQY_FUND_CRNCY=USD","FA_ADJUSTED=Y")</f>
        <v>#NAME?</v>
      </c>
      <c r="AR175" s="36" t="e">
        <f ca="1">_xll.BDP($AD175,AR$10,"BEST_FPERIOD_OVERRIDE=1TY","EQY_FUND_CRNCY=USD","FA_ADJUSTED=Y")</f>
        <v>#NAME?</v>
      </c>
      <c r="AS175" s="36" t="e">
        <f ca="1">_xll.BDP($AD175,AS$10,"EQY_FUND_CRNCY=USD","FA_ADJUSTED=Y")</f>
        <v>#NAME?</v>
      </c>
      <c r="AT175" s="36" t="e">
        <f ca="1">_xll.BDP($AD175,AT$10,"BEST_FPERIOD_OVERRIDE=1TY","EQY_FUND_CRNCY=USD","FA_ADJUSTED=Y")</f>
        <v>#NAME?</v>
      </c>
      <c r="AV175" s="2" t="s">
        <v>323</v>
      </c>
      <c r="AW175" s="2" t="s">
        <v>324</v>
      </c>
      <c r="AX175" s="2" t="s">
        <v>506</v>
      </c>
      <c r="AY175" s="2">
        <v>711.58130000000006</v>
      </c>
      <c r="AZ175" s="2">
        <v>657.96730000000002</v>
      </c>
      <c r="BA175" s="2">
        <v>255.64399999999998</v>
      </c>
      <c r="BB175" s="2" t="s">
        <v>480</v>
      </c>
      <c r="BC175" s="2" t="e">
        <v>#VALUE!</v>
      </c>
      <c r="BD175" s="2" t="s">
        <v>480</v>
      </c>
      <c r="BE175" s="2" t="s">
        <v>480</v>
      </c>
      <c r="BF175" s="2">
        <v>0</v>
      </c>
      <c r="BG175" s="2" t="s">
        <v>480</v>
      </c>
      <c r="BH175" s="2" t="s">
        <v>480</v>
      </c>
      <c r="BI175" s="2">
        <v>71.396999999999991</v>
      </c>
      <c r="BJ175" s="2" t="s">
        <v>480</v>
      </c>
      <c r="BK175" s="2">
        <v>28.762373200000003</v>
      </c>
      <c r="BL175" s="2" t="s">
        <v>480</v>
      </c>
    </row>
    <row r="176" spans="30:64" x14ac:dyDescent="0.2">
      <c r="AD176" s="1" t="s">
        <v>325</v>
      </c>
      <c r="AE176" s="1" t="s">
        <v>326</v>
      </c>
      <c r="AF176" s="36" t="e">
        <f ca="1">_xll.BDP($AD176,AF$10)</f>
        <v>#NAME?</v>
      </c>
      <c r="AG176" s="36" t="e">
        <f ca="1">_xll.BDH($AD176,AG$10,$C$5,$C$5,"EQY_FUND_CRNCY=USD")</f>
        <v>#NAME?</v>
      </c>
      <c r="AH176" s="36" t="e">
        <f ca="1">_xll.BDH($AD176,AH$10,$C$5,$C$5,"EQY_FUND_CRNCY=USD")</f>
        <v>#NAME?</v>
      </c>
      <c r="AI176" s="36" t="e">
        <f ca="1">_xll.BDP($AD176,AI$10,"EQY_FUND_CRNCY=USD","FA_ADJUSTED=Y")</f>
        <v>#NAME?</v>
      </c>
      <c r="AJ176" s="36" t="e">
        <f ca="1">_xll.BDP($AD176,AJ$10,"BEST_FPERIOD_OVERRIDE=1TY","EQY_FUND_CRNCY=USD","FA_ADJUSTED=Y")</f>
        <v>#NAME?</v>
      </c>
      <c r="AK176" s="44" t="e">
        <f t="shared" ca="1" si="29"/>
        <v>#NAME?</v>
      </c>
      <c r="AL176" s="36" t="e">
        <f ca="1">_xll.BDP($AD176,AL$10,"EQY_FUND_CRNCY=USD","FA_ADJUSTED=Y")</f>
        <v>#NAME?</v>
      </c>
      <c r="AM176" s="36" t="e">
        <f ca="1">_xll.BDP($AD176,AM$10,"BEST_FPERIOD_OVERRIDE=1TY","EQY_FUND_CRNCY=USD","FA_ADJUSTED=Y")</f>
        <v>#NAME?</v>
      </c>
      <c r="AN176" s="36" t="e">
        <f ca="1">_xll.BDP($AD176,AN$10,"BEST_FPERIOD_OVERRIDE=1TY","EQY_FUND_CRNCY=USD","FA_ADJUSTED=Y")</f>
        <v>#NAME?</v>
      </c>
      <c r="AO176" s="36" t="e">
        <f ca="1">_xll.BDP($AD176,AO$10,"BEST_FPERIOD_OVERRIDE=1TY","EQY_FUND_CRNCY=USD","FA_ADJUSTED=Y")</f>
        <v>#NAME?</v>
      </c>
      <c r="AP176" s="36" t="e">
        <f ca="1">_xll.BDP($AD176,AP$10,"BEST_FPERIOD_OVERRIDE=1TY","EQY_FUND_CRNCY=USD","FA_ADJUSTED=Y")</f>
        <v>#NAME?</v>
      </c>
      <c r="AQ176" s="36" t="e">
        <f ca="1">_xll.BDP($AD176,AQ$10,"EQY_FUND_CRNCY=USD","FA_ADJUSTED=Y")</f>
        <v>#NAME?</v>
      </c>
      <c r="AR176" s="36" t="e">
        <f ca="1">_xll.BDP($AD176,AR$10,"BEST_FPERIOD_OVERRIDE=1TY","EQY_FUND_CRNCY=USD","FA_ADJUSTED=Y")</f>
        <v>#NAME?</v>
      </c>
      <c r="AS176" s="36" t="e">
        <f ca="1">_xll.BDP($AD176,AS$10,"EQY_FUND_CRNCY=USD","FA_ADJUSTED=Y")</f>
        <v>#NAME?</v>
      </c>
      <c r="AT176" s="36" t="e">
        <f ca="1">_xll.BDP($AD176,AT$10,"BEST_FPERIOD_OVERRIDE=1TY","EQY_FUND_CRNCY=USD","FA_ADJUSTED=Y")</f>
        <v>#NAME?</v>
      </c>
      <c r="AV176" s="2" t="s">
        <v>325</v>
      </c>
      <c r="AW176" s="2" t="s">
        <v>326</v>
      </c>
      <c r="AX176" s="2" t="s">
        <v>505</v>
      </c>
      <c r="AY176" s="2">
        <v>700.73019999999997</v>
      </c>
      <c r="AZ176" s="2">
        <v>599.29819999999995</v>
      </c>
      <c r="BA176" s="2">
        <v>200.61800000000002</v>
      </c>
      <c r="BB176" s="2">
        <v>222.86700000000002</v>
      </c>
      <c r="BC176" s="2">
        <v>0.1109023118563639</v>
      </c>
      <c r="BD176" s="2">
        <v>143.23199945068359</v>
      </c>
      <c r="BE176" s="2">
        <v>71.100000000000009</v>
      </c>
      <c r="BF176" s="2">
        <v>23.119</v>
      </c>
      <c r="BG176" s="2">
        <v>58.994</v>
      </c>
      <c r="BH176" s="2">
        <v>37.4</v>
      </c>
      <c r="BI176" s="2">
        <v>18.504999999999999</v>
      </c>
      <c r="BJ176" s="2">
        <v>16.056999999999999</v>
      </c>
      <c r="BK176" s="2">
        <v>7.2605520712620004</v>
      </c>
      <c r="BL176" s="2">
        <v>12.183</v>
      </c>
    </row>
    <row r="177" spans="30:64" x14ac:dyDescent="0.2">
      <c r="AD177" s="1" t="s">
        <v>327</v>
      </c>
      <c r="AE177" s="1" t="s">
        <v>328</v>
      </c>
      <c r="AF177" s="36" t="e">
        <f ca="1">_xll.BDP($AD177,AF$10)</f>
        <v>#NAME?</v>
      </c>
      <c r="AG177" s="36" t="e">
        <f ca="1">_xll.BDH($AD177,AG$10,$C$5,$C$5,"EQY_FUND_CRNCY=USD")</f>
        <v>#NAME?</v>
      </c>
      <c r="AH177" s="36" t="e">
        <f ca="1">_xll.BDH($AD177,AH$10,$C$5,$C$5,"EQY_FUND_CRNCY=USD")</f>
        <v>#NAME?</v>
      </c>
      <c r="AI177" s="36" t="e">
        <f ca="1">_xll.BDP($AD177,AI$10,"EQY_FUND_CRNCY=USD","FA_ADJUSTED=Y")</f>
        <v>#NAME?</v>
      </c>
      <c r="AJ177" s="36" t="e">
        <f ca="1">_xll.BDP($AD177,AJ$10,"BEST_FPERIOD_OVERRIDE=1TY","EQY_FUND_CRNCY=USD","FA_ADJUSTED=Y")</f>
        <v>#NAME?</v>
      </c>
      <c r="AK177" s="44" t="e">
        <f t="shared" ca="1" si="29"/>
        <v>#NAME?</v>
      </c>
      <c r="AL177" s="36" t="e">
        <f ca="1">_xll.BDP($AD177,AL$10,"EQY_FUND_CRNCY=USD","FA_ADJUSTED=Y")</f>
        <v>#NAME?</v>
      </c>
      <c r="AM177" s="36" t="e">
        <f ca="1">_xll.BDP($AD177,AM$10,"BEST_FPERIOD_OVERRIDE=1TY","EQY_FUND_CRNCY=USD","FA_ADJUSTED=Y")</f>
        <v>#NAME?</v>
      </c>
      <c r="AN177" s="36" t="e">
        <f ca="1">_xll.BDP($AD177,AN$10,"BEST_FPERIOD_OVERRIDE=1TY","EQY_FUND_CRNCY=USD","FA_ADJUSTED=Y")</f>
        <v>#NAME?</v>
      </c>
      <c r="AO177" s="36" t="e">
        <f ca="1">_xll.BDP($AD177,AO$10,"BEST_FPERIOD_OVERRIDE=1TY","EQY_FUND_CRNCY=USD","FA_ADJUSTED=Y")</f>
        <v>#NAME?</v>
      </c>
      <c r="AP177" s="36" t="e">
        <f ca="1">_xll.BDP($AD177,AP$10,"BEST_FPERIOD_OVERRIDE=1TY","EQY_FUND_CRNCY=USD","FA_ADJUSTED=Y")</f>
        <v>#NAME?</v>
      </c>
      <c r="AQ177" s="36" t="e">
        <f ca="1">_xll.BDP($AD177,AQ$10,"EQY_FUND_CRNCY=USD","FA_ADJUSTED=Y")</f>
        <v>#NAME?</v>
      </c>
      <c r="AR177" s="36" t="e">
        <f ca="1">_xll.BDP($AD177,AR$10,"BEST_FPERIOD_OVERRIDE=1TY","EQY_FUND_CRNCY=USD","FA_ADJUSTED=Y")</f>
        <v>#NAME?</v>
      </c>
      <c r="AS177" s="36" t="e">
        <f ca="1">_xll.BDP($AD177,AS$10,"EQY_FUND_CRNCY=USD","FA_ADJUSTED=Y")</f>
        <v>#NAME?</v>
      </c>
      <c r="AT177" s="36" t="e">
        <f ca="1">_xll.BDP($AD177,AT$10,"BEST_FPERIOD_OVERRIDE=1TY","EQY_FUND_CRNCY=USD","FA_ADJUSTED=Y")</f>
        <v>#NAME?</v>
      </c>
      <c r="AV177" s="2" t="s">
        <v>327</v>
      </c>
      <c r="AW177" s="2" t="s">
        <v>328</v>
      </c>
      <c r="AX177" s="2" t="s">
        <v>506</v>
      </c>
      <c r="AY177" s="2">
        <v>717.82820000000004</v>
      </c>
      <c r="AZ177" s="2">
        <v>2001.8032000000001</v>
      </c>
      <c r="BA177" s="2">
        <v>1528.231</v>
      </c>
      <c r="BB177" s="2">
        <v>1645</v>
      </c>
      <c r="BC177" s="2">
        <v>7.6407951415721875E-2</v>
      </c>
      <c r="BD177" s="2">
        <v>375.46800091552734</v>
      </c>
      <c r="BE177" s="2" t="s">
        <v>480</v>
      </c>
      <c r="BF177" s="2">
        <v>0</v>
      </c>
      <c r="BG177" s="2" t="s">
        <v>480</v>
      </c>
      <c r="BH177" s="2">
        <v>220.95500000000001</v>
      </c>
      <c r="BI177" s="2">
        <v>275.851</v>
      </c>
      <c r="BJ177" s="2">
        <v>329.3</v>
      </c>
      <c r="BK177" s="2">
        <v>-52.607639999999996</v>
      </c>
      <c r="BL177" s="2">
        <v>31.400000000000002</v>
      </c>
    </row>
    <row r="178" spans="30:64" x14ac:dyDescent="0.2">
      <c r="AD178" s="1" t="s">
        <v>329</v>
      </c>
      <c r="AE178" s="1" t="s">
        <v>330</v>
      </c>
      <c r="AF178" s="36" t="e">
        <f ca="1">_xll.BDP($AD178,AF$10)</f>
        <v>#NAME?</v>
      </c>
      <c r="AG178" s="36" t="e">
        <f ca="1">_xll.BDH($AD178,AG$10,$C$5,$C$5,"EQY_FUND_CRNCY=USD")</f>
        <v>#NAME?</v>
      </c>
      <c r="AH178" s="36" t="e">
        <f ca="1">_xll.BDH($AD178,AH$10,$C$5,$C$5,"EQY_FUND_CRNCY=USD")</f>
        <v>#NAME?</v>
      </c>
      <c r="AI178" s="36" t="e">
        <f ca="1">_xll.BDP($AD178,AI$10,"EQY_FUND_CRNCY=USD","FA_ADJUSTED=Y")</f>
        <v>#NAME?</v>
      </c>
      <c r="AJ178" s="36" t="e">
        <f ca="1">_xll.BDP($AD178,AJ$10,"BEST_FPERIOD_OVERRIDE=1TY","EQY_FUND_CRNCY=USD","FA_ADJUSTED=Y")</f>
        <v>#NAME?</v>
      </c>
      <c r="AK178" s="44" t="e">
        <f t="shared" ca="1" si="29"/>
        <v>#NAME?</v>
      </c>
      <c r="AL178" s="36" t="e">
        <f ca="1">_xll.BDP($AD178,AL$10,"EQY_FUND_CRNCY=USD","FA_ADJUSTED=Y")</f>
        <v>#NAME?</v>
      </c>
      <c r="AM178" s="36" t="e">
        <f ca="1">_xll.BDP($AD178,AM$10,"BEST_FPERIOD_OVERRIDE=1TY","EQY_FUND_CRNCY=USD","FA_ADJUSTED=Y")</f>
        <v>#NAME?</v>
      </c>
      <c r="AN178" s="36" t="e">
        <f ca="1">_xll.BDP($AD178,AN$10,"BEST_FPERIOD_OVERRIDE=1TY","EQY_FUND_CRNCY=USD","FA_ADJUSTED=Y")</f>
        <v>#NAME?</v>
      </c>
      <c r="AO178" s="36" t="e">
        <f ca="1">_xll.BDP($AD178,AO$10,"BEST_FPERIOD_OVERRIDE=1TY","EQY_FUND_CRNCY=USD","FA_ADJUSTED=Y")</f>
        <v>#NAME?</v>
      </c>
      <c r="AP178" s="36" t="e">
        <f ca="1">_xll.BDP($AD178,AP$10,"BEST_FPERIOD_OVERRIDE=1TY","EQY_FUND_CRNCY=USD","FA_ADJUSTED=Y")</f>
        <v>#NAME?</v>
      </c>
      <c r="AQ178" s="36" t="e">
        <f ca="1">_xll.BDP($AD178,AQ$10,"EQY_FUND_CRNCY=USD","FA_ADJUSTED=Y")</f>
        <v>#NAME?</v>
      </c>
      <c r="AR178" s="36" t="e">
        <f ca="1">_xll.BDP($AD178,AR$10,"BEST_FPERIOD_OVERRIDE=1TY","EQY_FUND_CRNCY=USD","FA_ADJUSTED=Y")</f>
        <v>#NAME?</v>
      </c>
      <c r="AS178" s="36" t="e">
        <f ca="1">_xll.BDP($AD178,AS$10,"EQY_FUND_CRNCY=USD","FA_ADJUSTED=Y")</f>
        <v>#NAME?</v>
      </c>
      <c r="AT178" s="36" t="e">
        <f ca="1">_xll.BDP($AD178,AT$10,"BEST_FPERIOD_OVERRIDE=1TY","EQY_FUND_CRNCY=USD","FA_ADJUSTED=Y")</f>
        <v>#NAME?</v>
      </c>
      <c r="AV178" s="2" t="s">
        <v>329</v>
      </c>
      <c r="AW178" s="2" t="s">
        <v>330</v>
      </c>
      <c r="AX178" s="2" t="s">
        <v>495</v>
      </c>
      <c r="AY178" s="2">
        <v>716.1395</v>
      </c>
      <c r="AZ178" s="2">
        <v>748.60599999999999</v>
      </c>
      <c r="BA178" s="2">
        <v>42.178586942867071</v>
      </c>
      <c r="BB178" s="2">
        <v>103.099</v>
      </c>
      <c r="BC178" s="2">
        <v>1.4443445708518534</v>
      </c>
      <c r="BD178" s="2">
        <v>10.568609400887199</v>
      </c>
      <c r="BE178" s="2">
        <v>27.8</v>
      </c>
      <c r="BF178" s="2">
        <v>10.614831048696628</v>
      </c>
      <c r="BG178" s="2">
        <v>8.8403345824744104</v>
      </c>
      <c r="BH178" s="2">
        <v>4.8045328849601585</v>
      </c>
      <c r="BI178" s="2">
        <v>-12.381475760643527</v>
      </c>
      <c r="BJ178" s="2">
        <v>-7.5019999999999998</v>
      </c>
      <c r="BK178" s="2">
        <v>-13.376278212695807</v>
      </c>
      <c r="BL178" s="2">
        <v>-8.7740000000000009</v>
      </c>
    </row>
    <row r="179" spans="30:64" x14ac:dyDescent="0.2">
      <c r="AD179" s="1" t="s">
        <v>331</v>
      </c>
      <c r="AE179" s="1" t="s">
        <v>332</v>
      </c>
      <c r="AF179" s="36" t="e">
        <f ca="1">_xll.BDP($AD179,AF$10)</f>
        <v>#NAME?</v>
      </c>
      <c r="AG179" s="36" t="e">
        <f ca="1">_xll.BDH($AD179,AG$10,$C$5,$C$5,"EQY_FUND_CRNCY=USD")</f>
        <v>#NAME?</v>
      </c>
      <c r="AH179" s="36" t="e">
        <f ca="1">_xll.BDH($AD179,AH$10,$C$5,$C$5,"EQY_FUND_CRNCY=USD")</f>
        <v>#NAME?</v>
      </c>
      <c r="AI179" s="36" t="e">
        <f ca="1">_xll.BDP($AD179,AI$10,"EQY_FUND_CRNCY=USD","FA_ADJUSTED=Y")</f>
        <v>#NAME?</v>
      </c>
      <c r="AJ179" s="36" t="e">
        <f ca="1">_xll.BDP($AD179,AJ$10,"BEST_FPERIOD_OVERRIDE=1TY","EQY_FUND_CRNCY=USD","FA_ADJUSTED=Y")</f>
        <v>#NAME?</v>
      </c>
      <c r="AK179" s="44" t="e">
        <f t="shared" ca="1" si="29"/>
        <v>#NAME?</v>
      </c>
      <c r="AL179" s="36" t="e">
        <f ca="1">_xll.BDP($AD179,AL$10,"EQY_FUND_CRNCY=USD","FA_ADJUSTED=Y")</f>
        <v>#NAME?</v>
      </c>
      <c r="AM179" s="36" t="e">
        <f ca="1">_xll.BDP($AD179,AM$10,"BEST_FPERIOD_OVERRIDE=1TY","EQY_FUND_CRNCY=USD","FA_ADJUSTED=Y")</f>
        <v>#NAME?</v>
      </c>
      <c r="AN179" s="36" t="e">
        <f ca="1">_xll.BDP($AD179,AN$10,"BEST_FPERIOD_OVERRIDE=1TY","EQY_FUND_CRNCY=USD","FA_ADJUSTED=Y")</f>
        <v>#NAME?</v>
      </c>
      <c r="AO179" s="36" t="e">
        <f ca="1">_xll.BDP($AD179,AO$10,"BEST_FPERIOD_OVERRIDE=1TY","EQY_FUND_CRNCY=USD","FA_ADJUSTED=Y")</f>
        <v>#NAME?</v>
      </c>
      <c r="AP179" s="36" t="e">
        <f ca="1">_xll.BDP($AD179,AP$10,"BEST_FPERIOD_OVERRIDE=1TY","EQY_FUND_CRNCY=USD","FA_ADJUSTED=Y")</f>
        <v>#NAME?</v>
      </c>
      <c r="AQ179" s="36" t="e">
        <f ca="1">_xll.BDP($AD179,AQ$10,"EQY_FUND_CRNCY=USD","FA_ADJUSTED=Y")</f>
        <v>#NAME?</v>
      </c>
      <c r="AR179" s="36" t="e">
        <f ca="1">_xll.BDP($AD179,AR$10,"BEST_FPERIOD_OVERRIDE=1TY","EQY_FUND_CRNCY=USD","FA_ADJUSTED=Y")</f>
        <v>#NAME?</v>
      </c>
      <c r="AS179" s="36" t="e">
        <f ca="1">_xll.BDP($AD179,AS$10,"EQY_FUND_CRNCY=USD","FA_ADJUSTED=Y")</f>
        <v>#NAME?</v>
      </c>
      <c r="AT179" s="36" t="e">
        <f ca="1">_xll.BDP($AD179,AT$10,"BEST_FPERIOD_OVERRIDE=1TY","EQY_FUND_CRNCY=USD","FA_ADJUSTED=Y")</f>
        <v>#NAME?</v>
      </c>
      <c r="AV179" s="2" t="s">
        <v>331</v>
      </c>
      <c r="AW179" s="2" t="s">
        <v>332</v>
      </c>
      <c r="AX179" s="2" t="s">
        <v>495</v>
      </c>
      <c r="AY179" s="2">
        <v>649.96939999999995</v>
      </c>
      <c r="AZ179" s="2">
        <v>789.97940000000006</v>
      </c>
      <c r="BA179" s="2">
        <v>121.47999999999999</v>
      </c>
      <c r="BB179" s="2">
        <v>163.429</v>
      </c>
      <c r="BC179" s="2">
        <v>0.34531610141587099</v>
      </c>
      <c r="BD179" s="2">
        <v>81.369998809814447</v>
      </c>
      <c r="BE179" s="2">
        <v>68.47</v>
      </c>
      <c r="BF179" s="2">
        <v>15.253</v>
      </c>
      <c r="BG179" s="2">
        <v>15.307</v>
      </c>
      <c r="BH179" s="2">
        <v>23.291</v>
      </c>
      <c r="BI179" s="2">
        <v>25.582999999999998</v>
      </c>
      <c r="BJ179" s="2">
        <v>59.148000000000003</v>
      </c>
      <c r="BK179" s="2">
        <v>-2.0403708767979998</v>
      </c>
      <c r="BL179" s="2">
        <v>33.28</v>
      </c>
    </row>
    <row r="180" spans="30:64" x14ac:dyDescent="0.2">
      <c r="AD180" s="1" t="s">
        <v>333</v>
      </c>
      <c r="AE180" s="1" t="s">
        <v>334</v>
      </c>
      <c r="AF180" s="36" t="e">
        <f ca="1">_xll.BDP($AD180,AF$10)</f>
        <v>#NAME?</v>
      </c>
      <c r="AG180" s="36" t="e">
        <f ca="1">_xll.BDH($AD180,AG$10,$C$5,$C$5,"EQY_FUND_CRNCY=USD")</f>
        <v>#NAME?</v>
      </c>
      <c r="AH180" s="36" t="e">
        <f ca="1">_xll.BDH($AD180,AH$10,$C$5,$C$5,"EQY_FUND_CRNCY=USD")</f>
        <v>#NAME?</v>
      </c>
      <c r="AI180" s="36" t="e">
        <f ca="1">_xll.BDP($AD180,AI$10,"EQY_FUND_CRNCY=USD","FA_ADJUSTED=Y")</f>
        <v>#NAME?</v>
      </c>
      <c r="AJ180" s="36" t="e">
        <f ca="1">_xll.BDP($AD180,AJ$10,"BEST_FPERIOD_OVERRIDE=1TY","EQY_FUND_CRNCY=USD","FA_ADJUSTED=Y")</f>
        <v>#NAME?</v>
      </c>
      <c r="AK180" s="44" t="e">
        <f t="shared" ca="1" si="29"/>
        <v>#NAME?</v>
      </c>
      <c r="AL180" s="36" t="e">
        <f ca="1">_xll.BDP($AD180,AL$10,"EQY_FUND_CRNCY=USD","FA_ADJUSTED=Y")</f>
        <v>#NAME?</v>
      </c>
      <c r="AM180" s="36" t="e">
        <f ca="1">_xll.BDP($AD180,AM$10,"BEST_FPERIOD_OVERRIDE=1TY","EQY_FUND_CRNCY=USD","FA_ADJUSTED=Y")</f>
        <v>#NAME?</v>
      </c>
      <c r="AN180" s="36" t="e">
        <f ca="1">_xll.BDP($AD180,AN$10,"BEST_FPERIOD_OVERRIDE=1TY","EQY_FUND_CRNCY=USD","FA_ADJUSTED=Y")</f>
        <v>#NAME?</v>
      </c>
      <c r="AO180" s="36" t="e">
        <f ca="1">_xll.BDP($AD180,AO$10,"BEST_FPERIOD_OVERRIDE=1TY","EQY_FUND_CRNCY=USD","FA_ADJUSTED=Y")</f>
        <v>#NAME?</v>
      </c>
      <c r="AP180" s="36" t="e">
        <f ca="1">_xll.BDP($AD180,AP$10,"BEST_FPERIOD_OVERRIDE=1TY","EQY_FUND_CRNCY=USD","FA_ADJUSTED=Y")</f>
        <v>#NAME?</v>
      </c>
      <c r="AQ180" s="36" t="e">
        <f ca="1">_xll.BDP($AD180,AQ$10,"EQY_FUND_CRNCY=USD","FA_ADJUSTED=Y")</f>
        <v>#NAME?</v>
      </c>
      <c r="AR180" s="36" t="e">
        <f ca="1">_xll.BDP($AD180,AR$10,"BEST_FPERIOD_OVERRIDE=1TY","EQY_FUND_CRNCY=USD","FA_ADJUSTED=Y")</f>
        <v>#NAME?</v>
      </c>
      <c r="AS180" s="36" t="e">
        <f ca="1">_xll.BDP($AD180,AS$10,"EQY_FUND_CRNCY=USD","FA_ADJUSTED=Y")</f>
        <v>#NAME?</v>
      </c>
      <c r="AT180" s="36" t="e">
        <f ca="1">_xll.BDP($AD180,AT$10,"BEST_FPERIOD_OVERRIDE=1TY","EQY_FUND_CRNCY=USD","FA_ADJUSTED=Y")</f>
        <v>#NAME?</v>
      </c>
      <c r="AV180" s="2" t="s">
        <v>333</v>
      </c>
      <c r="AW180" s="2" t="s">
        <v>334</v>
      </c>
      <c r="AX180" s="2" t="s">
        <v>495</v>
      </c>
      <c r="AY180" s="2">
        <v>552.73910000000001</v>
      </c>
      <c r="AZ180" s="2">
        <v>504.78309999999999</v>
      </c>
      <c r="BA180" s="2">
        <v>286.77</v>
      </c>
      <c r="BB180" s="2">
        <v>295.3</v>
      </c>
      <c r="BC180" s="2">
        <v>2.9745091885483355E-2</v>
      </c>
      <c r="BD180" s="2">
        <v>104.94799879455567</v>
      </c>
      <c r="BE180" s="2">
        <v>42.2</v>
      </c>
      <c r="BF180" s="2">
        <v>31.954999999999998</v>
      </c>
      <c r="BG180" s="2" t="s">
        <v>480</v>
      </c>
      <c r="BH180" s="2" t="s">
        <v>480</v>
      </c>
      <c r="BI180" s="2">
        <v>40.247</v>
      </c>
      <c r="BJ180" s="2">
        <v>43.4</v>
      </c>
      <c r="BK180" s="2">
        <v>20.56204</v>
      </c>
      <c r="BL180" s="2">
        <v>26.990000000000002</v>
      </c>
    </row>
    <row r="181" spans="30:64" x14ac:dyDescent="0.2">
      <c r="AD181" s="1" t="s">
        <v>335</v>
      </c>
      <c r="AE181" s="1" t="s">
        <v>336</v>
      </c>
      <c r="AF181" s="36" t="e">
        <f ca="1">_xll.BDP($AD181,AF$10)</f>
        <v>#NAME?</v>
      </c>
      <c r="AG181" s="36" t="e">
        <f ca="1">_xll.BDH($AD181,AG$10,$C$5,$C$5,"EQY_FUND_CRNCY=USD")</f>
        <v>#NAME?</v>
      </c>
      <c r="AH181" s="36" t="e">
        <f ca="1">_xll.BDH($AD181,AH$10,$C$5,$C$5,"EQY_FUND_CRNCY=USD")</f>
        <v>#NAME?</v>
      </c>
      <c r="AI181" s="36" t="e">
        <f ca="1">_xll.BDP($AD181,AI$10,"EQY_FUND_CRNCY=USD","FA_ADJUSTED=Y")</f>
        <v>#NAME?</v>
      </c>
      <c r="AJ181" s="36" t="e">
        <f ca="1">_xll.BDP($AD181,AJ$10,"BEST_FPERIOD_OVERRIDE=1TY","EQY_FUND_CRNCY=USD","FA_ADJUSTED=Y")</f>
        <v>#NAME?</v>
      </c>
      <c r="AK181" s="44" t="e">
        <f t="shared" ca="1" si="29"/>
        <v>#NAME?</v>
      </c>
      <c r="AL181" s="36" t="e">
        <f ca="1">_xll.BDP($AD181,AL$10,"EQY_FUND_CRNCY=USD","FA_ADJUSTED=Y")</f>
        <v>#NAME?</v>
      </c>
      <c r="AM181" s="36" t="e">
        <f ca="1">_xll.BDP($AD181,AM$10,"BEST_FPERIOD_OVERRIDE=1TY","EQY_FUND_CRNCY=USD","FA_ADJUSTED=Y")</f>
        <v>#NAME?</v>
      </c>
      <c r="AN181" s="36" t="e">
        <f ca="1">_xll.BDP($AD181,AN$10,"BEST_FPERIOD_OVERRIDE=1TY","EQY_FUND_CRNCY=USD","FA_ADJUSTED=Y")</f>
        <v>#NAME?</v>
      </c>
      <c r="AO181" s="36" t="e">
        <f ca="1">_xll.BDP($AD181,AO$10,"BEST_FPERIOD_OVERRIDE=1TY","EQY_FUND_CRNCY=USD","FA_ADJUSTED=Y")</f>
        <v>#NAME?</v>
      </c>
      <c r="AP181" s="36" t="e">
        <f ca="1">_xll.BDP($AD181,AP$10,"BEST_FPERIOD_OVERRIDE=1TY","EQY_FUND_CRNCY=USD","FA_ADJUSTED=Y")</f>
        <v>#NAME?</v>
      </c>
      <c r="AQ181" s="36" t="e">
        <f ca="1">_xll.BDP($AD181,AQ$10,"EQY_FUND_CRNCY=USD","FA_ADJUSTED=Y")</f>
        <v>#NAME?</v>
      </c>
      <c r="AR181" s="36" t="e">
        <f ca="1">_xll.BDP($AD181,AR$10,"BEST_FPERIOD_OVERRIDE=1TY","EQY_FUND_CRNCY=USD","FA_ADJUSTED=Y")</f>
        <v>#NAME?</v>
      </c>
      <c r="AS181" s="36" t="e">
        <f ca="1">_xll.BDP($AD181,AS$10,"EQY_FUND_CRNCY=USD","FA_ADJUSTED=Y")</f>
        <v>#NAME?</v>
      </c>
      <c r="AT181" s="36" t="e">
        <f ca="1">_xll.BDP($AD181,AT$10,"BEST_FPERIOD_OVERRIDE=1TY","EQY_FUND_CRNCY=USD","FA_ADJUSTED=Y")</f>
        <v>#NAME?</v>
      </c>
      <c r="AV181" s="2" t="s">
        <v>335</v>
      </c>
      <c r="AW181" s="2" t="s">
        <v>336</v>
      </c>
      <c r="AX181" s="2" t="s">
        <v>506</v>
      </c>
      <c r="AY181" s="2">
        <v>568.69439999999997</v>
      </c>
      <c r="AZ181" s="2">
        <v>671.63340000000005</v>
      </c>
      <c r="BA181" s="2" t="s">
        <v>480</v>
      </c>
      <c r="BB181" s="2">
        <v>120.767</v>
      </c>
      <c r="BC181" s="2" t="e">
        <v>#VALUE!</v>
      </c>
      <c r="BD181" s="2" t="s">
        <v>480</v>
      </c>
      <c r="BE181" s="2">
        <v>62.800000000000004</v>
      </c>
      <c r="BF181" s="2" t="s">
        <v>480</v>
      </c>
      <c r="BG181" s="2" t="s">
        <v>480</v>
      </c>
      <c r="BH181" s="2" t="s">
        <v>480</v>
      </c>
      <c r="BI181" s="2" t="s">
        <v>480</v>
      </c>
      <c r="BJ181" s="2">
        <v>32.204999999999998</v>
      </c>
      <c r="BK181" s="2" t="s">
        <v>480</v>
      </c>
      <c r="BL181" s="2">
        <v>20.446999999999999</v>
      </c>
    </row>
    <row r="182" spans="30:64" x14ac:dyDescent="0.2">
      <c r="AD182" s="1" t="s">
        <v>337</v>
      </c>
      <c r="AE182" s="1" t="s">
        <v>338</v>
      </c>
      <c r="AF182" s="36" t="e">
        <f ca="1">_xll.BDP($AD182,AF$10)</f>
        <v>#NAME?</v>
      </c>
      <c r="AG182" s="36" t="e">
        <f ca="1">_xll.BDH($AD182,AG$10,$C$5,$C$5,"EQY_FUND_CRNCY=USD")</f>
        <v>#NAME?</v>
      </c>
      <c r="AH182" s="36" t="e">
        <f ca="1">_xll.BDH($AD182,AH$10,$C$5,$C$5,"EQY_FUND_CRNCY=USD")</f>
        <v>#NAME?</v>
      </c>
      <c r="AI182" s="36" t="e">
        <f ca="1">_xll.BDP($AD182,AI$10,"EQY_FUND_CRNCY=USD","FA_ADJUSTED=Y")</f>
        <v>#NAME?</v>
      </c>
      <c r="AJ182" s="36" t="e">
        <f ca="1">_xll.BDP($AD182,AJ$10,"BEST_FPERIOD_OVERRIDE=1TY","EQY_FUND_CRNCY=USD","FA_ADJUSTED=Y")</f>
        <v>#NAME?</v>
      </c>
      <c r="AK182" s="44" t="e">
        <f t="shared" ca="1" si="29"/>
        <v>#NAME?</v>
      </c>
      <c r="AL182" s="36" t="e">
        <f ca="1">_xll.BDP($AD182,AL$10,"EQY_FUND_CRNCY=USD","FA_ADJUSTED=Y")</f>
        <v>#NAME?</v>
      </c>
      <c r="AM182" s="36" t="e">
        <f ca="1">_xll.BDP($AD182,AM$10,"BEST_FPERIOD_OVERRIDE=1TY","EQY_FUND_CRNCY=USD","FA_ADJUSTED=Y")</f>
        <v>#NAME?</v>
      </c>
      <c r="AN182" s="36" t="e">
        <f ca="1">_xll.BDP($AD182,AN$10,"BEST_FPERIOD_OVERRIDE=1TY","EQY_FUND_CRNCY=USD","FA_ADJUSTED=Y")</f>
        <v>#NAME?</v>
      </c>
      <c r="AO182" s="36" t="e">
        <f ca="1">_xll.BDP($AD182,AO$10,"BEST_FPERIOD_OVERRIDE=1TY","EQY_FUND_CRNCY=USD","FA_ADJUSTED=Y")</f>
        <v>#NAME?</v>
      </c>
      <c r="AP182" s="36" t="e">
        <f ca="1">_xll.BDP($AD182,AP$10,"BEST_FPERIOD_OVERRIDE=1TY","EQY_FUND_CRNCY=USD","FA_ADJUSTED=Y")</f>
        <v>#NAME?</v>
      </c>
      <c r="AQ182" s="36" t="e">
        <f ca="1">_xll.BDP($AD182,AQ$10,"EQY_FUND_CRNCY=USD","FA_ADJUSTED=Y")</f>
        <v>#NAME?</v>
      </c>
      <c r="AR182" s="36" t="e">
        <f ca="1">_xll.BDP($AD182,AR$10,"BEST_FPERIOD_OVERRIDE=1TY","EQY_FUND_CRNCY=USD","FA_ADJUSTED=Y")</f>
        <v>#NAME?</v>
      </c>
      <c r="AS182" s="36" t="e">
        <f ca="1">_xll.BDP($AD182,AS$10,"EQY_FUND_CRNCY=USD","FA_ADJUSTED=Y")</f>
        <v>#NAME?</v>
      </c>
      <c r="AT182" s="36" t="e">
        <f ca="1">_xll.BDP($AD182,AT$10,"BEST_FPERIOD_OVERRIDE=1TY","EQY_FUND_CRNCY=USD","FA_ADJUSTED=Y")</f>
        <v>#NAME?</v>
      </c>
      <c r="AV182" s="2" t="s">
        <v>337</v>
      </c>
      <c r="AW182" s="2" t="s">
        <v>338</v>
      </c>
      <c r="AX182" s="2" t="s">
        <v>506</v>
      </c>
      <c r="AY182" s="2">
        <v>506.98860000000002</v>
      </c>
      <c r="AZ182" s="2">
        <v>1562.4215999999999</v>
      </c>
      <c r="BA182" s="2">
        <v>724.86400000000003</v>
      </c>
      <c r="BB182" s="2">
        <v>476.41700000000003</v>
      </c>
      <c r="BC182" s="2">
        <v>-0.34274981237859792</v>
      </c>
      <c r="BD182" s="2">
        <v>353.71699584960936</v>
      </c>
      <c r="BE182" s="2">
        <v>78.3</v>
      </c>
      <c r="BF182" s="2">
        <v>18.861999999999998</v>
      </c>
      <c r="BG182" s="2" t="s">
        <v>480</v>
      </c>
      <c r="BH182" s="2" t="s">
        <v>480</v>
      </c>
      <c r="BI182" s="2">
        <v>205.49299999999999</v>
      </c>
      <c r="BJ182" s="2">
        <v>236.417</v>
      </c>
      <c r="BK182" s="2">
        <v>-21.9117</v>
      </c>
      <c r="BL182" s="2">
        <v>2.335</v>
      </c>
    </row>
    <row r="183" spans="30:64" x14ac:dyDescent="0.2">
      <c r="AD183" s="1" t="s">
        <v>339</v>
      </c>
      <c r="AE183" s="1" t="s">
        <v>340</v>
      </c>
      <c r="AF183" s="36" t="e">
        <f ca="1">_xll.BDP($AD183,AF$10)</f>
        <v>#NAME?</v>
      </c>
      <c r="AG183" s="36" t="e">
        <f ca="1">_xll.BDH($AD183,AG$10,$C$5,$C$5,"EQY_FUND_CRNCY=USD")</f>
        <v>#NAME?</v>
      </c>
      <c r="AH183" s="36" t="e">
        <f ca="1">_xll.BDH($AD183,AH$10,$C$5,$C$5,"EQY_FUND_CRNCY=USD")</f>
        <v>#NAME?</v>
      </c>
      <c r="AI183" s="36" t="e">
        <f ca="1">_xll.BDP($AD183,AI$10,"EQY_FUND_CRNCY=USD","FA_ADJUSTED=Y")</f>
        <v>#NAME?</v>
      </c>
      <c r="AJ183" s="36" t="e">
        <f ca="1">_xll.BDP($AD183,AJ$10,"BEST_FPERIOD_OVERRIDE=1TY","EQY_FUND_CRNCY=USD","FA_ADJUSTED=Y")</f>
        <v>#NAME?</v>
      </c>
      <c r="AK183" s="44" t="e">
        <f t="shared" ca="1" si="29"/>
        <v>#NAME?</v>
      </c>
      <c r="AL183" s="36" t="e">
        <f ca="1">_xll.BDP($AD183,AL$10,"EQY_FUND_CRNCY=USD","FA_ADJUSTED=Y")</f>
        <v>#NAME?</v>
      </c>
      <c r="AM183" s="36" t="e">
        <f ca="1">_xll.BDP($AD183,AM$10,"BEST_FPERIOD_OVERRIDE=1TY","EQY_FUND_CRNCY=USD","FA_ADJUSTED=Y")</f>
        <v>#NAME?</v>
      </c>
      <c r="AN183" s="36" t="e">
        <f ca="1">_xll.BDP($AD183,AN$10,"BEST_FPERIOD_OVERRIDE=1TY","EQY_FUND_CRNCY=USD","FA_ADJUSTED=Y")</f>
        <v>#NAME?</v>
      </c>
      <c r="AO183" s="36" t="e">
        <f ca="1">_xll.BDP($AD183,AO$10,"BEST_FPERIOD_OVERRIDE=1TY","EQY_FUND_CRNCY=USD","FA_ADJUSTED=Y")</f>
        <v>#NAME?</v>
      </c>
      <c r="AP183" s="36" t="e">
        <f ca="1">_xll.BDP($AD183,AP$10,"BEST_FPERIOD_OVERRIDE=1TY","EQY_FUND_CRNCY=USD","FA_ADJUSTED=Y")</f>
        <v>#NAME?</v>
      </c>
      <c r="AQ183" s="36" t="e">
        <f ca="1">_xll.BDP($AD183,AQ$10,"EQY_FUND_CRNCY=USD","FA_ADJUSTED=Y")</f>
        <v>#NAME?</v>
      </c>
      <c r="AR183" s="36" t="e">
        <f ca="1">_xll.BDP($AD183,AR$10,"BEST_FPERIOD_OVERRIDE=1TY","EQY_FUND_CRNCY=USD","FA_ADJUSTED=Y")</f>
        <v>#NAME?</v>
      </c>
      <c r="AS183" s="36" t="e">
        <f ca="1">_xll.BDP($AD183,AS$10,"EQY_FUND_CRNCY=USD","FA_ADJUSTED=Y")</f>
        <v>#NAME?</v>
      </c>
      <c r="AT183" s="36" t="e">
        <f ca="1">_xll.BDP($AD183,AT$10,"BEST_FPERIOD_OVERRIDE=1TY","EQY_FUND_CRNCY=USD","FA_ADJUSTED=Y")</f>
        <v>#NAME?</v>
      </c>
      <c r="AV183" s="2" t="s">
        <v>339</v>
      </c>
      <c r="AW183" s="2" t="s">
        <v>340</v>
      </c>
      <c r="AX183" s="2" t="s">
        <v>495</v>
      </c>
      <c r="AY183" s="2">
        <v>470.3193</v>
      </c>
      <c r="AZ183" s="2">
        <v>471.51530000000002</v>
      </c>
      <c r="BA183" s="2">
        <v>155.49099999999999</v>
      </c>
      <c r="BB183" s="2">
        <v>150.45000000000002</v>
      </c>
      <c r="BC183" s="2">
        <v>-3.2419882822799839E-2</v>
      </c>
      <c r="BD183" s="2">
        <v>91.647999832153317</v>
      </c>
      <c r="BE183" s="2">
        <v>61.133000000000003</v>
      </c>
      <c r="BF183" s="2">
        <v>31.064</v>
      </c>
      <c r="BG183" s="2">
        <v>41.338999999999999</v>
      </c>
      <c r="BH183" s="2">
        <v>36.280999999999999</v>
      </c>
      <c r="BI183" s="2">
        <v>-12.936999999999999</v>
      </c>
      <c r="BJ183" s="2">
        <v>11.333</v>
      </c>
      <c r="BK183" s="2">
        <v>-30.891449999999999</v>
      </c>
      <c r="BL183" s="2">
        <v>3.8380000000000001</v>
      </c>
    </row>
    <row r="184" spans="30:64" x14ac:dyDescent="0.2">
      <c r="AD184" s="1" t="s">
        <v>341</v>
      </c>
      <c r="AE184" s="1" t="s">
        <v>342</v>
      </c>
      <c r="AF184" s="36" t="e">
        <f ca="1">_xll.BDP($AD184,AF$10)</f>
        <v>#NAME?</v>
      </c>
      <c r="AG184" s="36" t="e">
        <f ca="1">_xll.BDH($AD184,AG$10,$C$5,$C$5,"EQY_FUND_CRNCY=USD")</f>
        <v>#NAME?</v>
      </c>
      <c r="AH184" s="36" t="e">
        <f ca="1">_xll.BDH($AD184,AH$10,$C$5,$C$5,"EQY_FUND_CRNCY=USD")</f>
        <v>#NAME?</v>
      </c>
      <c r="AI184" s="36" t="e">
        <f ca="1">_xll.BDP($AD184,AI$10,"EQY_FUND_CRNCY=USD","FA_ADJUSTED=Y")</f>
        <v>#NAME?</v>
      </c>
      <c r="AJ184" s="36" t="e">
        <f ca="1">_xll.BDP($AD184,AJ$10,"BEST_FPERIOD_OVERRIDE=1TY","EQY_FUND_CRNCY=USD","FA_ADJUSTED=Y")</f>
        <v>#NAME?</v>
      </c>
      <c r="AK184" s="44" t="e">
        <f t="shared" ca="1" si="29"/>
        <v>#NAME?</v>
      </c>
      <c r="AL184" s="36" t="e">
        <f ca="1">_xll.BDP($AD184,AL$10,"EQY_FUND_CRNCY=USD","FA_ADJUSTED=Y")</f>
        <v>#NAME?</v>
      </c>
      <c r="AM184" s="36" t="e">
        <f ca="1">_xll.BDP($AD184,AM$10,"BEST_FPERIOD_OVERRIDE=1TY","EQY_FUND_CRNCY=USD","FA_ADJUSTED=Y")</f>
        <v>#NAME?</v>
      </c>
      <c r="AN184" s="36" t="e">
        <f ca="1">_xll.BDP($AD184,AN$10,"BEST_FPERIOD_OVERRIDE=1TY","EQY_FUND_CRNCY=USD","FA_ADJUSTED=Y")</f>
        <v>#NAME?</v>
      </c>
      <c r="AO184" s="36" t="e">
        <f ca="1">_xll.BDP($AD184,AO$10,"BEST_FPERIOD_OVERRIDE=1TY","EQY_FUND_CRNCY=USD","FA_ADJUSTED=Y")</f>
        <v>#NAME?</v>
      </c>
      <c r="AP184" s="36" t="e">
        <f ca="1">_xll.BDP($AD184,AP$10,"BEST_FPERIOD_OVERRIDE=1TY","EQY_FUND_CRNCY=USD","FA_ADJUSTED=Y")</f>
        <v>#NAME?</v>
      </c>
      <c r="AQ184" s="36" t="e">
        <f ca="1">_xll.BDP($AD184,AQ$10,"EQY_FUND_CRNCY=USD","FA_ADJUSTED=Y")</f>
        <v>#NAME?</v>
      </c>
      <c r="AR184" s="36" t="e">
        <f ca="1">_xll.BDP($AD184,AR$10,"BEST_FPERIOD_OVERRIDE=1TY","EQY_FUND_CRNCY=USD","FA_ADJUSTED=Y")</f>
        <v>#NAME?</v>
      </c>
      <c r="AS184" s="36" t="e">
        <f ca="1">_xll.BDP($AD184,AS$10,"EQY_FUND_CRNCY=USD","FA_ADJUSTED=Y")</f>
        <v>#NAME?</v>
      </c>
      <c r="AT184" s="36" t="e">
        <f ca="1">_xll.BDP($AD184,AT$10,"BEST_FPERIOD_OVERRIDE=1TY","EQY_FUND_CRNCY=USD","FA_ADJUSTED=Y")</f>
        <v>#NAME?</v>
      </c>
      <c r="AV184" s="2" t="s">
        <v>341</v>
      </c>
      <c r="AW184" s="2" t="s">
        <v>342</v>
      </c>
      <c r="AX184" s="2" t="s">
        <v>495</v>
      </c>
      <c r="AY184" s="2">
        <v>455.4631</v>
      </c>
      <c r="AZ184" s="2">
        <v>376.18119999999999</v>
      </c>
      <c r="BA184" s="2">
        <v>96.656000000000006</v>
      </c>
      <c r="BB184" s="2">
        <v>118.443</v>
      </c>
      <c r="BC184" s="2">
        <v>0.22540763118688956</v>
      </c>
      <c r="BD184" s="2" t="s">
        <v>480</v>
      </c>
      <c r="BE184" s="2" t="s">
        <v>480</v>
      </c>
      <c r="BF184" s="2">
        <v>0</v>
      </c>
      <c r="BG184" s="2" t="s">
        <v>480</v>
      </c>
      <c r="BH184" s="2" t="s">
        <v>480</v>
      </c>
      <c r="BI184" s="2">
        <v>7.28</v>
      </c>
      <c r="BJ184" s="2">
        <v>18.157</v>
      </c>
      <c r="BK184" s="2">
        <v>0.13800000000000001</v>
      </c>
      <c r="BL184" s="2">
        <v>9.17</v>
      </c>
    </row>
    <row r="185" spans="30:64" x14ac:dyDescent="0.2">
      <c r="AD185" s="1" t="s">
        <v>343</v>
      </c>
      <c r="AE185" s="1" t="s">
        <v>344</v>
      </c>
      <c r="AF185" s="36" t="e">
        <f ca="1">_xll.BDP($AD185,AF$10)</f>
        <v>#NAME?</v>
      </c>
      <c r="AG185" s="36" t="e">
        <f ca="1">_xll.BDH($AD185,AG$10,$C$5,$C$5,"EQY_FUND_CRNCY=USD")</f>
        <v>#NAME?</v>
      </c>
      <c r="AH185" s="36" t="e">
        <f ca="1">_xll.BDH($AD185,AH$10,$C$5,$C$5,"EQY_FUND_CRNCY=USD")</f>
        <v>#NAME?</v>
      </c>
      <c r="AI185" s="36" t="e">
        <f ca="1">_xll.BDP($AD185,AI$10,"EQY_FUND_CRNCY=USD","FA_ADJUSTED=Y")</f>
        <v>#NAME?</v>
      </c>
      <c r="AJ185" s="36" t="e">
        <f ca="1">_xll.BDP($AD185,AJ$10,"BEST_FPERIOD_OVERRIDE=1TY","EQY_FUND_CRNCY=USD","FA_ADJUSTED=Y")</f>
        <v>#NAME?</v>
      </c>
      <c r="AK185" s="44" t="e">
        <f t="shared" ca="1" si="29"/>
        <v>#NAME?</v>
      </c>
      <c r="AL185" s="36" t="e">
        <f ca="1">_xll.BDP($AD185,AL$10,"EQY_FUND_CRNCY=USD","FA_ADJUSTED=Y")</f>
        <v>#NAME?</v>
      </c>
      <c r="AM185" s="36" t="e">
        <f ca="1">_xll.BDP($AD185,AM$10,"BEST_FPERIOD_OVERRIDE=1TY","EQY_FUND_CRNCY=USD","FA_ADJUSTED=Y")</f>
        <v>#NAME?</v>
      </c>
      <c r="AN185" s="36" t="e">
        <f ca="1">_xll.BDP($AD185,AN$10,"BEST_FPERIOD_OVERRIDE=1TY","EQY_FUND_CRNCY=USD","FA_ADJUSTED=Y")</f>
        <v>#NAME?</v>
      </c>
      <c r="AO185" s="36" t="e">
        <f ca="1">_xll.BDP($AD185,AO$10,"BEST_FPERIOD_OVERRIDE=1TY","EQY_FUND_CRNCY=USD","FA_ADJUSTED=Y")</f>
        <v>#NAME?</v>
      </c>
      <c r="AP185" s="36" t="e">
        <f ca="1">_xll.BDP($AD185,AP$10,"BEST_FPERIOD_OVERRIDE=1TY","EQY_FUND_CRNCY=USD","FA_ADJUSTED=Y")</f>
        <v>#NAME?</v>
      </c>
      <c r="AQ185" s="36" t="e">
        <f ca="1">_xll.BDP($AD185,AQ$10,"EQY_FUND_CRNCY=USD","FA_ADJUSTED=Y")</f>
        <v>#NAME?</v>
      </c>
      <c r="AR185" s="36" t="e">
        <f ca="1">_xll.BDP($AD185,AR$10,"BEST_FPERIOD_OVERRIDE=1TY","EQY_FUND_CRNCY=USD","FA_ADJUSTED=Y")</f>
        <v>#NAME?</v>
      </c>
      <c r="AS185" s="36" t="e">
        <f ca="1">_xll.BDP($AD185,AS$10,"EQY_FUND_CRNCY=USD","FA_ADJUSTED=Y")</f>
        <v>#NAME?</v>
      </c>
      <c r="AT185" s="36" t="e">
        <f ca="1">_xll.BDP($AD185,AT$10,"BEST_FPERIOD_OVERRIDE=1TY","EQY_FUND_CRNCY=USD","FA_ADJUSTED=Y")</f>
        <v>#NAME?</v>
      </c>
      <c r="AV185" s="2" t="s">
        <v>343</v>
      </c>
      <c r="AW185" s="2" t="s">
        <v>344</v>
      </c>
      <c r="AX185" s="2" t="s">
        <v>495</v>
      </c>
      <c r="AY185" s="2">
        <v>441.25279999999998</v>
      </c>
      <c r="AZ185" s="2">
        <v>343.18979999999999</v>
      </c>
      <c r="BA185" s="2">
        <v>181.369</v>
      </c>
      <c r="BB185" s="2">
        <v>204.3</v>
      </c>
      <c r="BC185" s="2">
        <v>0.12643285236175972</v>
      </c>
      <c r="BD185" s="2">
        <v>150.5580012512207</v>
      </c>
      <c r="BE185" s="2">
        <v>85.167000000000002</v>
      </c>
      <c r="BF185" s="2">
        <v>75.349999999999994</v>
      </c>
      <c r="BG185" s="2">
        <v>96.477000000000004</v>
      </c>
      <c r="BH185" s="2">
        <v>28.091000000000001</v>
      </c>
      <c r="BI185" s="2">
        <v>-47.040999999999997</v>
      </c>
      <c r="BJ185" s="2">
        <v>-1.17</v>
      </c>
      <c r="BK185" s="2">
        <v>-51.76737</v>
      </c>
      <c r="BL185" s="2">
        <v>-1.5449999999999999</v>
      </c>
    </row>
    <row r="186" spans="30:64" x14ac:dyDescent="0.2">
      <c r="AD186" s="1" t="s">
        <v>345</v>
      </c>
      <c r="AE186" s="1" t="s">
        <v>346</v>
      </c>
      <c r="AF186" s="36" t="e">
        <f ca="1">_xll.BDP($AD186,AF$10)</f>
        <v>#NAME?</v>
      </c>
      <c r="AG186" s="36" t="e">
        <f ca="1">_xll.BDH($AD186,AG$10,$C$5,$C$5,"EQY_FUND_CRNCY=USD")</f>
        <v>#NAME?</v>
      </c>
      <c r="AH186" s="36" t="e">
        <f ca="1">_xll.BDH($AD186,AH$10,$C$5,$C$5,"EQY_FUND_CRNCY=USD")</f>
        <v>#NAME?</v>
      </c>
      <c r="AI186" s="36" t="e">
        <f ca="1">_xll.BDP($AD186,AI$10,"EQY_FUND_CRNCY=USD","FA_ADJUSTED=Y")</f>
        <v>#NAME?</v>
      </c>
      <c r="AJ186" s="36" t="e">
        <f ca="1">_xll.BDP($AD186,AJ$10,"BEST_FPERIOD_OVERRIDE=1TY","EQY_FUND_CRNCY=USD","FA_ADJUSTED=Y")</f>
        <v>#NAME?</v>
      </c>
      <c r="AK186" s="44" t="e">
        <f t="shared" ca="1" si="29"/>
        <v>#NAME?</v>
      </c>
      <c r="AL186" s="36" t="e">
        <f ca="1">_xll.BDP($AD186,AL$10,"EQY_FUND_CRNCY=USD","FA_ADJUSTED=Y")</f>
        <v>#NAME?</v>
      </c>
      <c r="AM186" s="36" t="e">
        <f ca="1">_xll.BDP($AD186,AM$10,"BEST_FPERIOD_OVERRIDE=1TY","EQY_FUND_CRNCY=USD","FA_ADJUSTED=Y")</f>
        <v>#NAME?</v>
      </c>
      <c r="AN186" s="36" t="e">
        <f ca="1">_xll.BDP($AD186,AN$10,"BEST_FPERIOD_OVERRIDE=1TY","EQY_FUND_CRNCY=USD","FA_ADJUSTED=Y")</f>
        <v>#NAME?</v>
      </c>
      <c r="AO186" s="36" t="e">
        <f ca="1">_xll.BDP($AD186,AO$10,"BEST_FPERIOD_OVERRIDE=1TY","EQY_FUND_CRNCY=USD","FA_ADJUSTED=Y")</f>
        <v>#NAME?</v>
      </c>
      <c r="AP186" s="36" t="e">
        <f ca="1">_xll.BDP($AD186,AP$10,"BEST_FPERIOD_OVERRIDE=1TY","EQY_FUND_CRNCY=USD","FA_ADJUSTED=Y")</f>
        <v>#NAME?</v>
      </c>
      <c r="AQ186" s="36" t="e">
        <f ca="1">_xll.BDP($AD186,AQ$10,"EQY_FUND_CRNCY=USD","FA_ADJUSTED=Y")</f>
        <v>#NAME?</v>
      </c>
      <c r="AR186" s="36" t="e">
        <f ca="1">_xll.BDP($AD186,AR$10,"BEST_FPERIOD_OVERRIDE=1TY","EQY_FUND_CRNCY=USD","FA_ADJUSTED=Y")</f>
        <v>#NAME?</v>
      </c>
      <c r="AS186" s="36" t="e">
        <f ca="1">_xll.BDP($AD186,AS$10,"EQY_FUND_CRNCY=USD","FA_ADJUSTED=Y")</f>
        <v>#NAME?</v>
      </c>
      <c r="AT186" s="36" t="e">
        <f ca="1">_xll.BDP($AD186,AT$10,"BEST_FPERIOD_OVERRIDE=1TY","EQY_FUND_CRNCY=USD","FA_ADJUSTED=Y")</f>
        <v>#NAME?</v>
      </c>
      <c r="AV186" s="2" t="s">
        <v>345</v>
      </c>
      <c r="AW186" s="2" t="s">
        <v>346</v>
      </c>
      <c r="AX186" s="2" t="s">
        <v>495</v>
      </c>
      <c r="AY186" s="2">
        <v>457.74169999999998</v>
      </c>
      <c r="AZ186" s="2">
        <v>1157.5277000000001</v>
      </c>
      <c r="BA186" s="2">
        <v>108.524</v>
      </c>
      <c r="BB186" s="2">
        <v>148.155</v>
      </c>
      <c r="BC186" s="2">
        <v>0.36518189524897715</v>
      </c>
      <c r="BD186" s="2">
        <v>63.605000000000004</v>
      </c>
      <c r="BE186" s="2">
        <v>63.567</v>
      </c>
      <c r="BF186" s="2">
        <v>78.260999999999996</v>
      </c>
      <c r="BG186" s="2">
        <v>131.80199999999999</v>
      </c>
      <c r="BH186" s="2">
        <v>29.323</v>
      </c>
      <c r="BI186" s="2">
        <v>-158.636</v>
      </c>
      <c r="BJ186" s="2">
        <v>-121.8</v>
      </c>
      <c r="BK186" s="2">
        <v>-176.56200000000001</v>
      </c>
      <c r="BL186" s="2">
        <v>-144.13300000000001</v>
      </c>
    </row>
    <row r="187" spans="30:64" x14ac:dyDescent="0.2">
      <c r="AD187" s="1" t="s">
        <v>347</v>
      </c>
      <c r="AE187" s="1" t="s">
        <v>348</v>
      </c>
      <c r="AF187" s="36" t="e">
        <f ca="1">_xll.BDP($AD187,AF$10)</f>
        <v>#NAME?</v>
      </c>
      <c r="AG187" s="36" t="e">
        <f ca="1">_xll.BDH($AD187,AG$10,$C$5,$C$5,"EQY_FUND_CRNCY=USD")</f>
        <v>#NAME?</v>
      </c>
      <c r="AH187" s="36" t="e">
        <f ca="1">_xll.BDH($AD187,AH$10,$C$5,$C$5,"EQY_FUND_CRNCY=USD")</f>
        <v>#NAME?</v>
      </c>
      <c r="AI187" s="36" t="e">
        <f ca="1">_xll.BDP($AD187,AI$10,"EQY_FUND_CRNCY=USD","FA_ADJUSTED=Y")</f>
        <v>#NAME?</v>
      </c>
      <c r="AJ187" s="36" t="e">
        <f ca="1">_xll.BDP($AD187,AJ$10,"BEST_FPERIOD_OVERRIDE=1TY","EQY_FUND_CRNCY=USD","FA_ADJUSTED=Y")</f>
        <v>#NAME?</v>
      </c>
      <c r="AK187" s="44" t="e">
        <f t="shared" ca="1" si="29"/>
        <v>#NAME?</v>
      </c>
      <c r="AL187" s="36" t="e">
        <f ca="1">_xll.BDP($AD187,AL$10,"EQY_FUND_CRNCY=USD","FA_ADJUSTED=Y")</f>
        <v>#NAME?</v>
      </c>
      <c r="AM187" s="36" t="e">
        <f ca="1">_xll.BDP($AD187,AM$10,"BEST_FPERIOD_OVERRIDE=1TY","EQY_FUND_CRNCY=USD","FA_ADJUSTED=Y")</f>
        <v>#NAME?</v>
      </c>
      <c r="AN187" s="36" t="e">
        <f ca="1">_xll.BDP($AD187,AN$10,"BEST_FPERIOD_OVERRIDE=1TY","EQY_FUND_CRNCY=USD","FA_ADJUSTED=Y")</f>
        <v>#NAME?</v>
      </c>
      <c r="AO187" s="36" t="e">
        <f ca="1">_xll.BDP($AD187,AO$10,"BEST_FPERIOD_OVERRIDE=1TY","EQY_FUND_CRNCY=USD","FA_ADJUSTED=Y")</f>
        <v>#NAME?</v>
      </c>
      <c r="AP187" s="36" t="e">
        <f ca="1">_xll.BDP($AD187,AP$10,"BEST_FPERIOD_OVERRIDE=1TY","EQY_FUND_CRNCY=USD","FA_ADJUSTED=Y")</f>
        <v>#NAME?</v>
      </c>
      <c r="AQ187" s="36" t="e">
        <f ca="1">_xll.BDP($AD187,AQ$10,"EQY_FUND_CRNCY=USD","FA_ADJUSTED=Y")</f>
        <v>#NAME?</v>
      </c>
      <c r="AR187" s="36" t="e">
        <f ca="1">_xll.BDP($AD187,AR$10,"BEST_FPERIOD_OVERRIDE=1TY","EQY_FUND_CRNCY=USD","FA_ADJUSTED=Y")</f>
        <v>#NAME?</v>
      </c>
      <c r="AS187" s="36" t="e">
        <f ca="1">_xll.BDP($AD187,AS$10,"EQY_FUND_CRNCY=USD","FA_ADJUSTED=Y")</f>
        <v>#NAME?</v>
      </c>
      <c r="AT187" s="36" t="e">
        <f ca="1">_xll.BDP($AD187,AT$10,"BEST_FPERIOD_OVERRIDE=1TY","EQY_FUND_CRNCY=USD","FA_ADJUSTED=Y")</f>
        <v>#NAME?</v>
      </c>
      <c r="AV187" s="2" t="s">
        <v>347</v>
      </c>
      <c r="AW187" s="2" t="s">
        <v>348</v>
      </c>
      <c r="AX187" s="2" t="s">
        <v>495</v>
      </c>
      <c r="AY187" s="2">
        <v>429.7122</v>
      </c>
      <c r="AZ187" s="2">
        <v>470.75220000000002</v>
      </c>
      <c r="BA187" s="2">
        <v>180.358</v>
      </c>
      <c r="BB187" s="2">
        <v>258.2</v>
      </c>
      <c r="BC187" s="2">
        <v>0.43159715676598753</v>
      </c>
      <c r="BD187" s="2">
        <v>105.83699935913086</v>
      </c>
      <c r="BE187" s="2">
        <v>60.7</v>
      </c>
      <c r="BF187" s="2">
        <v>0</v>
      </c>
      <c r="BG187" s="2">
        <v>66.759</v>
      </c>
      <c r="BH187" s="2">
        <v>36.143999999999998</v>
      </c>
      <c r="BI187" s="2" t="s">
        <v>480</v>
      </c>
      <c r="BJ187" s="2" t="s">
        <v>480</v>
      </c>
      <c r="BK187" s="2">
        <v>-43.747073399999998</v>
      </c>
      <c r="BL187" s="2">
        <v>1.6990000000000001</v>
      </c>
    </row>
    <row r="188" spans="30:64" x14ac:dyDescent="0.2">
      <c r="AD188" s="1" t="s">
        <v>349</v>
      </c>
      <c r="AE188" s="1" t="s">
        <v>350</v>
      </c>
      <c r="AF188" s="36" t="e">
        <f ca="1">_xll.BDP($AD188,AF$10)</f>
        <v>#NAME?</v>
      </c>
      <c r="AG188" s="36" t="e">
        <f ca="1">_xll.BDH($AD188,AG$10,$C$5,$C$5,"EQY_FUND_CRNCY=USD")</f>
        <v>#NAME?</v>
      </c>
      <c r="AH188" s="36" t="e">
        <f ca="1">_xll.BDH($AD188,AH$10,$C$5,$C$5,"EQY_FUND_CRNCY=USD")</f>
        <v>#NAME?</v>
      </c>
      <c r="AI188" s="36" t="e">
        <f ca="1">_xll.BDP($AD188,AI$10,"EQY_FUND_CRNCY=USD","FA_ADJUSTED=Y")</f>
        <v>#NAME?</v>
      </c>
      <c r="AJ188" s="36" t="e">
        <f ca="1">_xll.BDP($AD188,AJ$10,"BEST_FPERIOD_OVERRIDE=1TY","EQY_FUND_CRNCY=USD","FA_ADJUSTED=Y")</f>
        <v>#NAME?</v>
      </c>
      <c r="AK188" s="44" t="e">
        <f t="shared" ca="1" si="29"/>
        <v>#NAME?</v>
      </c>
      <c r="AL188" s="36" t="e">
        <f ca="1">_xll.BDP($AD188,AL$10,"EQY_FUND_CRNCY=USD","FA_ADJUSTED=Y")</f>
        <v>#NAME?</v>
      </c>
      <c r="AM188" s="36" t="e">
        <f ca="1">_xll.BDP($AD188,AM$10,"BEST_FPERIOD_OVERRIDE=1TY","EQY_FUND_CRNCY=USD","FA_ADJUSTED=Y")</f>
        <v>#NAME?</v>
      </c>
      <c r="AN188" s="36" t="e">
        <f ca="1">_xll.BDP($AD188,AN$10,"BEST_FPERIOD_OVERRIDE=1TY","EQY_FUND_CRNCY=USD","FA_ADJUSTED=Y")</f>
        <v>#NAME?</v>
      </c>
      <c r="AO188" s="36" t="e">
        <f ca="1">_xll.BDP($AD188,AO$10,"BEST_FPERIOD_OVERRIDE=1TY","EQY_FUND_CRNCY=USD","FA_ADJUSTED=Y")</f>
        <v>#NAME?</v>
      </c>
      <c r="AP188" s="36" t="e">
        <f ca="1">_xll.BDP($AD188,AP$10,"BEST_FPERIOD_OVERRIDE=1TY","EQY_FUND_CRNCY=USD","FA_ADJUSTED=Y")</f>
        <v>#NAME?</v>
      </c>
      <c r="AQ188" s="36" t="e">
        <f ca="1">_xll.BDP($AD188,AQ$10,"EQY_FUND_CRNCY=USD","FA_ADJUSTED=Y")</f>
        <v>#NAME?</v>
      </c>
      <c r="AR188" s="36" t="e">
        <f ca="1">_xll.BDP($AD188,AR$10,"BEST_FPERIOD_OVERRIDE=1TY","EQY_FUND_CRNCY=USD","FA_ADJUSTED=Y")</f>
        <v>#NAME?</v>
      </c>
      <c r="AS188" s="36" t="e">
        <f ca="1">_xll.BDP($AD188,AS$10,"EQY_FUND_CRNCY=USD","FA_ADJUSTED=Y")</f>
        <v>#NAME?</v>
      </c>
      <c r="AT188" s="36" t="e">
        <f ca="1">_xll.BDP($AD188,AT$10,"BEST_FPERIOD_OVERRIDE=1TY","EQY_FUND_CRNCY=USD","FA_ADJUSTED=Y")</f>
        <v>#NAME?</v>
      </c>
      <c r="AV188" s="2" t="s">
        <v>349</v>
      </c>
      <c r="AW188" s="2" t="s">
        <v>350</v>
      </c>
      <c r="AX188" s="2" t="s">
        <v>506</v>
      </c>
      <c r="AY188" s="2">
        <v>419.72030000000001</v>
      </c>
      <c r="AZ188" s="2">
        <v>243.3655</v>
      </c>
      <c r="BA188" s="2">
        <v>0</v>
      </c>
      <c r="BB188" s="2">
        <v>292.72500000000002</v>
      </c>
      <c r="BC188" s="2" t="e">
        <v>#DIV/0!</v>
      </c>
      <c r="BD188" s="2">
        <v>0</v>
      </c>
      <c r="BE188" s="2">
        <v>32</v>
      </c>
      <c r="BF188" s="2">
        <v>0</v>
      </c>
      <c r="BG188" s="2" t="s">
        <v>480</v>
      </c>
      <c r="BH188" s="2" t="s">
        <v>480</v>
      </c>
      <c r="BI188" s="2">
        <v>-1.8268180000000001</v>
      </c>
      <c r="BJ188" s="2">
        <v>43.7</v>
      </c>
      <c r="BK188" s="2">
        <v>-0.224888</v>
      </c>
      <c r="BL188" s="2">
        <v>20.91</v>
      </c>
    </row>
    <row r="189" spans="30:64" x14ac:dyDescent="0.2">
      <c r="AD189" s="1" t="s">
        <v>351</v>
      </c>
      <c r="AE189" s="1" t="s">
        <v>352</v>
      </c>
      <c r="AF189" s="36" t="e">
        <f ca="1">_xll.BDP($AD189,AF$10)</f>
        <v>#NAME?</v>
      </c>
      <c r="AG189" s="36" t="e">
        <f ca="1">_xll.BDH($AD189,AG$10,$C$5,$C$5,"EQY_FUND_CRNCY=USD")</f>
        <v>#NAME?</v>
      </c>
      <c r="AH189" s="36" t="e">
        <f ca="1">_xll.BDH($AD189,AH$10,$C$5,$C$5,"EQY_FUND_CRNCY=USD")</f>
        <v>#NAME?</v>
      </c>
      <c r="AI189" s="36" t="e">
        <f ca="1">_xll.BDP($AD189,AI$10,"EQY_FUND_CRNCY=USD","FA_ADJUSTED=Y")</f>
        <v>#NAME?</v>
      </c>
      <c r="AJ189" s="36" t="e">
        <f ca="1">_xll.BDP($AD189,AJ$10,"BEST_FPERIOD_OVERRIDE=1TY","EQY_FUND_CRNCY=USD","FA_ADJUSTED=Y")</f>
        <v>#NAME?</v>
      </c>
      <c r="AK189" s="44" t="e">
        <f t="shared" ca="1" si="29"/>
        <v>#NAME?</v>
      </c>
      <c r="AL189" s="36" t="e">
        <f ca="1">_xll.BDP($AD189,AL$10,"EQY_FUND_CRNCY=USD","FA_ADJUSTED=Y")</f>
        <v>#NAME?</v>
      </c>
      <c r="AM189" s="36" t="e">
        <f ca="1">_xll.BDP($AD189,AM$10,"BEST_FPERIOD_OVERRIDE=1TY","EQY_FUND_CRNCY=USD","FA_ADJUSTED=Y")</f>
        <v>#NAME?</v>
      </c>
      <c r="AN189" s="36" t="e">
        <f ca="1">_xll.BDP($AD189,AN$10,"BEST_FPERIOD_OVERRIDE=1TY","EQY_FUND_CRNCY=USD","FA_ADJUSTED=Y")</f>
        <v>#NAME?</v>
      </c>
      <c r="AO189" s="36" t="e">
        <f ca="1">_xll.BDP($AD189,AO$10,"BEST_FPERIOD_OVERRIDE=1TY","EQY_FUND_CRNCY=USD","FA_ADJUSTED=Y")</f>
        <v>#NAME?</v>
      </c>
      <c r="AP189" s="36" t="e">
        <f ca="1">_xll.BDP($AD189,AP$10,"BEST_FPERIOD_OVERRIDE=1TY","EQY_FUND_CRNCY=USD","FA_ADJUSTED=Y")</f>
        <v>#NAME?</v>
      </c>
      <c r="AQ189" s="36" t="e">
        <f ca="1">_xll.BDP($AD189,AQ$10,"EQY_FUND_CRNCY=USD","FA_ADJUSTED=Y")</f>
        <v>#NAME?</v>
      </c>
      <c r="AR189" s="36" t="e">
        <f ca="1">_xll.BDP($AD189,AR$10,"BEST_FPERIOD_OVERRIDE=1TY","EQY_FUND_CRNCY=USD","FA_ADJUSTED=Y")</f>
        <v>#NAME?</v>
      </c>
      <c r="AS189" s="36" t="e">
        <f ca="1">_xll.BDP($AD189,AS$10,"EQY_FUND_CRNCY=USD","FA_ADJUSTED=Y")</f>
        <v>#NAME?</v>
      </c>
      <c r="AT189" s="36" t="e">
        <f ca="1">_xll.BDP($AD189,AT$10,"BEST_FPERIOD_OVERRIDE=1TY","EQY_FUND_CRNCY=USD","FA_ADJUSTED=Y")</f>
        <v>#NAME?</v>
      </c>
      <c r="AV189" s="2" t="s">
        <v>351</v>
      </c>
      <c r="AW189" s="2" t="s">
        <v>352</v>
      </c>
      <c r="AX189" s="2" t="s">
        <v>505</v>
      </c>
      <c r="AY189" s="2">
        <v>418.06700000000001</v>
      </c>
      <c r="AZ189" s="2">
        <v>290.68</v>
      </c>
      <c r="BA189" s="2">
        <v>231.34999999999997</v>
      </c>
      <c r="BB189" s="2">
        <v>233.3</v>
      </c>
      <c r="BC189" s="2">
        <v>8.4287875513293642E-3</v>
      </c>
      <c r="BD189" s="2">
        <v>179.79799935913087</v>
      </c>
      <c r="BE189" s="2">
        <v>76.850000000000009</v>
      </c>
      <c r="BF189" s="2">
        <v>62.991</v>
      </c>
      <c r="BG189" s="2">
        <v>101.36</v>
      </c>
      <c r="BH189" s="2">
        <v>28.132000000000001</v>
      </c>
      <c r="BI189" s="2">
        <v>-9.2555696202529987</v>
      </c>
      <c r="BJ189" s="2">
        <v>8.7000000000000011</v>
      </c>
      <c r="BK189" s="2">
        <v>-19.502000000000002</v>
      </c>
      <c r="BL189" s="2">
        <v>-0.72199999999999998</v>
      </c>
    </row>
    <row r="190" spans="30:64" x14ac:dyDescent="0.2">
      <c r="AD190" s="1" t="s">
        <v>353</v>
      </c>
      <c r="AE190" s="1" t="s">
        <v>354</v>
      </c>
      <c r="AF190" s="36" t="e">
        <f ca="1">_xll.BDP($AD190,AF$10)</f>
        <v>#NAME?</v>
      </c>
      <c r="AG190" s="36" t="e">
        <f ca="1">_xll.BDH($AD190,AG$10,$C$5,$C$5,"EQY_FUND_CRNCY=USD")</f>
        <v>#NAME?</v>
      </c>
      <c r="AH190" s="36" t="e">
        <f ca="1">_xll.BDH($AD190,AH$10,$C$5,$C$5,"EQY_FUND_CRNCY=USD")</f>
        <v>#NAME?</v>
      </c>
      <c r="AI190" s="36" t="e">
        <f ca="1">_xll.BDP($AD190,AI$10,"EQY_FUND_CRNCY=USD","FA_ADJUSTED=Y")</f>
        <v>#NAME?</v>
      </c>
      <c r="AJ190" s="36" t="e">
        <f ca="1">_xll.BDP($AD190,AJ$10,"BEST_FPERIOD_OVERRIDE=1TY","EQY_FUND_CRNCY=USD","FA_ADJUSTED=Y")</f>
        <v>#NAME?</v>
      </c>
      <c r="AK190" s="44" t="e">
        <f t="shared" ca="1" si="29"/>
        <v>#NAME?</v>
      </c>
      <c r="AL190" s="36" t="e">
        <f ca="1">_xll.BDP($AD190,AL$10,"EQY_FUND_CRNCY=USD","FA_ADJUSTED=Y")</f>
        <v>#NAME?</v>
      </c>
      <c r="AM190" s="36" t="e">
        <f ca="1">_xll.BDP($AD190,AM$10,"BEST_FPERIOD_OVERRIDE=1TY","EQY_FUND_CRNCY=USD","FA_ADJUSTED=Y")</f>
        <v>#NAME?</v>
      </c>
      <c r="AN190" s="36" t="e">
        <f ca="1">_xll.BDP($AD190,AN$10,"BEST_FPERIOD_OVERRIDE=1TY","EQY_FUND_CRNCY=USD","FA_ADJUSTED=Y")</f>
        <v>#NAME?</v>
      </c>
      <c r="AO190" s="36" t="e">
        <f ca="1">_xll.BDP($AD190,AO$10,"BEST_FPERIOD_OVERRIDE=1TY","EQY_FUND_CRNCY=USD","FA_ADJUSTED=Y")</f>
        <v>#NAME?</v>
      </c>
      <c r="AP190" s="36" t="e">
        <f ca="1">_xll.BDP($AD190,AP$10,"BEST_FPERIOD_OVERRIDE=1TY","EQY_FUND_CRNCY=USD","FA_ADJUSTED=Y")</f>
        <v>#NAME?</v>
      </c>
      <c r="AQ190" s="36" t="e">
        <f ca="1">_xll.BDP($AD190,AQ$10,"EQY_FUND_CRNCY=USD","FA_ADJUSTED=Y")</f>
        <v>#NAME?</v>
      </c>
      <c r="AR190" s="36" t="e">
        <f ca="1">_xll.BDP($AD190,AR$10,"BEST_FPERIOD_OVERRIDE=1TY","EQY_FUND_CRNCY=USD","FA_ADJUSTED=Y")</f>
        <v>#NAME?</v>
      </c>
      <c r="AS190" s="36" t="e">
        <f ca="1">_xll.BDP($AD190,AS$10,"EQY_FUND_CRNCY=USD","FA_ADJUSTED=Y")</f>
        <v>#NAME?</v>
      </c>
      <c r="AT190" s="36" t="e">
        <f ca="1">_xll.BDP($AD190,AT$10,"BEST_FPERIOD_OVERRIDE=1TY","EQY_FUND_CRNCY=USD","FA_ADJUSTED=Y")</f>
        <v>#NAME?</v>
      </c>
      <c r="AV190" s="2" t="s">
        <v>353</v>
      </c>
      <c r="AW190" s="2" t="s">
        <v>354</v>
      </c>
      <c r="AX190" s="2" t="s">
        <v>495</v>
      </c>
      <c r="AY190" s="2">
        <v>403.09989999999999</v>
      </c>
      <c r="AZ190" s="2">
        <v>388.22890000000001</v>
      </c>
      <c r="BA190" s="2">
        <v>29.199000000000002</v>
      </c>
      <c r="BB190" s="2">
        <v>39.658999999999999</v>
      </c>
      <c r="BC190" s="2">
        <v>0.35823144628240677</v>
      </c>
      <c r="BD190" s="2">
        <v>15.933999778747559</v>
      </c>
      <c r="BE190" s="2">
        <v>56.929000000000002</v>
      </c>
      <c r="BF190" s="2">
        <v>4.1589999999999998</v>
      </c>
      <c r="BG190" s="2">
        <v>6.1790000000000003</v>
      </c>
      <c r="BH190" s="2">
        <v>5.5949999999999998</v>
      </c>
      <c r="BI190" s="2">
        <v>0.91400000000000003</v>
      </c>
      <c r="BJ190" s="2">
        <v>6.827</v>
      </c>
      <c r="BK190" s="2">
        <v>-4.5880099999999997</v>
      </c>
      <c r="BL190" s="2">
        <v>0.89500000000000002</v>
      </c>
    </row>
    <row r="191" spans="30:64" x14ac:dyDescent="0.2">
      <c r="AD191" s="1" t="s">
        <v>355</v>
      </c>
      <c r="AE191" s="1" t="s">
        <v>356</v>
      </c>
      <c r="AF191" s="36" t="e">
        <f ca="1">_xll.BDP($AD191,AF$10)</f>
        <v>#NAME?</v>
      </c>
      <c r="AG191" s="36" t="e">
        <f ca="1">_xll.BDH($AD191,AG$10,$C$5,$C$5,"EQY_FUND_CRNCY=USD")</f>
        <v>#NAME?</v>
      </c>
      <c r="AH191" s="36" t="e">
        <f ca="1">_xll.BDH($AD191,AH$10,$C$5,$C$5,"EQY_FUND_CRNCY=USD")</f>
        <v>#NAME?</v>
      </c>
      <c r="AI191" s="36" t="e">
        <f ca="1">_xll.BDP($AD191,AI$10,"EQY_FUND_CRNCY=USD","FA_ADJUSTED=Y")</f>
        <v>#NAME?</v>
      </c>
      <c r="AJ191" s="36" t="e">
        <f ca="1">_xll.BDP($AD191,AJ$10,"BEST_FPERIOD_OVERRIDE=1TY","EQY_FUND_CRNCY=USD","FA_ADJUSTED=Y")</f>
        <v>#NAME?</v>
      </c>
      <c r="AK191" s="44" t="e">
        <f t="shared" ca="1" si="29"/>
        <v>#NAME?</v>
      </c>
      <c r="AL191" s="36" t="e">
        <f ca="1">_xll.BDP($AD191,AL$10,"EQY_FUND_CRNCY=USD","FA_ADJUSTED=Y")</f>
        <v>#NAME?</v>
      </c>
      <c r="AM191" s="36" t="e">
        <f ca="1">_xll.BDP($AD191,AM$10,"BEST_FPERIOD_OVERRIDE=1TY","EQY_FUND_CRNCY=USD","FA_ADJUSTED=Y")</f>
        <v>#NAME?</v>
      </c>
      <c r="AN191" s="36" t="e">
        <f ca="1">_xll.BDP($AD191,AN$10,"BEST_FPERIOD_OVERRIDE=1TY","EQY_FUND_CRNCY=USD","FA_ADJUSTED=Y")</f>
        <v>#NAME?</v>
      </c>
      <c r="AO191" s="36" t="e">
        <f ca="1">_xll.BDP($AD191,AO$10,"BEST_FPERIOD_OVERRIDE=1TY","EQY_FUND_CRNCY=USD","FA_ADJUSTED=Y")</f>
        <v>#NAME?</v>
      </c>
      <c r="AP191" s="36" t="e">
        <f ca="1">_xll.BDP($AD191,AP$10,"BEST_FPERIOD_OVERRIDE=1TY","EQY_FUND_CRNCY=USD","FA_ADJUSTED=Y")</f>
        <v>#NAME?</v>
      </c>
      <c r="AQ191" s="36" t="e">
        <f ca="1">_xll.BDP($AD191,AQ$10,"EQY_FUND_CRNCY=USD","FA_ADJUSTED=Y")</f>
        <v>#NAME?</v>
      </c>
      <c r="AR191" s="36" t="e">
        <f ca="1">_xll.BDP($AD191,AR$10,"BEST_FPERIOD_OVERRIDE=1TY","EQY_FUND_CRNCY=USD","FA_ADJUSTED=Y")</f>
        <v>#NAME?</v>
      </c>
      <c r="AS191" s="36" t="e">
        <f ca="1">_xll.BDP($AD191,AS$10,"EQY_FUND_CRNCY=USD","FA_ADJUSTED=Y")</f>
        <v>#NAME?</v>
      </c>
      <c r="AT191" s="36" t="e">
        <f ca="1">_xll.BDP($AD191,AT$10,"BEST_FPERIOD_OVERRIDE=1TY","EQY_FUND_CRNCY=USD","FA_ADJUSTED=Y")</f>
        <v>#NAME?</v>
      </c>
      <c r="AV191" s="2" t="s">
        <v>355</v>
      </c>
      <c r="AW191" s="2" t="s">
        <v>356</v>
      </c>
      <c r="AX191" s="2" t="s">
        <v>495</v>
      </c>
      <c r="AY191" s="2">
        <v>401.76179999999999</v>
      </c>
      <c r="AZ191" s="2">
        <v>374.9058</v>
      </c>
      <c r="BA191" s="2">
        <v>271.697</v>
      </c>
      <c r="BB191" s="2">
        <v>301</v>
      </c>
      <c r="BC191" s="2">
        <v>0.10785176133707775</v>
      </c>
      <c r="BD191" s="2">
        <v>87.58700073242187</v>
      </c>
      <c r="BE191" s="2">
        <v>33</v>
      </c>
      <c r="BF191" s="2">
        <v>6.9419999999999993</v>
      </c>
      <c r="BG191" s="2">
        <v>27.244</v>
      </c>
      <c r="BH191" s="2">
        <v>22.837</v>
      </c>
      <c r="BI191" s="2">
        <v>41.933999999999997</v>
      </c>
      <c r="BJ191" s="2" t="s">
        <v>480</v>
      </c>
      <c r="BK191" s="2">
        <v>18.194142797403998</v>
      </c>
      <c r="BL191" s="2">
        <v>29.25</v>
      </c>
    </row>
    <row r="192" spans="30:64" x14ac:dyDescent="0.2">
      <c r="AD192" s="1" t="s">
        <v>357</v>
      </c>
      <c r="AE192" s="1" t="s">
        <v>358</v>
      </c>
      <c r="AF192" s="36" t="e">
        <f ca="1">_xll.BDP($AD192,AF$10)</f>
        <v>#NAME?</v>
      </c>
      <c r="AG192" s="36" t="e">
        <f ca="1">_xll.BDH($AD192,AG$10,$C$5,$C$5,"EQY_FUND_CRNCY=USD")</f>
        <v>#NAME?</v>
      </c>
      <c r="AH192" s="36" t="e">
        <f ca="1">_xll.BDH($AD192,AH$10,$C$5,$C$5,"EQY_FUND_CRNCY=USD")</f>
        <v>#NAME?</v>
      </c>
      <c r="AI192" s="36" t="e">
        <f ca="1">_xll.BDP($AD192,AI$10,"EQY_FUND_CRNCY=USD","FA_ADJUSTED=Y")</f>
        <v>#NAME?</v>
      </c>
      <c r="AJ192" s="36" t="e">
        <f ca="1">_xll.BDP($AD192,AJ$10,"BEST_FPERIOD_OVERRIDE=1TY","EQY_FUND_CRNCY=USD","FA_ADJUSTED=Y")</f>
        <v>#NAME?</v>
      </c>
      <c r="AK192" s="44" t="e">
        <f t="shared" ca="1" si="29"/>
        <v>#NAME?</v>
      </c>
      <c r="AL192" s="36" t="e">
        <f ca="1">_xll.BDP($AD192,AL$10,"EQY_FUND_CRNCY=USD","FA_ADJUSTED=Y")</f>
        <v>#NAME?</v>
      </c>
      <c r="AM192" s="36" t="e">
        <f ca="1">_xll.BDP($AD192,AM$10,"BEST_FPERIOD_OVERRIDE=1TY","EQY_FUND_CRNCY=USD","FA_ADJUSTED=Y")</f>
        <v>#NAME?</v>
      </c>
      <c r="AN192" s="36" t="e">
        <f ca="1">_xll.BDP($AD192,AN$10,"BEST_FPERIOD_OVERRIDE=1TY","EQY_FUND_CRNCY=USD","FA_ADJUSTED=Y")</f>
        <v>#NAME?</v>
      </c>
      <c r="AO192" s="36" t="e">
        <f ca="1">_xll.BDP($AD192,AO$10,"BEST_FPERIOD_OVERRIDE=1TY","EQY_FUND_CRNCY=USD","FA_ADJUSTED=Y")</f>
        <v>#NAME?</v>
      </c>
      <c r="AP192" s="36" t="e">
        <f ca="1">_xll.BDP($AD192,AP$10,"BEST_FPERIOD_OVERRIDE=1TY","EQY_FUND_CRNCY=USD","FA_ADJUSTED=Y")</f>
        <v>#NAME?</v>
      </c>
      <c r="AQ192" s="36" t="e">
        <f ca="1">_xll.BDP($AD192,AQ$10,"EQY_FUND_CRNCY=USD","FA_ADJUSTED=Y")</f>
        <v>#NAME?</v>
      </c>
      <c r="AR192" s="36" t="e">
        <f ca="1">_xll.BDP($AD192,AR$10,"BEST_FPERIOD_OVERRIDE=1TY","EQY_FUND_CRNCY=USD","FA_ADJUSTED=Y")</f>
        <v>#NAME?</v>
      </c>
      <c r="AS192" s="36" t="e">
        <f ca="1">_xll.BDP($AD192,AS$10,"EQY_FUND_CRNCY=USD","FA_ADJUSTED=Y")</f>
        <v>#NAME?</v>
      </c>
      <c r="AT192" s="36" t="e">
        <f ca="1">_xll.BDP($AD192,AT$10,"BEST_FPERIOD_OVERRIDE=1TY","EQY_FUND_CRNCY=USD","FA_ADJUSTED=Y")</f>
        <v>#NAME?</v>
      </c>
      <c r="AV192" s="2" t="s">
        <v>357</v>
      </c>
      <c r="AW192" s="2" t="s">
        <v>358</v>
      </c>
      <c r="AX192" s="2" t="s">
        <v>495</v>
      </c>
      <c r="AY192" s="2">
        <v>391.0204</v>
      </c>
      <c r="AZ192" s="2">
        <v>44.834400000000002</v>
      </c>
      <c r="BA192" s="2">
        <v>272.36500000000001</v>
      </c>
      <c r="BB192" s="2" t="s">
        <v>480</v>
      </c>
      <c r="BC192" s="2" t="e">
        <v>#VALUE!</v>
      </c>
      <c r="BD192" s="2">
        <v>130.34599794006348</v>
      </c>
      <c r="BE192" s="2" t="s">
        <v>480</v>
      </c>
      <c r="BF192" s="2">
        <v>66.947000000000003</v>
      </c>
      <c r="BG192" s="2">
        <v>19.888000000000002</v>
      </c>
      <c r="BH192" s="2">
        <v>36.517000000000003</v>
      </c>
      <c r="BI192" s="2" t="s">
        <v>480</v>
      </c>
      <c r="BJ192" s="2" t="s">
        <v>480</v>
      </c>
      <c r="BK192" s="2">
        <v>-4.9142499999999991</v>
      </c>
      <c r="BL192" s="2" t="s">
        <v>480</v>
      </c>
    </row>
    <row r="193" spans="30:64" x14ac:dyDescent="0.2">
      <c r="AD193" s="1" t="s">
        <v>359</v>
      </c>
      <c r="AE193" s="1" t="s">
        <v>360</v>
      </c>
      <c r="AF193" s="36" t="e">
        <f ca="1">_xll.BDP($AD193,AF$10)</f>
        <v>#NAME?</v>
      </c>
      <c r="AG193" s="36" t="e">
        <f ca="1">_xll.BDH($AD193,AG$10,$C$5,$C$5,"EQY_FUND_CRNCY=USD")</f>
        <v>#NAME?</v>
      </c>
      <c r="AH193" s="36" t="e">
        <f ca="1">_xll.BDH($AD193,AH$10,$C$5,$C$5,"EQY_FUND_CRNCY=USD")</f>
        <v>#NAME?</v>
      </c>
      <c r="AI193" s="36" t="e">
        <f ca="1">_xll.BDP($AD193,AI$10,"EQY_FUND_CRNCY=USD","FA_ADJUSTED=Y")</f>
        <v>#NAME?</v>
      </c>
      <c r="AJ193" s="36" t="e">
        <f ca="1">_xll.BDP($AD193,AJ$10,"BEST_FPERIOD_OVERRIDE=1TY","EQY_FUND_CRNCY=USD","FA_ADJUSTED=Y")</f>
        <v>#NAME?</v>
      </c>
      <c r="AK193" s="44" t="e">
        <f t="shared" ca="1" si="29"/>
        <v>#NAME?</v>
      </c>
      <c r="AL193" s="36" t="e">
        <f ca="1">_xll.BDP($AD193,AL$10,"EQY_FUND_CRNCY=USD","FA_ADJUSTED=Y")</f>
        <v>#NAME?</v>
      </c>
      <c r="AM193" s="36" t="e">
        <f ca="1">_xll.BDP($AD193,AM$10,"BEST_FPERIOD_OVERRIDE=1TY","EQY_FUND_CRNCY=USD","FA_ADJUSTED=Y")</f>
        <v>#NAME?</v>
      </c>
      <c r="AN193" s="36" t="e">
        <f ca="1">_xll.BDP($AD193,AN$10,"BEST_FPERIOD_OVERRIDE=1TY","EQY_FUND_CRNCY=USD","FA_ADJUSTED=Y")</f>
        <v>#NAME?</v>
      </c>
      <c r="AO193" s="36" t="e">
        <f ca="1">_xll.BDP($AD193,AO$10,"BEST_FPERIOD_OVERRIDE=1TY","EQY_FUND_CRNCY=USD","FA_ADJUSTED=Y")</f>
        <v>#NAME?</v>
      </c>
      <c r="AP193" s="36" t="e">
        <f ca="1">_xll.BDP($AD193,AP$10,"BEST_FPERIOD_OVERRIDE=1TY","EQY_FUND_CRNCY=USD","FA_ADJUSTED=Y")</f>
        <v>#NAME?</v>
      </c>
      <c r="AQ193" s="36" t="e">
        <f ca="1">_xll.BDP($AD193,AQ$10,"EQY_FUND_CRNCY=USD","FA_ADJUSTED=Y")</f>
        <v>#NAME?</v>
      </c>
      <c r="AR193" s="36" t="e">
        <f ca="1">_xll.BDP($AD193,AR$10,"BEST_FPERIOD_OVERRIDE=1TY","EQY_FUND_CRNCY=USD","FA_ADJUSTED=Y")</f>
        <v>#NAME?</v>
      </c>
      <c r="AS193" s="36" t="e">
        <f ca="1">_xll.BDP($AD193,AS$10,"EQY_FUND_CRNCY=USD","FA_ADJUSTED=Y")</f>
        <v>#NAME?</v>
      </c>
      <c r="AT193" s="36" t="e">
        <f ca="1">_xll.BDP($AD193,AT$10,"BEST_FPERIOD_OVERRIDE=1TY","EQY_FUND_CRNCY=USD","FA_ADJUSTED=Y")</f>
        <v>#NAME?</v>
      </c>
      <c r="AV193" s="2" t="s">
        <v>359</v>
      </c>
      <c r="AW193" s="2" t="s">
        <v>360</v>
      </c>
      <c r="AX193" s="2" t="s">
        <v>506</v>
      </c>
      <c r="AY193" s="2">
        <v>389.88069999999999</v>
      </c>
      <c r="AZ193" s="2">
        <v>445.90170000000001</v>
      </c>
      <c r="BA193" s="2">
        <v>612.8889999999999</v>
      </c>
      <c r="BB193" s="2">
        <v>589</v>
      </c>
      <c r="BC193" s="2">
        <v>-3.8977694166480226E-2</v>
      </c>
      <c r="BD193" s="2">
        <v>308.35299536132811</v>
      </c>
      <c r="BE193" s="2">
        <v>46</v>
      </c>
      <c r="BF193" s="2">
        <v>1.7999999999999998</v>
      </c>
      <c r="BG193" s="2" t="s">
        <v>480</v>
      </c>
      <c r="BH193" s="2" t="s">
        <v>480</v>
      </c>
      <c r="BI193" s="2">
        <v>120.95435345666999</v>
      </c>
      <c r="BJ193" s="2" t="s">
        <v>480</v>
      </c>
      <c r="BK193" s="2">
        <v>90.13888</v>
      </c>
      <c r="BL193" s="2">
        <v>51.52</v>
      </c>
    </row>
    <row r="194" spans="30:64" x14ac:dyDescent="0.2">
      <c r="AD194" s="1" t="s">
        <v>361</v>
      </c>
      <c r="AE194" s="1" t="s">
        <v>362</v>
      </c>
      <c r="AF194" s="36" t="e">
        <f ca="1">_xll.BDP($AD194,AF$10)</f>
        <v>#NAME?</v>
      </c>
      <c r="AG194" s="36" t="e">
        <f ca="1">_xll.BDH($AD194,AG$10,$C$5,$C$5,"EQY_FUND_CRNCY=USD")</f>
        <v>#NAME?</v>
      </c>
      <c r="AH194" s="36" t="e">
        <f ca="1">_xll.BDH($AD194,AH$10,$C$5,$C$5,"EQY_FUND_CRNCY=USD")</f>
        <v>#NAME?</v>
      </c>
      <c r="AI194" s="36" t="e">
        <f ca="1">_xll.BDP($AD194,AI$10,"EQY_FUND_CRNCY=USD","FA_ADJUSTED=Y")</f>
        <v>#NAME?</v>
      </c>
      <c r="AJ194" s="36" t="e">
        <f ca="1">_xll.BDP($AD194,AJ$10,"BEST_FPERIOD_OVERRIDE=1TY","EQY_FUND_CRNCY=USD","FA_ADJUSTED=Y")</f>
        <v>#NAME?</v>
      </c>
      <c r="AK194" s="44" t="e">
        <f t="shared" ca="1" si="29"/>
        <v>#NAME?</v>
      </c>
      <c r="AL194" s="36" t="e">
        <f ca="1">_xll.BDP($AD194,AL$10,"EQY_FUND_CRNCY=USD","FA_ADJUSTED=Y")</f>
        <v>#NAME?</v>
      </c>
      <c r="AM194" s="36" t="e">
        <f ca="1">_xll.BDP($AD194,AM$10,"BEST_FPERIOD_OVERRIDE=1TY","EQY_FUND_CRNCY=USD","FA_ADJUSTED=Y")</f>
        <v>#NAME?</v>
      </c>
      <c r="AN194" s="36" t="e">
        <f ca="1">_xll.BDP($AD194,AN$10,"BEST_FPERIOD_OVERRIDE=1TY","EQY_FUND_CRNCY=USD","FA_ADJUSTED=Y")</f>
        <v>#NAME?</v>
      </c>
      <c r="AO194" s="36" t="e">
        <f ca="1">_xll.BDP($AD194,AO$10,"BEST_FPERIOD_OVERRIDE=1TY","EQY_FUND_CRNCY=USD","FA_ADJUSTED=Y")</f>
        <v>#NAME?</v>
      </c>
      <c r="AP194" s="36" t="e">
        <f ca="1">_xll.BDP($AD194,AP$10,"BEST_FPERIOD_OVERRIDE=1TY","EQY_FUND_CRNCY=USD","FA_ADJUSTED=Y")</f>
        <v>#NAME?</v>
      </c>
      <c r="AQ194" s="36" t="e">
        <f ca="1">_xll.BDP($AD194,AQ$10,"EQY_FUND_CRNCY=USD","FA_ADJUSTED=Y")</f>
        <v>#NAME?</v>
      </c>
      <c r="AR194" s="36" t="e">
        <f ca="1">_xll.BDP($AD194,AR$10,"BEST_FPERIOD_OVERRIDE=1TY","EQY_FUND_CRNCY=USD","FA_ADJUSTED=Y")</f>
        <v>#NAME?</v>
      </c>
      <c r="AS194" s="36" t="e">
        <f ca="1">_xll.BDP($AD194,AS$10,"EQY_FUND_CRNCY=USD","FA_ADJUSTED=Y")</f>
        <v>#NAME?</v>
      </c>
      <c r="AT194" s="36" t="e">
        <f ca="1">_xll.BDP($AD194,AT$10,"BEST_FPERIOD_OVERRIDE=1TY","EQY_FUND_CRNCY=USD","FA_ADJUSTED=Y")</f>
        <v>#NAME?</v>
      </c>
      <c r="AV194" s="2" t="s">
        <v>361</v>
      </c>
      <c r="AW194" s="2" t="s">
        <v>362</v>
      </c>
      <c r="AX194" s="2" t="s">
        <v>495</v>
      </c>
      <c r="AY194" s="2">
        <v>362.9982</v>
      </c>
      <c r="AZ194" s="2">
        <v>328.06920000000002</v>
      </c>
      <c r="BA194" s="2">
        <v>127.502</v>
      </c>
      <c r="BB194" s="2">
        <v>144.80000000000001</v>
      </c>
      <c r="BC194" s="2">
        <v>0.13566846010258682</v>
      </c>
      <c r="BD194" s="2">
        <v>65.636000694274898</v>
      </c>
      <c r="BE194" s="2">
        <v>51</v>
      </c>
      <c r="BF194" s="2">
        <v>27.936</v>
      </c>
      <c r="BG194" s="2">
        <v>18.074999999999999</v>
      </c>
      <c r="BH194" s="2">
        <v>24.027999999999999</v>
      </c>
      <c r="BI194" s="2">
        <v>6.6750000000000007</v>
      </c>
      <c r="BJ194" s="2">
        <v>4.774</v>
      </c>
      <c r="BK194" s="2">
        <v>-5.3883799999999997</v>
      </c>
      <c r="BL194" s="2">
        <v>-19.580000000000002</v>
      </c>
    </row>
    <row r="195" spans="30:64" x14ac:dyDescent="0.2">
      <c r="AD195" s="1" t="s">
        <v>363</v>
      </c>
      <c r="AE195" s="1" t="s">
        <v>364</v>
      </c>
      <c r="AF195" s="36" t="e">
        <f ca="1">_xll.BDP($AD195,AF$10)</f>
        <v>#NAME?</v>
      </c>
      <c r="AG195" s="36" t="e">
        <f ca="1">_xll.BDH($AD195,AG$10,$C$5,$C$5,"EQY_FUND_CRNCY=USD")</f>
        <v>#NAME?</v>
      </c>
      <c r="AH195" s="36" t="e">
        <f ca="1">_xll.BDH($AD195,AH$10,$C$5,$C$5,"EQY_FUND_CRNCY=USD")</f>
        <v>#NAME?</v>
      </c>
      <c r="AI195" s="36" t="e">
        <f ca="1">_xll.BDP($AD195,AI$10,"EQY_FUND_CRNCY=USD","FA_ADJUSTED=Y")</f>
        <v>#NAME?</v>
      </c>
      <c r="AJ195" s="36" t="e">
        <f ca="1">_xll.BDP($AD195,AJ$10,"BEST_FPERIOD_OVERRIDE=1TY","EQY_FUND_CRNCY=USD","FA_ADJUSTED=Y")</f>
        <v>#NAME?</v>
      </c>
      <c r="AK195" s="44" t="e">
        <f t="shared" ca="1" si="29"/>
        <v>#NAME?</v>
      </c>
      <c r="AL195" s="36" t="e">
        <f ca="1">_xll.BDP($AD195,AL$10,"EQY_FUND_CRNCY=USD","FA_ADJUSTED=Y")</f>
        <v>#NAME?</v>
      </c>
      <c r="AM195" s="36" t="e">
        <f ca="1">_xll.BDP($AD195,AM$10,"BEST_FPERIOD_OVERRIDE=1TY","EQY_FUND_CRNCY=USD","FA_ADJUSTED=Y")</f>
        <v>#NAME?</v>
      </c>
      <c r="AN195" s="36" t="e">
        <f ca="1">_xll.BDP($AD195,AN$10,"BEST_FPERIOD_OVERRIDE=1TY","EQY_FUND_CRNCY=USD","FA_ADJUSTED=Y")</f>
        <v>#NAME?</v>
      </c>
      <c r="AO195" s="36" t="e">
        <f ca="1">_xll.BDP($AD195,AO$10,"BEST_FPERIOD_OVERRIDE=1TY","EQY_FUND_CRNCY=USD","FA_ADJUSTED=Y")</f>
        <v>#NAME?</v>
      </c>
      <c r="AP195" s="36" t="e">
        <f ca="1">_xll.BDP($AD195,AP$10,"BEST_FPERIOD_OVERRIDE=1TY","EQY_FUND_CRNCY=USD","FA_ADJUSTED=Y")</f>
        <v>#NAME?</v>
      </c>
      <c r="AQ195" s="36" t="e">
        <f ca="1">_xll.BDP($AD195,AQ$10,"EQY_FUND_CRNCY=USD","FA_ADJUSTED=Y")</f>
        <v>#NAME?</v>
      </c>
      <c r="AR195" s="36" t="e">
        <f ca="1">_xll.BDP($AD195,AR$10,"BEST_FPERIOD_OVERRIDE=1TY","EQY_FUND_CRNCY=USD","FA_ADJUSTED=Y")</f>
        <v>#NAME?</v>
      </c>
      <c r="AS195" s="36" t="e">
        <f ca="1">_xll.BDP($AD195,AS$10,"EQY_FUND_CRNCY=USD","FA_ADJUSTED=Y")</f>
        <v>#NAME?</v>
      </c>
      <c r="AT195" s="36" t="e">
        <f ca="1">_xll.BDP($AD195,AT$10,"BEST_FPERIOD_OVERRIDE=1TY","EQY_FUND_CRNCY=USD","FA_ADJUSTED=Y")</f>
        <v>#NAME?</v>
      </c>
      <c r="AV195" s="2" t="s">
        <v>363</v>
      </c>
      <c r="AW195" s="2" t="s">
        <v>364</v>
      </c>
      <c r="AX195" s="2" t="s">
        <v>495</v>
      </c>
      <c r="AY195" s="2">
        <v>349.85969999999998</v>
      </c>
      <c r="AZ195" s="2">
        <v>265.0127</v>
      </c>
      <c r="BA195" s="2">
        <v>113.21600000000001</v>
      </c>
      <c r="BB195" s="2">
        <v>120.10000000000001</v>
      </c>
      <c r="BC195" s="2">
        <v>6.0804126625211952E-2</v>
      </c>
      <c r="BD195" s="2">
        <v>61.229999687194827</v>
      </c>
      <c r="BE195" s="2">
        <v>49.4</v>
      </c>
      <c r="BF195" s="2">
        <v>11.876999999999999</v>
      </c>
      <c r="BG195" s="2">
        <v>20.658000000000001</v>
      </c>
      <c r="BH195" s="2">
        <v>16.056999999999999</v>
      </c>
      <c r="BI195" s="2">
        <v>16.959000000000003</v>
      </c>
      <c r="BJ195" s="2">
        <v>17.72</v>
      </c>
      <c r="BK195" s="2">
        <v>9.6010000000000009</v>
      </c>
      <c r="BL195" s="2">
        <v>9.89</v>
      </c>
    </row>
    <row r="196" spans="30:64" x14ac:dyDescent="0.2">
      <c r="AD196" s="1" t="s">
        <v>365</v>
      </c>
      <c r="AE196" s="1" t="s">
        <v>366</v>
      </c>
      <c r="AF196" s="36" t="e">
        <f ca="1">_xll.BDP($AD196,AF$10)</f>
        <v>#NAME?</v>
      </c>
      <c r="AG196" s="36" t="e">
        <f ca="1">_xll.BDH($AD196,AG$10,$C$5,$C$5,"EQY_FUND_CRNCY=USD")</f>
        <v>#NAME?</v>
      </c>
      <c r="AH196" s="36" t="e">
        <f ca="1">_xll.BDH($AD196,AH$10,$C$5,$C$5,"EQY_FUND_CRNCY=USD")</f>
        <v>#NAME?</v>
      </c>
      <c r="AI196" s="36" t="e">
        <f ca="1">_xll.BDP($AD196,AI$10,"EQY_FUND_CRNCY=USD","FA_ADJUSTED=Y")</f>
        <v>#NAME?</v>
      </c>
      <c r="AJ196" s="36" t="e">
        <f ca="1">_xll.BDP($AD196,AJ$10,"BEST_FPERIOD_OVERRIDE=1TY","EQY_FUND_CRNCY=USD","FA_ADJUSTED=Y")</f>
        <v>#NAME?</v>
      </c>
      <c r="AK196" s="44" t="e">
        <f t="shared" ca="1" si="29"/>
        <v>#NAME?</v>
      </c>
      <c r="AL196" s="36" t="e">
        <f ca="1">_xll.BDP($AD196,AL$10,"EQY_FUND_CRNCY=USD","FA_ADJUSTED=Y")</f>
        <v>#NAME?</v>
      </c>
      <c r="AM196" s="36" t="e">
        <f ca="1">_xll.BDP($AD196,AM$10,"BEST_FPERIOD_OVERRIDE=1TY","EQY_FUND_CRNCY=USD","FA_ADJUSTED=Y")</f>
        <v>#NAME?</v>
      </c>
      <c r="AN196" s="36" t="e">
        <f ca="1">_xll.BDP($AD196,AN$10,"BEST_FPERIOD_OVERRIDE=1TY","EQY_FUND_CRNCY=USD","FA_ADJUSTED=Y")</f>
        <v>#NAME?</v>
      </c>
      <c r="AO196" s="36" t="e">
        <f ca="1">_xll.BDP($AD196,AO$10,"BEST_FPERIOD_OVERRIDE=1TY","EQY_FUND_CRNCY=USD","FA_ADJUSTED=Y")</f>
        <v>#NAME?</v>
      </c>
      <c r="AP196" s="36" t="e">
        <f ca="1">_xll.BDP($AD196,AP$10,"BEST_FPERIOD_OVERRIDE=1TY","EQY_FUND_CRNCY=USD","FA_ADJUSTED=Y")</f>
        <v>#NAME?</v>
      </c>
      <c r="AQ196" s="36" t="e">
        <f ca="1">_xll.BDP($AD196,AQ$10,"EQY_FUND_CRNCY=USD","FA_ADJUSTED=Y")</f>
        <v>#NAME?</v>
      </c>
      <c r="AR196" s="36" t="e">
        <f ca="1">_xll.BDP($AD196,AR$10,"BEST_FPERIOD_OVERRIDE=1TY","EQY_FUND_CRNCY=USD","FA_ADJUSTED=Y")</f>
        <v>#NAME?</v>
      </c>
      <c r="AS196" s="36" t="e">
        <f ca="1">_xll.BDP($AD196,AS$10,"EQY_FUND_CRNCY=USD","FA_ADJUSTED=Y")</f>
        <v>#NAME?</v>
      </c>
      <c r="AT196" s="36" t="e">
        <f ca="1">_xll.BDP($AD196,AT$10,"BEST_FPERIOD_OVERRIDE=1TY","EQY_FUND_CRNCY=USD","FA_ADJUSTED=Y")</f>
        <v>#NAME?</v>
      </c>
      <c r="AV196" s="2" t="s">
        <v>365</v>
      </c>
      <c r="AW196" s="2" t="s">
        <v>366</v>
      </c>
      <c r="AX196" s="2" t="s">
        <v>505</v>
      </c>
      <c r="AY196" s="2">
        <v>319.524</v>
      </c>
      <c r="AZ196" s="2">
        <v>304.52499999999998</v>
      </c>
      <c r="BA196" s="2">
        <v>72.800999999999988</v>
      </c>
      <c r="BB196" s="2">
        <v>86.84</v>
      </c>
      <c r="BC196" s="2">
        <v>0.19284075768190023</v>
      </c>
      <c r="BD196" s="2">
        <v>62.064999832153319</v>
      </c>
      <c r="BE196" s="2">
        <v>86.350000000000009</v>
      </c>
      <c r="BF196" s="2">
        <v>14.01</v>
      </c>
      <c r="BG196" s="2">
        <v>35.893000000000001</v>
      </c>
      <c r="BH196" s="2">
        <v>5.1959999999999997</v>
      </c>
      <c r="BI196" s="2">
        <v>3.6139999999999999</v>
      </c>
      <c r="BJ196" s="2">
        <v>7.8500000000000005</v>
      </c>
      <c r="BK196" s="2">
        <v>-1.5870000000000002</v>
      </c>
      <c r="BL196" s="2">
        <v>5.758</v>
      </c>
    </row>
    <row r="197" spans="30:64" x14ac:dyDescent="0.2">
      <c r="AD197" s="1" t="s">
        <v>367</v>
      </c>
      <c r="AE197" s="1" t="s">
        <v>368</v>
      </c>
      <c r="AF197" s="36" t="e">
        <f ca="1">_xll.BDP($AD197,AF$10)</f>
        <v>#NAME?</v>
      </c>
      <c r="AG197" s="36" t="e">
        <f ca="1">_xll.BDH($AD197,AG$10,$C$5,$C$5,"EQY_FUND_CRNCY=USD")</f>
        <v>#NAME?</v>
      </c>
      <c r="AH197" s="36" t="e">
        <f ca="1">_xll.BDH($AD197,AH$10,$C$5,$C$5,"EQY_FUND_CRNCY=USD")</f>
        <v>#NAME?</v>
      </c>
      <c r="AI197" s="36" t="e">
        <f ca="1">_xll.BDP($AD197,AI$10,"EQY_FUND_CRNCY=USD","FA_ADJUSTED=Y")</f>
        <v>#NAME?</v>
      </c>
      <c r="AJ197" s="36" t="e">
        <f ca="1">_xll.BDP($AD197,AJ$10,"BEST_FPERIOD_OVERRIDE=1TY","EQY_FUND_CRNCY=USD","FA_ADJUSTED=Y")</f>
        <v>#NAME?</v>
      </c>
      <c r="AK197" s="44" t="e">
        <f t="shared" ca="1" si="29"/>
        <v>#NAME?</v>
      </c>
      <c r="AL197" s="36" t="e">
        <f ca="1">_xll.BDP($AD197,AL$10,"EQY_FUND_CRNCY=USD","FA_ADJUSTED=Y")</f>
        <v>#NAME?</v>
      </c>
      <c r="AM197" s="36" t="e">
        <f ca="1">_xll.BDP($AD197,AM$10,"BEST_FPERIOD_OVERRIDE=1TY","EQY_FUND_CRNCY=USD","FA_ADJUSTED=Y")</f>
        <v>#NAME?</v>
      </c>
      <c r="AN197" s="36" t="e">
        <f ca="1">_xll.BDP($AD197,AN$10,"BEST_FPERIOD_OVERRIDE=1TY","EQY_FUND_CRNCY=USD","FA_ADJUSTED=Y")</f>
        <v>#NAME?</v>
      </c>
      <c r="AO197" s="36" t="e">
        <f ca="1">_xll.BDP($AD197,AO$10,"BEST_FPERIOD_OVERRIDE=1TY","EQY_FUND_CRNCY=USD","FA_ADJUSTED=Y")</f>
        <v>#NAME?</v>
      </c>
      <c r="AP197" s="36" t="e">
        <f ca="1">_xll.BDP($AD197,AP$10,"BEST_FPERIOD_OVERRIDE=1TY","EQY_FUND_CRNCY=USD","FA_ADJUSTED=Y")</f>
        <v>#NAME?</v>
      </c>
      <c r="AQ197" s="36" t="e">
        <f ca="1">_xll.BDP($AD197,AQ$10,"EQY_FUND_CRNCY=USD","FA_ADJUSTED=Y")</f>
        <v>#NAME?</v>
      </c>
      <c r="AR197" s="36" t="e">
        <f ca="1">_xll.BDP($AD197,AR$10,"BEST_FPERIOD_OVERRIDE=1TY","EQY_FUND_CRNCY=USD","FA_ADJUSTED=Y")</f>
        <v>#NAME?</v>
      </c>
      <c r="AS197" s="36" t="e">
        <f ca="1">_xll.BDP($AD197,AS$10,"EQY_FUND_CRNCY=USD","FA_ADJUSTED=Y")</f>
        <v>#NAME?</v>
      </c>
      <c r="AT197" s="36" t="e">
        <f ca="1">_xll.BDP($AD197,AT$10,"BEST_FPERIOD_OVERRIDE=1TY","EQY_FUND_CRNCY=USD","FA_ADJUSTED=Y")</f>
        <v>#NAME?</v>
      </c>
      <c r="AV197" s="2" t="s">
        <v>367</v>
      </c>
      <c r="AW197" s="2" t="s">
        <v>368</v>
      </c>
      <c r="AX197" s="2" t="s">
        <v>495</v>
      </c>
      <c r="AY197" s="2">
        <v>318.11509999999998</v>
      </c>
      <c r="AZ197" s="2">
        <v>268.75810000000001</v>
      </c>
      <c r="BA197" s="2">
        <v>128.30699999999999</v>
      </c>
      <c r="BB197" s="2">
        <v>134.50399999999999</v>
      </c>
      <c r="BC197" s="2">
        <v>4.8298222232614041E-2</v>
      </c>
      <c r="BD197" s="2">
        <v>101.39099937438965</v>
      </c>
      <c r="BE197" s="2">
        <v>79.067000000000007</v>
      </c>
      <c r="BF197" s="2">
        <v>21.867999999999999</v>
      </c>
      <c r="BG197" s="2">
        <v>63.494999999999997</v>
      </c>
      <c r="BH197" s="2">
        <v>27.8</v>
      </c>
      <c r="BI197" s="2">
        <v>-4.3410000000000002</v>
      </c>
      <c r="BJ197" s="2">
        <v>8.4990000000000006</v>
      </c>
      <c r="BK197" s="2">
        <v>-10.436999999999999</v>
      </c>
      <c r="BL197" s="2">
        <v>1.6480000000000001</v>
      </c>
    </row>
    <row r="198" spans="30:64" x14ac:dyDescent="0.2">
      <c r="AD198" s="1" t="s">
        <v>369</v>
      </c>
      <c r="AE198" s="1" t="s">
        <v>370</v>
      </c>
      <c r="AF198" s="36" t="e">
        <f ca="1">_xll.BDP($AD198,AF$10)</f>
        <v>#NAME?</v>
      </c>
      <c r="AG198" s="36" t="e">
        <f ca="1">_xll.BDH($AD198,AG$10,$C$5,$C$5,"EQY_FUND_CRNCY=USD")</f>
        <v>#NAME?</v>
      </c>
      <c r="AH198" s="36" t="e">
        <f ca="1">_xll.BDH($AD198,AH$10,$C$5,$C$5,"EQY_FUND_CRNCY=USD")</f>
        <v>#NAME?</v>
      </c>
      <c r="AI198" s="36" t="e">
        <f ca="1">_xll.BDP($AD198,AI$10,"EQY_FUND_CRNCY=USD","FA_ADJUSTED=Y")</f>
        <v>#NAME?</v>
      </c>
      <c r="AJ198" s="36" t="e">
        <f ca="1">_xll.BDP($AD198,AJ$10,"BEST_FPERIOD_OVERRIDE=1TY","EQY_FUND_CRNCY=USD","FA_ADJUSTED=Y")</f>
        <v>#NAME?</v>
      </c>
      <c r="AK198" s="44" t="e">
        <f t="shared" ca="1" si="29"/>
        <v>#NAME?</v>
      </c>
      <c r="AL198" s="36" t="e">
        <f ca="1">_xll.BDP($AD198,AL$10,"EQY_FUND_CRNCY=USD","FA_ADJUSTED=Y")</f>
        <v>#NAME?</v>
      </c>
      <c r="AM198" s="36" t="e">
        <f ca="1">_xll.BDP($AD198,AM$10,"BEST_FPERIOD_OVERRIDE=1TY","EQY_FUND_CRNCY=USD","FA_ADJUSTED=Y")</f>
        <v>#NAME?</v>
      </c>
      <c r="AN198" s="36" t="e">
        <f ca="1">_xll.BDP($AD198,AN$10,"BEST_FPERIOD_OVERRIDE=1TY","EQY_FUND_CRNCY=USD","FA_ADJUSTED=Y")</f>
        <v>#NAME?</v>
      </c>
      <c r="AO198" s="36" t="e">
        <f ca="1">_xll.BDP($AD198,AO$10,"BEST_FPERIOD_OVERRIDE=1TY","EQY_FUND_CRNCY=USD","FA_ADJUSTED=Y")</f>
        <v>#NAME?</v>
      </c>
      <c r="AP198" s="36" t="e">
        <f ca="1">_xll.BDP($AD198,AP$10,"BEST_FPERIOD_OVERRIDE=1TY","EQY_FUND_CRNCY=USD","FA_ADJUSTED=Y")</f>
        <v>#NAME?</v>
      </c>
      <c r="AQ198" s="36" t="e">
        <f ca="1">_xll.BDP($AD198,AQ$10,"EQY_FUND_CRNCY=USD","FA_ADJUSTED=Y")</f>
        <v>#NAME?</v>
      </c>
      <c r="AR198" s="36" t="e">
        <f ca="1">_xll.BDP($AD198,AR$10,"BEST_FPERIOD_OVERRIDE=1TY","EQY_FUND_CRNCY=USD","FA_ADJUSTED=Y")</f>
        <v>#NAME?</v>
      </c>
      <c r="AS198" s="36" t="e">
        <f ca="1">_xll.BDP($AD198,AS$10,"EQY_FUND_CRNCY=USD","FA_ADJUSTED=Y")</f>
        <v>#NAME?</v>
      </c>
      <c r="AT198" s="36" t="e">
        <f ca="1">_xll.BDP($AD198,AT$10,"BEST_FPERIOD_OVERRIDE=1TY","EQY_FUND_CRNCY=USD","FA_ADJUSTED=Y")</f>
        <v>#NAME?</v>
      </c>
      <c r="AV198" s="2" t="s">
        <v>369</v>
      </c>
      <c r="AW198" s="2" t="s">
        <v>370</v>
      </c>
      <c r="AX198" s="2" t="s">
        <v>495</v>
      </c>
      <c r="AY198" s="2">
        <v>323.1626</v>
      </c>
      <c r="AZ198" s="2">
        <v>305.15159999999997</v>
      </c>
      <c r="BA198" s="2">
        <v>55.426000000000002</v>
      </c>
      <c r="BB198" s="2">
        <v>77.417000000000002</v>
      </c>
      <c r="BC198" s="2">
        <v>0.39676325190343875</v>
      </c>
      <c r="BD198" s="2">
        <v>48.276000267028806</v>
      </c>
      <c r="BE198" s="2">
        <v>86.082999999999998</v>
      </c>
      <c r="BF198" s="2">
        <v>10.43</v>
      </c>
      <c r="BG198" s="2">
        <v>14.484</v>
      </c>
      <c r="BH198" s="2">
        <v>11.31</v>
      </c>
      <c r="BI198" s="2">
        <v>6.4513846153849999</v>
      </c>
      <c r="BJ198" s="2">
        <v>11.295</v>
      </c>
      <c r="BK198" s="2">
        <v>2.9750000000000001</v>
      </c>
      <c r="BL198" s="2">
        <v>12.266</v>
      </c>
    </row>
    <row r="199" spans="30:64" x14ac:dyDescent="0.2">
      <c r="AD199" s="1" t="s">
        <v>371</v>
      </c>
      <c r="AE199" s="1" t="s">
        <v>372</v>
      </c>
      <c r="AF199" s="36" t="e">
        <f ca="1">_xll.BDP($AD199,AF$10)</f>
        <v>#NAME?</v>
      </c>
      <c r="AG199" s="36" t="e">
        <f ca="1">_xll.BDH($AD199,AG$10,$C$5,$C$5,"EQY_FUND_CRNCY=USD")</f>
        <v>#NAME?</v>
      </c>
      <c r="AH199" s="36" t="e">
        <f ca="1">_xll.BDH($AD199,AH$10,$C$5,$C$5,"EQY_FUND_CRNCY=USD")</f>
        <v>#NAME?</v>
      </c>
      <c r="AI199" s="36" t="e">
        <f ca="1">_xll.BDP($AD199,AI$10,"EQY_FUND_CRNCY=USD","FA_ADJUSTED=Y")</f>
        <v>#NAME?</v>
      </c>
      <c r="AJ199" s="36" t="e">
        <f ca="1">_xll.BDP($AD199,AJ$10,"BEST_FPERIOD_OVERRIDE=1TY","EQY_FUND_CRNCY=USD","FA_ADJUSTED=Y")</f>
        <v>#NAME?</v>
      </c>
      <c r="AK199" s="44" t="e">
        <f t="shared" ca="1" si="29"/>
        <v>#NAME?</v>
      </c>
      <c r="AL199" s="36" t="e">
        <f ca="1">_xll.BDP($AD199,AL$10,"EQY_FUND_CRNCY=USD","FA_ADJUSTED=Y")</f>
        <v>#NAME?</v>
      </c>
      <c r="AM199" s="36" t="e">
        <f ca="1">_xll.BDP($AD199,AM$10,"BEST_FPERIOD_OVERRIDE=1TY","EQY_FUND_CRNCY=USD","FA_ADJUSTED=Y")</f>
        <v>#NAME?</v>
      </c>
      <c r="AN199" s="36" t="e">
        <f ca="1">_xll.BDP($AD199,AN$10,"BEST_FPERIOD_OVERRIDE=1TY","EQY_FUND_CRNCY=USD","FA_ADJUSTED=Y")</f>
        <v>#NAME?</v>
      </c>
      <c r="AO199" s="36" t="e">
        <f ca="1">_xll.BDP($AD199,AO$10,"BEST_FPERIOD_OVERRIDE=1TY","EQY_FUND_CRNCY=USD","FA_ADJUSTED=Y")</f>
        <v>#NAME?</v>
      </c>
      <c r="AP199" s="36" t="e">
        <f ca="1">_xll.BDP($AD199,AP$10,"BEST_FPERIOD_OVERRIDE=1TY","EQY_FUND_CRNCY=USD","FA_ADJUSTED=Y")</f>
        <v>#NAME?</v>
      </c>
      <c r="AQ199" s="36" t="e">
        <f ca="1">_xll.BDP($AD199,AQ$10,"EQY_FUND_CRNCY=USD","FA_ADJUSTED=Y")</f>
        <v>#NAME?</v>
      </c>
      <c r="AR199" s="36" t="e">
        <f ca="1">_xll.BDP($AD199,AR$10,"BEST_FPERIOD_OVERRIDE=1TY","EQY_FUND_CRNCY=USD","FA_ADJUSTED=Y")</f>
        <v>#NAME?</v>
      </c>
      <c r="AS199" s="36" t="e">
        <f ca="1">_xll.BDP($AD199,AS$10,"EQY_FUND_CRNCY=USD","FA_ADJUSTED=Y")</f>
        <v>#NAME?</v>
      </c>
      <c r="AT199" s="36" t="e">
        <f ca="1">_xll.BDP($AD199,AT$10,"BEST_FPERIOD_OVERRIDE=1TY","EQY_FUND_CRNCY=USD","FA_ADJUSTED=Y")</f>
        <v>#NAME?</v>
      </c>
      <c r="AV199" s="2" t="s">
        <v>371</v>
      </c>
      <c r="AW199" s="2" t="s">
        <v>372</v>
      </c>
      <c r="AX199" s="2" t="s">
        <v>495</v>
      </c>
      <c r="AY199" s="2">
        <v>311.74180000000001</v>
      </c>
      <c r="AZ199" s="2">
        <v>255.0078</v>
      </c>
      <c r="BA199" s="2">
        <v>24.585999999999999</v>
      </c>
      <c r="BB199" s="2">
        <v>25.216999999999999</v>
      </c>
      <c r="BC199" s="2">
        <v>2.5665012608801829E-2</v>
      </c>
      <c r="BD199" s="2">
        <v>16.067000110626221</v>
      </c>
      <c r="BE199" s="2">
        <v>58.783000000000001</v>
      </c>
      <c r="BF199" s="2">
        <v>15.434999999999999</v>
      </c>
      <c r="BG199" s="2">
        <v>16.635999999999999</v>
      </c>
      <c r="BH199" s="2">
        <v>9.68</v>
      </c>
      <c r="BI199" s="2">
        <v>-27.398</v>
      </c>
      <c r="BJ199" s="2">
        <v>-25.55</v>
      </c>
      <c r="BK199" s="2">
        <v>-28.759999999999998</v>
      </c>
      <c r="BL199" s="2">
        <v>-32.21</v>
      </c>
    </row>
    <row r="200" spans="30:64" x14ac:dyDescent="0.2">
      <c r="AD200" s="1" t="s">
        <v>373</v>
      </c>
      <c r="AE200" s="1" t="s">
        <v>374</v>
      </c>
      <c r="AF200" s="36" t="e">
        <f ca="1">_xll.BDP($AD200,AF$10)</f>
        <v>#NAME?</v>
      </c>
      <c r="AG200" s="36" t="e">
        <f ca="1">_xll.BDH($AD200,AG$10,$C$5,$C$5,"EQY_FUND_CRNCY=USD")</f>
        <v>#NAME?</v>
      </c>
      <c r="AH200" s="36" t="e">
        <f ca="1">_xll.BDH($AD200,AH$10,$C$5,$C$5,"EQY_FUND_CRNCY=USD")</f>
        <v>#NAME?</v>
      </c>
      <c r="AI200" s="36" t="e">
        <f ca="1">_xll.BDP($AD200,AI$10,"EQY_FUND_CRNCY=USD","FA_ADJUSTED=Y")</f>
        <v>#NAME?</v>
      </c>
      <c r="AJ200" s="36" t="e">
        <f ca="1">_xll.BDP($AD200,AJ$10,"BEST_FPERIOD_OVERRIDE=1TY","EQY_FUND_CRNCY=USD","FA_ADJUSTED=Y")</f>
        <v>#NAME?</v>
      </c>
      <c r="AK200" s="44" t="e">
        <f t="shared" ca="1" si="29"/>
        <v>#NAME?</v>
      </c>
      <c r="AL200" s="36" t="e">
        <f ca="1">_xll.BDP($AD200,AL$10,"EQY_FUND_CRNCY=USD","FA_ADJUSTED=Y")</f>
        <v>#NAME?</v>
      </c>
      <c r="AM200" s="36" t="e">
        <f ca="1">_xll.BDP($AD200,AM$10,"BEST_FPERIOD_OVERRIDE=1TY","EQY_FUND_CRNCY=USD","FA_ADJUSTED=Y")</f>
        <v>#NAME?</v>
      </c>
      <c r="AN200" s="36" t="e">
        <f ca="1">_xll.BDP($AD200,AN$10,"BEST_FPERIOD_OVERRIDE=1TY","EQY_FUND_CRNCY=USD","FA_ADJUSTED=Y")</f>
        <v>#NAME?</v>
      </c>
      <c r="AO200" s="36" t="e">
        <f ca="1">_xll.BDP($AD200,AO$10,"BEST_FPERIOD_OVERRIDE=1TY","EQY_FUND_CRNCY=USD","FA_ADJUSTED=Y")</f>
        <v>#NAME?</v>
      </c>
      <c r="AP200" s="36" t="e">
        <f ca="1">_xll.BDP($AD200,AP$10,"BEST_FPERIOD_OVERRIDE=1TY","EQY_FUND_CRNCY=USD","FA_ADJUSTED=Y")</f>
        <v>#NAME?</v>
      </c>
      <c r="AQ200" s="36" t="e">
        <f ca="1">_xll.BDP($AD200,AQ$10,"EQY_FUND_CRNCY=USD","FA_ADJUSTED=Y")</f>
        <v>#NAME?</v>
      </c>
      <c r="AR200" s="36" t="e">
        <f ca="1">_xll.BDP($AD200,AR$10,"BEST_FPERIOD_OVERRIDE=1TY","EQY_FUND_CRNCY=USD","FA_ADJUSTED=Y")</f>
        <v>#NAME?</v>
      </c>
      <c r="AS200" s="36" t="e">
        <f ca="1">_xll.BDP($AD200,AS$10,"EQY_FUND_CRNCY=USD","FA_ADJUSTED=Y")</f>
        <v>#NAME?</v>
      </c>
      <c r="AT200" s="36" t="e">
        <f ca="1">_xll.BDP($AD200,AT$10,"BEST_FPERIOD_OVERRIDE=1TY","EQY_FUND_CRNCY=USD","FA_ADJUSTED=Y")</f>
        <v>#NAME?</v>
      </c>
      <c r="AV200" s="2" t="s">
        <v>373</v>
      </c>
      <c r="AW200" s="2" t="s">
        <v>374</v>
      </c>
      <c r="AX200" s="2" t="s">
        <v>495</v>
      </c>
      <c r="AY200" s="2">
        <v>282.47219999999999</v>
      </c>
      <c r="AZ200" s="2" t="s">
        <v>480</v>
      </c>
      <c r="BA200" s="2" t="s">
        <v>480</v>
      </c>
      <c r="BB200" s="2" t="s">
        <v>480</v>
      </c>
      <c r="BC200" s="2" t="e">
        <v>#VALUE!</v>
      </c>
      <c r="BD200" s="2" t="s">
        <v>480</v>
      </c>
      <c r="BE200" s="2" t="s">
        <v>480</v>
      </c>
      <c r="BF200" s="2">
        <v>0</v>
      </c>
      <c r="BG200" s="2" t="s">
        <v>480</v>
      </c>
      <c r="BH200" s="2" t="s">
        <v>480</v>
      </c>
      <c r="BI200" s="2" t="s">
        <v>480</v>
      </c>
      <c r="BJ200" s="2" t="s">
        <v>480</v>
      </c>
      <c r="BK200" s="2" t="s">
        <v>480</v>
      </c>
      <c r="BL200" s="2" t="s">
        <v>480</v>
      </c>
    </row>
    <row r="201" spans="30:64" x14ac:dyDescent="0.2">
      <c r="AD201" s="1" t="s">
        <v>375</v>
      </c>
      <c r="AE201" s="1" t="s">
        <v>376</v>
      </c>
      <c r="AF201" s="36" t="e">
        <f ca="1">_xll.BDP($AD201,AF$10)</f>
        <v>#NAME?</v>
      </c>
      <c r="AG201" s="36" t="e">
        <f ca="1">_xll.BDH($AD201,AG$10,$C$5,$C$5,"EQY_FUND_CRNCY=USD")</f>
        <v>#NAME?</v>
      </c>
      <c r="AH201" s="36" t="e">
        <f ca="1">_xll.BDH($AD201,AH$10,$C$5,$C$5,"EQY_FUND_CRNCY=USD")</f>
        <v>#NAME?</v>
      </c>
      <c r="AI201" s="36" t="e">
        <f ca="1">_xll.BDP($AD201,AI$10,"EQY_FUND_CRNCY=USD","FA_ADJUSTED=Y")</f>
        <v>#NAME?</v>
      </c>
      <c r="AJ201" s="36" t="e">
        <f ca="1">_xll.BDP($AD201,AJ$10,"BEST_FPERIOD_OVERRIDE=1TY","EQY_FUND_CRNCY=USD","FA_ADJUSTED=Y")</f>
        <v>#NAME?</v>
      </c>
      <c r="AK201" s="44" t="e">
        <f t="shared" ca="1" si="29"/>
        <v>#NAME?</v>
      </c>
      <c r="AL201" s="36" t="e">
        <f ca="1">_xll.BDP($AD201,AL$10,"EQY_FUND_CRNCY=USD","FA_ADJUSTED=Y")</f>
        <v>#NAME?</v>
      </c>
      <c r="AM201" s="36" t="e">
        <f ca="1">_xll.BDP($AD201,AM$10,"BEST_FPERIOD_OVERRIDE=1TY","EQY_FUND_CRNCY=USD","FA_ADJUSTED=Y")</f>
        <v>#NAME?</v>
      </c>
      <c r="AN201" s="36" t="e">
        <f ca="1">_xll.BDP($AD201,AN$10,"BEST_FPERIOD_OVERRIDE=1TY","EQY_FUND_CRNCY=USD","FA_ADJUSTED=Y")</f>
        <v>#NAME?</v>
      </c>
      <c r="AO201" s="36" t="e">
        <f ca="1">_xll.BDP($AD201,AO$10,"BEST_FPERIOD_OVERRIDE=1TY","EQY_FUND_CRNCY=USD","FA_ADJUSTED=Y")</f>
        <v>#NAME?</v>
      </c>
      <c r="AP201" s="36" t="e">
        <f ca="1">_xll.BDP($AD201,AP$10,"BEST_FPERIOD_OVERRIDE=1TY","EQY_FUND_CRNCY=USD","FA_ADJUSTED=Y")</f>
        <v>#NAME?</v>
      </c>
      <c r="AQ201" s="36" t="e">
        <f ca="1">_xll.BDP($AD201,AQ$10,"EQY_FUND_CRNCY=USD","FA_ADJUSTED=Y")</f>
        <v>#NAME?</v>
      </c>
      <c r="AR201" s="36" t="e">
        <f ca="1">_xll.BDP($AD201,AR$10,"BEST_FPERIOD_OVERRIDE=1TY","EQY_FUND_CRNCY=USD","FA_ADJUSTED=Y")</f>
        <v>#NAME?</v>
      </c>
      <c r="AS201" s="36" t="e">
        <f ca="1">_xll.BDP($AD201,AS$10,"EQY_FUND_CRNCY=USD","FA_ADJUSTED=Y")</f>
        <v>#NAME?</v>
      </c>
      <c r="AT201" s="36" t="e">
        <f ca="1">_xll.BDP($AD201,AT$10,"BEST_FPERIOD_OVERRIDE=1TY","EQY_FUND_CRNCY=USD","FA_ADJUSTED=Y")</f>
        <v>#NAME?</v>
      </c>
      <c r="AV201" s="2" t="s">
        <v>375</v>
      </c>
      <c r="AW201" s="2" t="s">
        <v>376</v>
      </c>
      <c r="AX201" s="2" t="s">
        <v>495</v>
      </c>
      <c r="AY201" s="2">
        <v>305.49380000000002</v>
      </c>
      <c r="AZ201" s="2" t="s">
        <v>480</v>
      </c>
      <c r="BA201" s="2">
        <v>68.83</v>
      </c>
      <c r="BB201" s="2">
        <v>73.95</v>
      </c>
      <c r="BC201" s="2">
        <v>7.4386168821734877E-2</v>
      </c>
      <c r="BD201" s="2">
        <v>54.456999656677247</v>
      </c>
      <c r="BE201" s="2">
        <v>80.400000000000006</v>
      </c>
      <c r="BF201" s="2">
        <v>10.979999999999999</v>
      </c>
      <c r="BG201" s="2" t="s">
        <v>480</v>
      </c>
      <c r="BH201" s="2" t="s">
        <v>480</v>
      </c>
      <c r="BI201" s="2">
        <v>14.965999999999999</v>
      </c>
      <c r="BJ201" s="2">
        <v>19.5</v>
      </c>
      <c r="BK201" s="2">
        <v>9.5817880808879998</v>
      </c>
      <c r="BL201" s="2">
        <v>19.309999999999999</v>
      </c>
    </row>
    <row r="202" spans="30:64" x14ac:dyDescent="0.2">
      <c r="AD202" s="1" t="s">
        <v>377</v>
      </c>
      <c r="AE202" s="1" t="s">
        <v>378</v>
      </c>
      <c r="AF202" s="36" t="e">
        <f ca="1">_xll.BDP($AD202,AF$10)</f>
        <v>#NAME?</v>
      </c>
      <c r="AG202" s="36" t="e">
        <f ca="1">_xll.BDH($AD202,AG$10,$C$5,$C$5,"EQY_FUND_CRNCY=USD")</f>
        <v>#NAME?</v>
      </c>
      <c r="AH202" s="36" t="e">
        <f ca="1">_xll.BDH($AD202,AH$10,$C$5,$C$5,"EQY_FUND_CRNCY=USD")</f>
        <v>#NAME?</v>
      </c>
      <c r="AI202" s="36" t="e">
        <f ca="1">_xll.BDP($AD202,AI$10,"EQY_FUND_CRNCY=USD","FA_ADJUSTED=Y")</f>
        <v>#NAME?</v>
      </c>
      <c r="AJ202" s="36" t="e">
        <f ca="1">_xll.BDP($AD202,AJ$10,"BEST_FPERIOD_OVERRIDE=1TY","EQY_FUND_CRNCY=USD","FA_ADJUSTED=Y")</f>
        <v>#NAME?</v>
      </c>
      <c r="AK202" s="44" t="e">
        <f t="shared" ca="1" si="29"/>
        <v>#NAME?</v>
      </c>
      <c r="AL202" s="36" t="e">
        <f ca="1">_xll.BDP($AD202,AL$10,"EQY_FUND_CRNCY=USD","FA_ADJUSTED=Y")</f>
        <v>#NAME?</v>
      </c>
      <c r="AM202" s="36" t="e">
        <f ca="1">_xll.BDP($AD202,AM$10,"BEST_FPERIOD_OVERRIDE=1TY","EQY_FUND_CRNCY=USD","FA_ADJUSTED=Y")</f>
        <v>#NAME?</v>
      </c>
      <c r="AN202" s="36" t="e">
        <f ca="1">_xll.BDP($AD202,AN$10,"BEST_FPERIOD_OVERRIDE=1TY","EQY_FUND_CRNCY=USD","FA_ADJUSTED=Y")</f>
        <v>#NAME?</v>
      </c>
      <c r="AO202" s="36" t="e">
        <f ca="1">_xll.BDP($AD202,AO$10,"BEST_FPERIOD_OVERRIDE=1TY","EQY_FUND_CRNCY=USD","FA_ADJUSTED=Y")</f>
        <v>#NAME?</v>
      </c>
      <c r="AP202" s="36" t="e">
        <f ca="1">_xll.BDP($AD202,AP$10,"BEST_FPERIOD_OVERRIDE=1TY","EQY_FUND_CRNCY=USD","FA_ADJUSTED=Y")</f>
        <v>#NAME?</v>
      </c>
      <c r="AQ202" s="36" t="e">
        <f ca="1">_xll.BDP($AD202,AQ$10,"EQY_FUND_CRNCY=USD","FA_ADJUSTED=Y")</f>
        <v>#NAME?</v>
      </c>
      <c r="AR202" s="36" t="e">
        <f ca="1">_xll.BDP($AD202,AR$10,"BEST_FPERIOD_OVERRIDE=1TY","EQY_FUND_CRNCY=USD","FA_ADJUSTED=Y")</f>
        <v>#NAME?</v>
      </c>
      <c r="AS202" s="36" t="e">
        <f ca="1">_xll.BDP($AD202,AS$10,"EQY_FUND_CRNCY=USD","FA_ADJUSTED=Y")</f>
        <v>#NAME?</v>
      </c>
      <c r="AT202" s="36" t="e">
        <f ca="1">_xll.BDP($AD202,AT$10,"BEST_FPERIOD_OVERRIDE=1TY","EQY_FUND_CRNCY=USD","FA_ADJUSTED=Y")</f>
        <v>#NAME?</v>
      </c>
      <c r="AV202" s="2" t="s">
        <v>377</v>
      </c>
      <c r="AW202" s="2" t="s">
        <v>378</v>
      </c>
      <c r="AX202" s="2" t="s">
        <v>495</v>
      </c>
      <c r="AY202" s="2">
        <v>266.62560000000002</v>
      </c>
      <c r="AZ202" s="2">
        <v>465.1576</v>
      </c>
      <c r="BA202" s="2">
        <v>357.72500000000002</v>
      </c>
      <c r="BB202" s="2">
        <v>328.25</v>
      </c>
      <c r="BC202" s="2">
        <v>-8.2395695017122184E-2</v>
      </c>
      <c r="BD202" s="2" t="s">
        <v>480</v>
      </c>
      <c r="BE202" s="2">
        <v>51.5</v>
      </c>
      <c r="BF202" s="2">
        <v>90.85</v>
      </c>
      <c r="BG202" s="2" t="s">
        <v>480</v>
      </c>
      <c r="BH202" s="2" t="s">
        <v>480</v>
      </c>
      <c r="BI202" s="2" t="s">
        <v>480</v>
      </c>
      <c r="BJ202" s="2">
        <v>33.660000000000004</v>
      </c>
      <c r="BK202" s="2">
        <v>-105.508728004056</v>
      </c>
      <c r="BL202" s="2">
        <v>-68.25</v>
      </c>
    </row>
    <row r="203" spans="30:64" x14ac:dyDescent="0.2">
      <c r="AD203" s="1" t="s">
        <v>379</v>
      </c>
      <c r="AE203" s="1" t="s">
        <v>380</v>
      </c>
      <c r="AF203" s="36" t="e">
        <f ca="1">_xll.BDP($AD203,AF$10)</f>
        <v>#NAME?</v>
      </c>
      <c r="AG203" s="36" t="e">
        <f ca="1">_xll.BDH($AD203,AG$10,$C$5,$C$5,"EQY_FUND_CRNCY=USD")</f>
        <v>#NAME?</v>
      </c>
      <c r="AH203" s="36" t="e">
        <f ca="1">_xll.BDH($AD203,AH$10,$C$5,$C$5,"EQY_FUND_CRNCY=USD")</f>
        <v>#NAME?</v>
      </c>
      <c r="AI203" s="36" t="e">
        <f ca="1">_xll.BDP($AD203,AI$10,"EQY_FUND_CRNCY=USD","FA_ADJUSTED=Y")</f>
        <v>#NAME?</v>
      </c>
      <c r="AJ203" s="36" t="e">
        <f ca="1">_xll.BDP($AD203,AJ$10,"BEST_FPERIOD_OVERRIDE=1TY","EQY_FUND_CRNCY=USD","FA_ADJUSTED=Y")</f>
        <v>#NAME?</v>
      </c>
      <c r="AK203" s="44" t="e">
        <f t="shared" ca="1" si="29"/>
        <v>#NAME?</v>
      </c>
      <c r="AL203" s="36" t="e">
        <f ca="1">_xll.BDP($AD203,AL$10,"EQY_FUND_CRNCY=USD","FA_ADJUSTED=Y")</f>
        <v>#NAME?</v>
      </c>
      <c r="AM203" s="36" t="e">
        <f ca="1">_xll.BDP($AD203,AM$10,"BEST_FPERIOD_OVERRIDE=1TY","EQY_FUND_CRNCY=USD","FA_ADJUSTED=Y")</f>
        <v>#NAME?</v>
      </c>
      <c r="AN203" s="36" t="e">
        <f ca="1">_xll.BDP($AD203,AN$10,"BEST_FPERIOD_OVERRIDE=1TY","EQY_FUND_CRNCY=USD","FA_ADJUSTED=Y")</f>
        <v>#NAME?</v>
      </c>
      <c r="AO203" s="36" t="e">
        <f ca="1">_xll.BDP($AD203,AO$10,"BEST_FPERIOD_OVERRIDE=1TY","EQY_FUND_CRNCY=USD","FA_ADJUSTED=Y")</f>
        <v>#NAME?</v>
      </c>
      <c r="AP203" s="36" t="e">
        <f ca="1">_xll.BDP($AD203,AP$10,"BEST_FPERIOD_OVERRIDE=1TY","EQY_FUND_CRNCY=USD","FA_ADJUSTED=Y")</f>
        <v>#NAME?</v>
      </c>
      <c r="AQ203" s="36" t="e">
        <f ca="1">_xll.BDP($AD203,AQ$10,"EQY_FUND_CRNCY=USD","FA_ADJUSTED=Y")</f>
        <v>#NAME?</v>
      </c>
      <c r="AR203" s="36" t="e">
        <f ca="1">_xll.BDP($AD203,AR$10,"BEST_FPERIOD_OVERRIDE=1TY","EQY_FUND_CRNCY=USD","FA_ADJUSTED=Y")</f>
        <v>#NAME?</v>
      </c>
      <c r="AS203" s="36" t="e">
        <f ca="1">_xll.BDP($AD203,AS$10,"EQY_FUND_CRNCY=USD","FA_ADJUSTED=Y")</f>
        <v>#NAME?</v>
      </c>
      <c r="AT203" s="36" t="e">
        <f ca="1">_xll.BDP($AD203,AT$10,"BEST_FPERIOD_OVERRIDE=1TY","EQY_FUND_CRNCY=USD","FA_ADJUSTED=Y")</f>
        <v>#NAME?</v>
      </c>
      <c r="AV203" s="2" t="s">
        <v>379</v>
      </c>
      <c r="AW203" s="2" t="s">
        <v>380</v>
      </c>
      <c r="AX203" s="2" t="s">
        <v>495</v>
      </c>
      <c r="AY203" s="2">
        <v>261.48910000000001</v>
      </c>
      <c r="AZ203" s="2">
        <v>263.17910000000001</v>
      </c>
      <c r="BA203" s="2">
        <v>128.61200000000002</v>
      </c>
      <c r="BB203" s="2" t="s">
        <v>480</v>
      </c>
      <c r="BC203" s="2" t="e">
        <v>#VALUE!</v>
      </c>
      <c r="BD203" s="2">
        <v>60.037000183105469</v>
      </c>
      <c r="BE203" s="2" t="s">
        <v>480</v>
      </c>
      <c r="BF203" s="2">
        <v>17.25</v>
      </c>
      <c r="BG203" s="2" t="s">
        <v>480</v>
      </c>
      <c r="BH203" s="2" t="s">
        <v>480</v>
      </c>
      <c r="BI203" s="2">
        <v>7.0119999999999996</v>
      </c>
      <c r="BJ203" s="2" t="s">
        <v>480</v>
      </c>
      <c r="BK203" s="2">
        <v>-2.3159999999999998</v>
      </c>
      <c r="BL203" s="2" t="s">
        <v>480</v>
      </c>
    </row>
    <row r="204" spans="30:64" x14ac:dyDescent="0.2">
      <c r="AD204" s="1" t="s">
        <v>381</v>
      </c>
      <c r="AE204" s="1" t="s">
        <v>382</v>
      </c>
      <c r="AF204" s="36" t="e">
        <f ca="1">_xll.BDP($AD204,AF$10)</f>
        <v>#NAME?</v>
      </c>
      <c r="AG204" s="36" t="e">
        <f ca="1">_xll.BDH($AD204,AG$10,$C$5,$C$5,"EQY_FUND_CRNCY=USD")</f>
        <v>#NAME?</v>
      </c>
      <c r="AH204" s="36" t="e">
        <f ca="1">_xll.BDH($AD204,AH$10,$C$5,$C$5,"EQY_FUND_CRNCY=USD")</f>
        <v>#NAME?</v>
      </c>
      <c r="AI204" s="36" t="e">
        <f ca="1">_xll.BDP($AD204,AI$10,"EQY_FUND_CRNCY=USD","FA_ADJUSTED=Y")</f>
        <v>#NAME?</v>
      </c>
      <c r="AJ204" s="36" t="e">
        <f ca="1">_xll.BDP($AD204,AJ$10,"BEST_FPERIOD_OVERRIDE=1TY","EQY_FUND_CRNCY=USD","FA_ADJUSTED=Y")</f>
        <v>#NAME?</v>
      </c>
      <c r="AK204" s="44" t="e">
        <f t="shared" ca="1" si="29"/>
        <v>#NAME?</v>
      </c>
      <c r="AL204" s="36" t="e">
        <f ca="1">_xll.BDP($AD204,AL$10,"EQY_FUND_CRNCY=USD","FA_ADJUSTED=Y")</f>
        <v>#NAME?</v>
      </c>
      <c r="AM204" s="36" t="e">
        <f ca="1">_xll.BDP($AD204,AM$10,"BEST_FPERIOD_OVERRIDE=1TY","EQY_FUND_CRNCY=USD","FA_ADJUSTED=Y")</f>
        <v>#NAME?</v>
      </c>
      <c r="AN204" s="36" t="e">
        <f ca="1">_xll.BDP($AD204,AN$10,"BEST_FPERIOD_OVERRIDE=1TY","EQY_FUND_CRNCY=USD","FA_ADJUSTED=Y")</f>
        <v>#NAME?</v>
      </c>
      <c r="AO204" s="36" t="e">
        <f ca="1">_xll.BDP($AD204,AO$10,"BEST_FPERIOD_OVERRIDE=1TY","EQY_FUND_CRNCY=USD","FA_ADJUSTED=Y")</f>
        <v>#NAME?</v>
      </c>
      <c r="AP204" s="36" t="e">
        <f ca="1">_xll.BDP($AD204,AP$10,"BEST_FPERIOD_OVERRIDE=1TY","EQY_FUND_CRNCY=USD","FA_ADJUSTED=Y")</f>
        <v>#NAME?</v>
      </c>
      <c r="AQ204" s="36" t="e">
        <f ca="1">_xll.BDP($AD204,AQ$10,"EQY_FUND_CRNCY=USD","FA_ADJUSTED=Y")</f>
        <v>#NAME?</v>
      </c>
      <c r="AR204" s="36" t="e">
        <f ca="1">_xll.BDP($AD204,AR$10,"BEST_FPERIOD_OVERRIDE=1TY","EQY_FUND_CRNCY=USD","FA_ADJUSTED=Y")</f>
        <v>#NAME?</v>
      </c>
      <c r="AS204" s="36" t="e">
        <f ca="1">_xll.BDP($AD204,AS$10,"EQY_FUND_CRNCY=USD","FA_ADJUSTED=Y")</f>
        <v>#NAME?</v>
      </c>
      <c r="AT204" s="36" t="e">
        <f ca="1">_xll.BDP($AD204,AT$10,"BEST_FPERIOD_OVERRIDE=1TY","EQY_FUND_CRNCY=USD","FA_ADJUSTED=Y")</f>
        <v>#NAME?</v>
      </c>
      <c r="AV204" s="2" t="s">
        <v>381</v>
      </c>
      <c r="AW204" s="2" t="s">
        <v>382</v>
      </c>
      <c r="AX204" s="2" t="s">
        <v>506</v>
      </c>
      <c r="AY204" s="2">
        <v>234.66050000000001</v>
      </c>
      <c r="AZ204" s="2">
        <v>1122.7605000000001</v>
      </c>
      <c r="BA204" s="2">
        <v>1560.6</v>
      </c>
      <c r="BB204" s="2">
        <v>1518.6670000000001</v>
      </c>
      <c r="BC204" s="2">
        <v>-2.6869793669101472E-2</v>
      </c>
      <c r="BD204" s="2">
        <v>796.00000305175786</v>
      </c>
      <c r="BE204" s="2">
        <v>50.2</v>
      </c>
      <c r="BF204" s="2">
        <v>0</v>
      </c>
      <c r="BG204" s="2" t="s">
        <v>480</v>
      </c>
      <c r="BH204" s="2" t="s">
        <v>480</v>
      </c>
      <c r="BI204" s="2">
        <v>169.7</v>
      </c>
      <c r="BJ204" s="2">
        <v>253.15</v>
      </c>
      <c r="BK204" s="2">
        <v>44.994927041221999</v>
      </c>
      <c r="BL204" s="2">
        <v>37.94</v>
      </c>
    </row>
    <row r="205" spans="30:64" x14ac:dyDescent="0.2">
      <c r="AD205" s="1" t="s">
        <v>383</v>
      </c>
      <c r="AE205" s="1" t="s">
        <v>384</v>
      </c>
      <c r="AF205" s="36" t="e">
        <f ca="1">_xll.BDP($AD205,AF$10)</f>
        <v>#NAME?</v>
      </c>
      <c r="AG205" s="36" t="e">
        <f ca="1">_xll.BDH($AD205,AG$10,$C$5,$C$5,"EQY_FUND_CRNCY=USD")</f>
        <v>#NAME?</v>
      </c>
      <c r="AH205" s="36" t="e">
        <f ca="1">_xll.BDH($AD205,AH$10,$C$5,$C$5,"EQY_FUND_CRNCY=USD")</f>
        <v>#NAME?</v>
      </c>
      <c r="AI205" s="36" t="e">
        <f ca="1">_xll.BDP($AD205,AI$10,"EQY_FUND_CRNCY=USD","FA_ADJUSTED=Y")</f>
        <v>#NAME?</v>
      </c>
      <c r="AJ205" s="36" t="e">
        <f ca="1">_xll.BDP($AD205,AJ$10,"BEST_FPERIOD_OVERRIDE=1TY","EQY_FUND_CRNCY=USD","FA_ADJUSTED=Y")</f>
        <v>#NAME?</v>
      </c>
      <c r="AK205" s="44" t="e">
        <f t="shared" ca="1" si="29"/>
        <v>#NAME?</v>
      </c>
      <c r="AL205" s="36" t="e">
        <f ca="1">_xll.BDP($AD205,AL$10,"EQY_FUND_CRNCY=USD","FA_ADJUSTED=Y")</f>
        <v>#NAME?</v>
      </c>
      <c r="AM205" s="36" t="e">
        <f ca="1">_xll.BDP($AD205,AM$10,"BEST_FPERIOD_OVERRIDE=1TY","EQY_FUND_CRNCY=USD","FA_ADJUSTED=Y")</f>
        <v>#NAME?</v>
      </c>
      <c r="AN205" s="36" t="e">
        <f ca="1">_xll.BDP($AD205,AN$10,"BEST_FPERIOD_OVERRIDE=1TY","EQY_FUND_CRNCY=USD","FA_ADJUSTED=Y")</f>
        <v>#NAME?</v>
      </c>
      <c r="AO205" s="36" t="e">
        <f ca="1">_xll.BDP($AD205,AO$10,"BEST_FPERIOD_OVERRIDE=1TY","EQY_FUND_CRNCY=USD","FA_ADJUSTED=Y")</f>
        <v>#NAME?</v>
      </c>
      <c r="AP205" s="36" t="e">
        <f ca="1">_xll.BDP($AD205,AP$10,"BEST_FPERIOD_OVERRIDE=1TY","EQY_FUND_CRNCY=USD","FA_ADJUSTED=Y")</f>
        <v>#NAME?</v>
      </c>
      <c r="AQ205" s="36" t="e">
        <f ca="1">_xll.BDP($AD205,AQ$10,"EQY_FUND_CRNCY=USD","FA_ADJUSTED=Y")</f>
        <v>#NAME?</v>
      </c>
      <c r="AR205" s="36" t="e">
        <f ca="1">_xll.BDP($AD205,AR$10,"BEST_FPERIOD_OVERRIDE=1TY","EQY_FUND_CRNCY=USD","FA_ADJUSTED=Y")</f>
        <v>#NAME?</v>
      </c>
      <c r="AS205" s="36" t="e">
        <f ca="1">_xll.BDP($AD205,AS$10,"EQY_FUND_CRNCY=USD","FA_ADJUSTED=Y")</f>
        <v>#NAME?</v>
      </c>
      <c r="AT205" s="36" t="e">
        <f ca="1">_xll.BDP($AD205,AT$10,"BEST_FPERIOD_OVERRIDE=1TY","EQY_FUND_CRNCY=USD","FA_ADJUSTED=Y")</f>
        <v>#NAME?</v>
      </c>
      <c r="AV205" s="2" t="s">
        <v>383</v>
      </c>
      <c r="AW205" s="2" t="s">
        <v>384</v>
      </c>
      <c r="AX205" s="2" t="s">
        <v>495</v>
      </c>
      <c r="AY205" s="2">
        <v>245.4846</v>
      </c>
      <c r="AZ205" s="2">
        <v>259.96980000000002</v>
      </c>
      <c r="BA205" s="2">
        <v>81.967006999999995</v>
      </c>
      <c r="BB205" s="2">
        <v>89.275000000000006</v>
      </c>
      <c r="BC205" s="2">
        <v>8.9157738796050046E-2</v>
      </c>
      <c r="BD205" s="2">
        <v>44.329346749023436</v>
      </c>
      <c r="BE205" s="2">
        <v>55</v>
      </c>
      <c r="BF205" s="2">
        <v>14.941393999999999</v>
      </c>
      <c r="BG205" s="2">
        <v>22.526534999999999</v>
      </c>
      <c r="BH205" s="2">
        <v>15.263297</v>
      </c>
      <c r="BI205" s="2">
        <v>-4.3256870000000003</v>
      </c>
      <c r="BJ205" s="2">
        <v>3.93</v>
      </c>
      <c r="BK205" s="2">
        <v>-10.418129</v>
      </c>
      <c r="BL205" s="2">
        <v>-3.863</v>
      </c>
    </row>
    <row r="206" spans="30:64" x14ac:dyDescent="0.2">
      <c r="AD206" s="1" t="s">
        <v>385</v>
      </c>
      <c r="AE206" s="1" t="s">
        <v>386</v>
      </c>
      <c r="AF206" s="36" t="e">
        <f ca="1">_xll.BDP($AD206,AF$10)</f>
        <v>#NAME?</v>
      </c>
      <c r="AG206" s="36" t="e">
        <f ca="1">_xll.BDH($AD206,AG$10,$C$5,$C$5,"EQY_FUND_CRNCY=USD")</f>
        <v>#NAME?</v>
      </c>
      <c r="AH206" s="36" t="e">
        <f ca="1">_xll.BDH($AD206,AH$10,$C$5,$C$5,"EQY_FUND_CRNCY=USD")</f>
        <v>#NAME?</v>
      </c>
      <c r="AI206" s="36" t="e">
        <f ca="1">_xll.BDP($AD206,AI$10,"EQY_FUND_CRNCY=USD","FA_ADJUSTED=Y")</f>
        <v>#NAME?</v>
      </c>
      <c r="AJ206" s="36" t="e">
        <f ca="1">_xll.BDP($AD206,AJ$10,"BEST_FPERIOD_OVERRIDE=1TY","EQY_FUND_CRNCY=USD","FA_ADJUSTED=Y")</f>
        <v>#NAME?</v>
      </c>
      <c r="AK206" s="44" t="e">
        <f t="shared" ca="1" si="29"/>
        <v>#NAME?</v>
      </c>
      <c r="AL206" s="36" t="e">
        <f ca="1">_xll.BDP($AD206,AL$10,"EQY_FUND_CRNCY=USD","FA_ADJUSTED=Y")</f>
        <v>#NAME?</v>
      </c>
      <c r="AM206" s="36" t="e">
        <f ca="1">_xll.BDP($AD206,AM$10,"BEST_FPERIOD_OVERRIDE=1TY","EQY_FUND_CRNCY=USD","FA_ADJUSTED=Y")</f>
        <v>#NAME?</v>
      </c>
      <c r="AN206" s="36" t="e">
        <f ca="1">_xll.BDP($AD206,AN$10,"BEST_FPERIOD_OVERRIDE=1TY","EQY_FUND_CRNCY=USD","FA_ADJUSTED=Y")</f>
        <v>#NAME?</v>
      </c>
      <c r="AO206" s="36" t="e">
        <f ca="1">_xll.BDP($AD206,AO$10,"BEST_FPERIOD_OVERRIDE=1TY","EQY_FUND_CRNCY=USD","FA_ADJUSTED=Y")</f>
        <v>#NAME?</v>
      </c>
      <c r="AP206" s="36" t="e">
        <f ca="1">_xll.BDP($AD206,AP$10,"BEST_FPERIOD_OVERRIDE=1TY","EQY_FUND_CRNCY=USD","FA_ADJUSTED=Y")</f>
        <v>#NAME?</v>
      </c>
      <c r="AQ206" s="36" t="e">
        <f ca="1">_xll.BDP($AD206,AQ$10,"EQY_FUND_CRNCY=USD","FA_ADJUSTED=Y")</f>
        <v>#NAME?</v>
      </c>
      <c r="AR206" s="36" t="e">
        <f ca="1">_xll.BDP($AD206,AR$10,"BEST_FPERIOD_OVERRIDE=1TY","EQY_FUND_CRNCY=USD","FA_ADJUSTED=Y")</f>
        <v>#NAME?</v>
      </c>
      <c r="AS206" s="36" t="e">
        <f ca="1">_xll.BDP($AD206,AS$10,"EQY_FUND_CRNCY=USD","FA_ADJUSTED=Y")</f>
        <v>#NAME?</v>
      </c>
      <c r="AT206" s="36" t="e">
        <f ca="1">_xll.BDP($AD206,AT$10,"BEST_FPERIOD_OVERRIDE=1TY","EQY_FUND_CRNCY=USD","FA_ADJUSTED=Y")</f>
        <v>#NAME?</v>
      </c>
      <c r="AV206" s="2" t="s">
        <v>385</v>
      </c>
      <c r="AW206" s="2" t="s">
        <v>386</v>
      </c>
      <c r="AX206" s="2" t="s">
        <v>505</v>
      </c>
      <c r="AY206" s="2">
        <v>240.55779999999999</v>
      </c>
      <c r="AZ206" s="2">
        <v>205.81890000000001</v>
      </c>
      <c r="BA206" s="2">
        <v>93.621832000000012</v>
      </c>
      <c r="BB206" s="2">
        <v>97.92</v>
      </c>
      <c r="BC206" s="2">
        <v>4.5909889906875501E-2</v>
      </c>
      <c r="BD206" s="2">
        <v>79.795185569702141</v>
      </c>
      <c r="BE206" s="2">
        <v>84.960000000000008</v>
      </c>
      <c r="BF206" s="2">
        <v>20.054991999999999</v>
      </c>
      <c r="BG206" s="2">
        <v>40.912472999999999</v>
      </c>
      <c r="BH206" s="2">
        <v>12.358472000000001</v>
      </c>
      <c r="BI206" s="2">
        <v>18.034611999999999</v>
      </c>
      <c r="BJ206" s="2">
        <v>13.647</v>
      </c>
      <c r="BK206" s="2">
        <v>5.1388267800000005</v>
      </c>
      <c r="BL206" s="2">
        <v>4.2549999999999999</v>
      </c>
    </row>
    <row r="207" spans="30:64" x14ac:dyDescent="0.2">
      <c r="AD207" s="1" t="s">
        <v>387</v>
      </c>
      <c r="AE207" s="1" t="s">
        <v>388</v>
      </c>
      <c r="AF207" s="36" t="e">
        <f ca="1">_xll.BDP($AD207,AF$10)</f>
        <v>#NAME?</v>
      </c>
      <c r="AG207" s="36" t="e">
        <f ca="1">_xll.BDH($AD207,AG$10,$C$5,$C$5,"EQY_FUND_CRNCY=USD")</f>
        <v>#NAME?</v>
      </c>
      <c r="AH207" s="36" t="e">
        <f ca="1">_xll.BDH($AD207,AH$10,$C$5,$C$5,"EQY_FUND_CRNCY=USD")</f>
        <v>#NAME?</v>
      </c>
      <c r="AI207" s="36" t="e">
        <f ca="1">_xll.BDP($AD207,AI$10,"EQY_FUND_CRNCY=USD","FA_ADJUSTED=Y")</f>
        <v>#NAME?</v>
      </c>
      <c r="AJ207" s="36" t="e">
        <f ca="1">_xll.BDP($AD207,AJ$10,"BEST_FPERIOD_OVERRIDE=1TY","EQY_FUND_CRNCY=USD","FA_ADJUSTED=Y")</f>
        <v>#NAME?</v>
      </c>
      <c r="AK207" s="44" t="e">
        <f t="shared" ref="AK207:AK221" ca="1" si="30">(AJ207/AI207)-1</f>
        <v>#NAME?</v>
      </c>
      <c r="AL207" s="36" t="e">
        <f ca="1">_xll.BDP($AD207,AL$10,"EQY_FUND_CRNCY=USD","FA_ADJUSTED=Y")</f>
        <v>#NAME?</v>
      </c>
      <c r="AM207" s="36" t="e">
        <f ca="1">_xll.BDP($AD207,AM$10,"BEST_FPERIOD_OVERRIDE=1TY","EQY_FUND_CRNCY=USD","FA_ADJUSTED=Y")</f>
        <v>#NAME?</v>
      </c>
      <c r="AN207" s="36" t="e">
        <f ca="1">_xll.BDP($AD207,AN$10,"BEST_FPERIOD_OVERRIDE=1TY","EQY_FUND_CRNCY=USD","FA_ADJUSTED=Y")</f>
        <v>#NAME?</v>
      </c>
      <c r="AO207" s="36" t="e">
        <f ca="1">_xll.BDP($AD207,AO$10,"BEST_FPERIOD_OVERRIDE=1TY","EQY_FUND_CRNCY=USD","FA_ADJUSTED=Y")</f>
        <v>#NAME?</v>
      </c>
      <c r="AP207" s="36" t="e">
        <f ca="1">_xll.BDP($AD207,AP$10,"BEST_FPERIOD_OVERRIDE=1TY","EQY_FUND_CRNCY=USD","FA_ADJUSTED=Y")</f>
        <v>#NAME?</v>
      </c>
      <c r="AQ207" s="36" t="e">
        <f ca="1">_xll.BDP($AD207,AQ$10,"EQY_FUND_CRNCY=USD","FA_ADJUSTED=Y")</f>
        <v>#NAME?</v>
      </c>
      <c r="AR207" s="36" t="e">
        <f ca="1">_xll.BDP($AD207,AR$10,"BEST_FPERIOD_OVERRIDE=1TY","EQY_FUND_CRNCY=USD","FA_ADJUSTED=Y")</f>
        <v>#NAME?</v>
      </c>
      <c r="AS207" s="36" t="e">
        <f ca="1">_xll.BDP($AD207,AS$10,"EQY_FUND_CRNCY=USD","FA_ADJUSTED=Y")</f>
        <v>#NAME?</v>
      </c>
      <c r="AT207" s="36" t="e">
        <f ca="1">_xll.BDP($AD207,AT$10,"BEST_FPERIOD_OVERRIDE=1TY","EQY_FUND_CRNCY=USD","FA_ADJUSTED=Y")</f>
        <v>#NAME?</v>
      </c>
      <c r="AV207" s="2" t="s">
        <v>387</v>
      </c>
      <c r="AW207" s="2" t="s">
        <v>388</v>
      </c>
      <c r="AX207" s="2" t="s">
        <v>495</v>
      </c>
      <c r="AY207" s="2">
        <v>238.44390000000001</v>
      </c>
      <c r="AZ207" s="2" t="s">
        <v>480</v>
      </c>
      <c r="BA207" s="2">
        <v>386.76673299999999</v>
      </c>
      <c r="BB207" s="2" t="s">
        <v>480</v>
      </c>
      <c r="BC207" s="2" t="e">
        <v>#VALUE!</v>
      </c>
      <c r="BD207" s="2">
        <v>5.1987930205669386</v>
      </c>
      <c r="BE207" s="2" t="s">
        <v>480</v>
      </c>
      <c r="BF207" s="2">
        <v>0.40684499999999996</v>
      </c>
      <c r="BG207" s="2" t="s">
        <v>480</v>
      </c>
      <c r="BH207" s="2" t="s">
        <v>480</v>
      </c>
      <c r="BI207" s="2">
        <v>-19.923859</v>
      </c>
      <c r="BJ207" s="2" t="s">
        <v>480</v>
      </c>
      <c r="BK207" s="2">
        <v>-20.232606749999999</v>
      </c>
      <c r="BL207" s="2" t="s">
        <v>480</v>
      </c>
    </row>
    <row r="208" spans="30:64" x14ac:dyDescent="0.2">
      <c r="AD208" s="1" t="s">
        <v>389</v>
      </c>
      <c r="AE208" s="1" t="s">
        <v>390</v>
      </c>
      <c r="AF208" s="36" t="e">
        <f ca="1">_xll.BDP($AD208,AF$10)</f>
        <v>#NAME?</v>
      </c>
      <c r="AG208" s="36" t="e">
        <f ca="1">_xll.BDH($AD208,AG$10,$C$5,$C$5,"EQY_FUND_CRNCY=USD")</f>
        <v>#NAME?</v>
      </c>
      <c r="AH208" s="36" t="e">
        <f ca="1">_xll.BDH($AD208,AH$10,$C$5,$C$5,"EQY_FUND_CRNCY=USD")</f>
        <v>#NAME?</v>
      </c>
      <c r="AI208" s="36" t="e">
        <f ca="1">_xll.BDP($AD208,AI$10,"EQY_FUND_CRNCY=USD","FA_ADJUSTED=Y")</f>
        <v>#NAME?</v>
      </c>
      <c r="AJ208" s="36" t="e">
        <f ca="1">_xll.BDP($AD208,AJ$10,"BEST_FPERIOD_OVERRIDE=1TY","EQY_FUND_CRNCY=USD","FA_ADJUSTED=Y")</f>
        <v>#NAME?</v>
      </c>
      <c r="AK208" s="44" t="e">
        <f t="shared" ca="1" si="30"/>
        <v>#NAME?</v>
      </c>
      <c r="AL208" s="36" t="e">
        <f ca="1">_xll.BDP($AD208,AL$10,"EQY_FUND_CRNCY=USD","FA_ADJUSTED=Y")</f>
        <v>#NAME?</v>
      </c>
      <c r="AM208" s="36" t="e">
        <f ca="1">_xll.BDP($AD208,AM$10,"BEST_FPERIOD_OVERRIDE=1TY","EQY_FUND_CRNCY=USD","FA_ADJUSTED=Y")</f>
        <v>#NAME?</v>
      </c>
      <c r="AN208" s="36" t="e">
        <f ca="1">_xll.BDP($AD208,AN$10,"BEST_FPERIOD_OVERRIDE=1TY","EQY_FUND_CRNCY=USD","FA_ADJUSTED=Y")</f>
        <v>#NAME?</v>
      </c>
      <c r="AO208" s="36" t="e">
        <f ca="1">_xll.BDP($AD208,AO$10,"BEST_FPERIOD_OVERRIDE=1TY","EQY_FUND_CRNCY=USD","FA_ADJUSTED=Y")</f>
        <v>#NAME?</v>
      </c>
      <c r="AP208" s="36" t="e">
        <f ca="1">_xll.BDP($AD208,AP$10,"BEST_FPERIOD_OVERRIDE=1TY","EQY_FUND_CRNCY=USD","FA_ADJUSTED=Y")</f>
        <v>#NAME?</v>
      </c>
      <c r="AQ208" s="36" t="e">
        <f ca="1">_xll.BDP($AD208,AQ$10,"EQY_FUND_CRNCY=USD","FA_ADJUSTED=Y")</f>
        <v>#NAME?</v>
      </c>
      <c r="AR208" s="36" t="e">
        <f ca="1">_xll.BDP($AD208,AR$10,"BEST_FPERIOD_OVERRIDE=1TY","EQY_FUND_CRNCY=USD","FA_ADJUSTED=Y")</f>
        <v>#NAME?</v>
      </c>
      <c r="AS208" s="36" t="e">
        <f ca="1">_xll.BDP($AD208,AS$10,"EQY_FUND_CRNCY=USD","FA_ADJUSTED=Y")</f>
        <v>#NAME?</v>
      </c>
      <c r="AT208" s="36" t="e">
        <f ca="1">_xll.BDP($AD208,AT$10,"BEST_FPERIOD_OVERRIDE=1TY","EQY_FUND_CRNCY=USD","FA_ADJUSTED=Y")</f>
        <v>#NAME?</v>
      </c>
      <c r="AV208" s="2" t="s">
        <v>389</v>
      </c>
      <c r="AW208" s="2" t="s">
        <v>390</v>
      </c>
      <c r="AX208" s="2" t="s">
        <v>495</v>
      </c>
      <c r="AY208" s="2">
        <v>231.44229999999999</v>
      </c>
      <c r="AZ208" s="2">
        <v>226.75030000000001</v>
      </c>
      <c r="BA208" s="2">
        <v>0.79800000000000004</v>
      </c>
      <c r="BB208" s="2" t="s">
        <v>480</v>
      </c>
      <c r="BC208" s="2" t="e">
        <v>#VALUE!</v>
      </c>
      <c r="BD208" s="2" t="s">
        <v>480</v>
      </c>
      <c r="BE208" s="2" t="s">
        <v>480</v>
      </c>
      <c r="BF208" s="2">
        <v>2.6739999999999999</v>
      </c>
      <c r="BG208" s="2" t="s">
        <v>480</v>
      </c>
      <c r="BH208" s="2">
        <v>16.193999999999999</v>
      </c>
      <c r="BI208" s="2">
        <v>-23.652999999999999</v>
      </c>
      <c r="BJ208" s="2" t="s">
        <v>480</v>
      </c>
      <c r="BK208" s="2">
        <v>-23.640999999999998</v>
      </c>
      <c r="BL208" s="2" t="s">
        <v>480</v>
      </c>
    </row>
    <row r="209" spans="30:64" x14ac:dyDescent="0.2">
      <c r="AD209" s="1" t="s">
        <v>391</v>
      </c>
      <c r="AE209" s="1" t="s">
        <v>392</v>
      </c>
      <c r="AF209" s="36" t="e">
        <f ca="1">_xll.BDP($AD209,AF$10)</f>
        <v>#NAME?</v>
      </c>
      <c r="AG209" s="36" t="e">
        <f ca="1">_xll.BDH($AD209,AG$10,$C$5,$C$5,"EQY_FUND_CRNCY=USD")</f>
        <v>#NAME?</v>
      </c>
      <c r="AH209" s="36" t="e">
        <f ca="1">_xll.BDH($AD209,AH$10,$C$5,$C$5,"EQY_FUND_CRNCY=USD")</f>
        <v>#NAME?</v>
      </c>
      <c r="AI209" s="36" t="e">
        <f ca="1">_xll.BDP($AD209,AI$10,"EQY_FUND_CRNCY=USD","FA_ADJUSTED=Y")</f>
        <v>#NAME?</v>
      </c>
      <c r="AJ209" s="36" t="e">
        <f ca="1">_xll.BDP($AD209,AJ$10,"BEST_FPERIOD_OVERRIDE=1TY","EQY_FUND_CRNCY=USD","FA_ADJUSTED=Y")</f>
        <v>#NAME?</v>
      </c>
      <c r="AK209" s="44" t="e">
        <f t="shared" ca="1" si="30"/>
        <v>#NAME?</v>
      </c>
      <c r="AL209" s="36" t="e">
        <f ca="1">_xll.BDP($AD209,AL$10,"EQY_FUND_CRNCY=USD","FA_ADJUSTED=Y")</f>
        <v>#NAME?</v>
      </c>
      <c r="AM209" s="36" t="e">
        <f ca="1">_xll.BDP($AD209,AM$10,"BEST_FPERIOD_OVERRIDE=1TY","EQY_FUND_CRNCY=USD","FA_ADJUSTED=Y")</f>
        <v>#NAME?</v>
      </c>
      <c r="AN209" s="36" t="e">
        <f ca="1">_xll.BDP($AD209,AN$10,"BEST_FPERIOD_OVERRIDE=1TY","EQY_FUND_CRNCY=USD","FA_ADJUSTED=Y")</f>
        <v>#NAME?</v>
      </c>
      <c r="AO209" s="36" t="e">
        <f ca="1">_xll.BDP($AD209,AO$10,"BEST_FPERIOD_OVERRIDE=1TY","EQY_FUND_CRNCY=USD","FA_ADJUSTED=Y")</f>
        <v>#NAME?</v>
      </c>
      <c r="AP209" s="36" t="e">
        <f ca="1">_xll.BDP($AD209,AP$10,"BEST_FPERIOD_OVERRIDE=1TY","EQY_FUND_CRNCY=USD","FA_ADJUSTED=Y")</f>
        <v>#NAME?</v>
      </c>
      <c r="AQ209" s="36" t="e">
        <f ca="1">_xll.BDP($AD209,AQ$10,"EQY_FUND_CRNCY=USD","FA_ADJUSTED=Y")</f>
        <v>#NAME?</v>
      </c>
      <c r="AR209" s="36" t="e">
        <f ca="1">_xll.BDP($AD209,AR$10,"BEST_FPERIOD_OVERRIDE=1TY","EQY_FUND_CRNCY=USD","FA_ADJUSTED=Y")</f>
        <v>#NAME?</v>
      </c>
      <c r="AS209" s="36" t="e">
        <f ca="1">_xll.BDP($AD209,AS$10,"EQY_FUND_CRNCY=USD","FA_ADJUSTED=Y")</f>
        <v>#NAME?</v>
      </c>
      <c r="AT209" s="36" t="e">
        <f ca="1">_xll.BDP($AD209,AT$10,"BEST_FPERIOD_OVERRIDE=1TY","EQY_FUND_CRNCY=USD","FA_ADJUSTED=Y")</f>
        <v>#NAME?</v>
      </c>
      <c r="AV209" s="2" t="s">
        <v>391</v>
      </c>
      <c r="AW209" s="2" t="s">
        <v>392</v>
      </c>
      <c r="AX209" s="2" t="s">
        <v>505</v>
      </c>
      <c r="AY209" s="2">
        <v>223.01750000000001</v>
      </c>
      <c r="AZ209" s="2">
        <v>117.0865</v>
      </c>
      <c r="BA209" s="2">
        <v>88.789999999999992</v>
      </c>
      <c r="BB209" s="2">
        <v>99.167000000000002</v>
      </c>
      <c r="BC209" s="2">
        <v>0.11687126928708191</v>
      </c>
      <c r="BD209" s="2">
        <v>60.490999809265134</v>
      </c>
      <c r="BE209" s="2">
        <v>68.5</v>
      </c>
      <c r="BF209" s="2">
        <v>21.852</v>
      </c>
      <c r="BG209" s="2">
        <v>38.316000000000003</v>
      </c>
      <c r="BH209" s="2">
        <v>10.696</v>
      </c>
      <c r="BI209" s="2">
        <v>-8.6230000000000011</v>
      </c>
      <c r="BJ209" s="2">
        <v>-3.14</v>
      </c>
      <c r="BK209" s="2">
        <v>-12.355</v>
      </c>
      <c r="BL209" s="2">
        <v>-4.6749999999999998</v>
      </c>
    </row>
    <row r="210" spans="30:64" x14ac:dyDescent="0.2">
      <c r="AD210" s="1" t="s">
        <v>393</v>
      </c>
      <c r="AE210" s="1" t="s">
        <v>394</v>
      </c>
      <c r="AF210" s="36" t="e">
        <f ca="1">_xll.BDP($AD210,AF$10)</f>
        <v>#NAME?</v>
      </c>
      <c r="AG210" s="36" t="e">
        <f ca="1">_xll.BDH($AD210,AG$10,$C$5,$C$5,"EQY_FUND_CRNCY=USD")</f>
        <v>#NAME?</v>
      </c>
      <c r="AH210" s="36" t="e">
        <f ca="1">_xll.BDH($AD210,AH$10,$C$5,$C$5,"EQY_FUND_CRNCY=USD")</f>
        <v>#NAME?</v>
      </c>
      <c r="AI210" s="36" t="e">
        <f ca="1">_xll.BDP($AD210,AI$10,"EQY_FUND_CRNCY=USD","FA_ADJUSTED=Y")</f>
        <v>#NAME?</v>
      </c>
      <c r="AJ210" s="36" t="e">
        <f ca="1">_xll.BDP($AD210,AJ$10,"BEST_FPERIOD_OVERRIDE=1TY","EQY_FUND_CRNCY=USD","FA_ADJUSTED=Y")</f>
        <v>#NAME?</v>
      </c>
      <c r="AK210" s="44" t="e">
        <f t="shared" ca="1" si="30"/>
        <v>#NAME?</v>
      </c>
      <c r="AL210" s="36" t="e">
        <f ca="1">_xll.BDP($AD210,AL$10,"EQY_FUND_CRNCY=USD","FA_ADJUSTED=Y")</f>
        <v>#NAME?</v>
      </c>
      <c r="AM210" s="36" t="e">
        <f ca="1">_xll.BDP($AD210,AM$10,"BEST_FPERIOD_OVERRIDE=1TY","EQY_FUND_CRNCY=USD","FA_ADJUSTED=Y")</f>
        <v>#NAME?</v>
      </c>
      <c r="AN210" s="36" t="e">
        <f ca="1">_xll.BDP($AD210,AN$10,"BEST_FPERIOD_OVERRIDE=1TY","EQY_FUND_CRNCY=USD","FA_ADJUSTED=Y")</f>
        <v>#NAME?</v>
      </c>
      <c r="AO210" s="36" t="e">
        <f ca="1">_xll.BDP($AD210,AO$10,"BEST_FPERIOD_OVERRIDE=1TY","EQY_FUND_CRNCY=USD","FA_ADJUSTED=Y")</f>
        <v>#NAME?</v>
      </c>
      <c r="AP210" s="36" t="e">
        <f ca="1">_xll.BDP($AD210,AP$10,"BEST_FPERIOD_OVERRIDE=1TY","EQY_FUND_CRNCY=USD","FA_ADJUSTED=Y")</f>
        <v>#NAME?</v>
      </c>
      <c r="AQ210" s="36" t="e">
        <f ca="1">_xll.BDP($AD210,AQ$10,"EQY_FUND_CRNCY=USD","FA_ADJUSTED=Y")</f>
        <v>#NAME?</v>
      </c>
      <c r="AR210" s="36" t="e">
        <f ca="1">_xll.BDP($AD210,AR$10,"BEST_FPERIOD_OVERRIDE=1TY","EQY_FUND_CRNCY=USD","FA_ADJUSTED=Y")</f>
        <v>#NAME?</v>
      </c>
      <c r="AS210" s="36" t="e">
        <f ca="1">_xll.BDP($AD210,AS$10,"EQY_FUND_CRNCY=USD","FA_ADJUSTED=Y")</f>
        <v>#NAME?</v>
      </c>
      <c r="AT210" s="36" t="e">
        <f ca="1">_xll.BDP($AD210,AT$10,"BEST_FPERIOD_OVERRIDE=1TY","EQY_FUND_CRNCY=USD","FA_ADJUSTED=Y")</f>
        <v>#NAME?</v>
      </c>
      <c r="AV210" s="2" t="s">
        <v>393</v>
      </c>
      <c r="AW210" s="2" t="s">
        <v>394</v>
      </c>
      <c r="AX210" s="2" t="s">
        <v>506</v>
      </c>
      <c r="AY210" s="2">
        <v>210.8604</v>
      </c>
      <c r="AZ210" s="2">
        <v>241.44040000000001</v>
      </c>
      <c r="BA210" s="2">
        <v>267.303</v>
      </c>
      <c r="BB210" s="2">
        <v>263</v>
      </c>
      <c r="BC210" s="2">
        <v>-1.6097836537562249E-2</v>
      </c>
      <c r="BD210" s="2">
        <v>24.043999839782714</v>
      </c>
      <c r="BE210" s="2">
        <v>9.1</v>
      </c>
      <c r="BF210" s="2">
        <v>0</v>
      </c>
      <c r="BG210" s="2" t="s">
        <v>480</v>
      </c>
      <c r="BH210" s="2" t="s">
        <v>480</v>
      </c>
      <c r="BI210" s="2">
        <v>2.218</v>
      </c>
      <c r="BJ210" s="2">
        <v>2.5300000000000002</v>
      </c>
      <c r="BK210" s="2">
        <v>-11.090780000000002</v>
      </c>
      <c r="BL210" s="2">
        <v>-16</v>
      </c>
    </row>
    <row r="211" spans="30:64" x14ac:dyDescent="0.2">
      <c r="AD211" s="1" t="s">
        <v>395</v>
      </c>
      <c r="AE211" s="1" t="s">
        <v>396</v>
      </c>
      <c r="AF211" s="36" t="e">
        <f ca="1">_xll.BDP($AD211,AF$10)</f>
        <v>#NAME?</v>
      </c>
      <c r="AG211" s="36" t="e">
        <f ca="1">_xll.BDH($AD211,AG$10,$C$5,$C$5,"EQY_FUND_CRNCY=USD")</f>
        <v>#NAME?</v>
      </c>
      <c r="AH211" s="36" t="e">
        <f ca="1">_xll.BDH($AD211,AH$10,$C$5,$C$5,"EQY_FUND_CRNCY=USD")</f>
        <v>#NAME?</v>
      </c>
      <c r="AI211" s="36" t="e">
        <f ca="1">_xll.BDP($AD211,AI$10,"EQY_FUND_CRNCY=USD","FA_ADJUSTED=Y")</f>
        <v>#NAME?</v>
      </c>
      <c r="AJ211" s="36" t="e">
        <f ca="1">_xll.BDP($AD211,AJ$10,"BEST_FPERIOD_OVERRIDE=1TY","EQY_FUND_CRNCY=USD","FA_ADJUSTED=Y")</f>
        <v>#NAME?</v>
      </c>
      <c r="AK211" s="44" t="e">
        <f t="shared" ca="1" si="30"/>
        <v>#NAME?</v>
      </c>
      <c r="AL211" s="36" t="e">
        <f ca="1">_xll.BDP($AD211,AL$10,"EQY_FUND_CRNCY=USD","FA_ADJUSTED=Y")</f>
        <v>#NAME?</v>
      </c>
      <c r="AM211" s="36" t="e">
        <f ca="1">_xll.BDP($AD211,AM$10,"BEST_FPERIOD_OVERRIDE=1TY","EQY_FUND_CRNCY=USD","FA_ADJUSTED=Y")</f>
        <v>#NAME?</v>
      </c>
      <c r="AN211" s="36" t="e">
        <f ca="1">_xll.BDP($AD211,AN$10,"BEST_FPERIOD_OVERRIDE=1TY","EQY_FUND_CRNCY=USD","FA_ADJUSTED=Y")</f>
        <v>#NAME?</v>
      </c>
      <c r="AO211" s="36" t="e">
        <f ca="1">_xll.BDP($AD211,AO$10,"BEST_FPERIOD_OVERRIDE=1TY","EQY_FUND_CRNCY=USD","FA_ADJUSTED=Y")</f>
        <v>#NAME?</v>
      </c>
      <c r="AP211" s="36" t="e">
        <f ca="1">_xll.BDP($AD211,AP$10,"BEST_FPERIOD_OVERRIDE=1TY","EQY_FUND_CRNCY=USD","FA_ADJUSTED=Y")</f>
        <v>#NAME?</v>
      </c>
      <c r="AQ211" s="36" t="e">
        <f ca="1">_xll.BDP($AD211,AQ$10,"EQY_FUND_CRNCY=USD","FA_ADJUSTED=Y")</f>
        <v>#NAME?</v>
      </c>
      <c r="AR211" s="36" t="e">
        <f ca="1">_xll.BDP($AD211,AR$10,"BEST_FPERIOD_OVERRIDE=1TY","EQY_FUND_CRNCY=USD","FA_ADJUSTED=Y")</f>
        <v>#NAME?</v>
      </c>
      <c r="AS211" s="36" t="e">
        <f ca="1">_xll.BDP($AD211,AS$10,"EQY_FUND_CRNCY=USD","FA_ADJUSTED=Y")</f>
        <v>#NAME?</v>
      </c>
      <c r="AT211" s="36" t="e">
        <f ca="1">_xll.BDP($AD211,AT$10,"BEST_FPERIOD_OVERRIDE=1TY","EQY_FUND_CRNCY=USD","FA_ADJUSTED=Y")</f>
        <v>#NAME?</v>
      </c>
      <c r="AV211" s="2" t="s">
        <v>395</v>
      </c>
      <c r="AW211" s="2" t="s">
        <v>396</v>
      </c>
      <c r="AX211" s="2" t="s">
        <v>495</v>
      </c>
      <c r="AY211" s="2">
        <v>200.37180000000001</v>
      </c>
      <c r="AZ211" s="2">
        <v>198.11580000000001</v>
      </c>
      <c r="BA211" s="2">
        <v>61.307000000000002</v>
      </c>
      <c r="BB211" s="2">
        <v>66.075000000000003</v>
      </c>
      <c r="BC211" s="2">
        <v>7.7772521897988778E-2</v>
      </c>
      <c r="BD211" s="2">
        <v>38.971000602722171</v>
      </c>
      <c r="BE211" s="2">
        <v>63.690000000000005</v>
      </c>
      <c r="BF211" s="2">
        <v>14.710999999999999</v>
      </c>
      <c r="BG211" s="2">
        <v>17.681000000000001</v>
      </c>
      <c r="BH211" s="2">
        <v>7.5670000000000002</v>
      </c>
      <c r="BI211" s="2">
        <v>1.6520000000000001</v>
      </c>
      <c r="BJ211" s="2">
        <v>3.4729999999999999</v>
      </c>
      <c r="BK211" s="2">
        <v>-1.9897</v>
      </c>
      <c r="BL211" s="2">
        <v>8.7000000000000008E-2</v>
      </c>
    </row>
    <row r="212" spans="30:64" x14ac:dyDescent="0.2">
      <c r="AD212" s="1" t="s">
        <v>397</v>
      </c>
      <c r="AE212" s="1" t="s">
        <v>398</v>
      </c>
      <c r="AF212" s="36" t="e">
        <f ca="1">_xll.BDP($AD212,AF$10)</f>
        <v>#NAME?</v>
      </c>
      <c r="AG212" s="36" t="e">
        <f ca="1">_xll.BDH($AD212,AG$10,$C$5,$C$5,"EQY_FUND_CRNCY=USD")</f>
        <v>#NAME?</v>
      </c>
      <c r="AH212" s="36" t="e">
        <f ca="1">_xll.BDH($AD212,AH$10,$C$5,$C$5,"EQY_FUND_CRNCY=USD")</f>
        <v>#NAME?</v>
      </c>
      <c r="AI212" s="36" t="e">
        <f ca="1">_xll.BDP($AD212,AI$10,"EQY_FUND_CRNCY=USD","FA_ADJUSTED=Y")</f>
        <v>#NAME?</v>
      </c>
      <c r="AJ212" s="36" t="e">
        <f ca="1">_xll.BDP($AD212,AJ$10,"BEST_FPERIOD_OVERRIDE=1TY","EQY_FUND_CRNCY=USD","FA_ADJUSTED=Y")</f>
        <v>#NAME?</v>
      </c>
      <c r="AK212" s="44" t="e">
        <f t="shared" ca="1" si="30"/>
        <v>#NAME?</v>
      </c>
      <c r="AL212" s="36" t="e">
        <f ca="1">_xll.BDP($AD212,AL$10,"EQY_FUND_CRNCY=USD","FA_ADJUSTED=Y")</f>
        <v>#NAME?</v>
      </c>
      <c r="AM212" s="36" t="e">
        <f ca="1">_xll.BDP($AD212,AM$10,"BEST_FPERIOD_OVERRIDE=1TY","EQY_FUND_CRNCY=USD","FA_ADJUSTED=Y")</f>
        <v>#NAME?</v>
      </c>
      <c r="AN212" s="36" t="e">
        <f ca="1">_xll.BDP($AD212,AN$10,"BEST_FPERIOD_OVERRIDE=1TY","EQY_FUND_CRNCY=USD","FA_ADJUSTED=Y")</f>
        <v>#NAME?</v>
      </c>
      <c r="AO212" s="36" t="e">
        <f ca="1">_xll.BDP($AD212,AO$10,"BEST_FPERIOD_OVERRIDE=1TY","EQY_FUND_CRNCY=USD","FA_ADJUSTED=Y")</f>
        <v>#NAME?</v>
      </c>
      <c r="AP212" s="36" t="e">
        <f ca="1">_xll.BDP($AD212,AP$10,"BEST_FPERIOD_OVERRIDE=1TY","EQY_FUND_CRNCY=USD","FA_ADJUSTED=Y")</f>
        <v>#NAME?</v>
      </c>
      <c r="AQ212" s="36" t="e">
        <f ca="1">_xll.BDP($AD212,AQ$10,"EQY_FUND_CRNCY=USD","FA_ADJUSTED=Y")</f>
        <v>#NAME?</v>
      </c>
      <c r="AR212" s="36" t="e">
        <f ca="1">_xll.BDP($AD212,AR$10,"BEST_FPERIOD_OVERRIDE=1TY","EQY_FUND_CRNCY=USD","FA_ADJUSTED=Y")</f>
        <v>#NAME?</v>
      </c>
      <c r="AS212" s="36" t="e">
        <f ca="1">_xll.BDP($AD212,AS$10,"EQY_FUND_CRNCY=USD","FA_ADJUSTED=Y")</f>
        <v>#NAME?</v>
      </c>
      <c r="AT212" s="36" t="e">
        <f ca="1">_xll.BDP($AD212,AT$10,"BEST_FPERIOD_OVERRIDE=1TY","EQY_FUND_CRNCY=USD","FA_ADJUSTED=Y")</f>
        <v>#NAME?</v>
      </c>
      <c r="AV212" s="2" t="s">
        <v>397</v>
      </c>
      <c r="AW212" s="2" t="s">
        <v>398</v>
      </c>
      <c r="AX212" s="2" t="s">
        <v>495</v>
      </c>
      <c r="AY212" s="2">
        <v>213.11680000000001</v>
      </c>
      <c r="AZ212" s="2">
        <v>128.17080000000001</v>
      </c>
      <c r="BA212" s="2">
        <v>106.17999999999999</v>
      </c>
      <c r="BB212" s="2">
        <v>222.333</v>
      </c>
      <c r="BC212" s="2">
        <v>1.0939254096816726</v>
      </c>
      <c r="BD212" s="2">
        <v>43.949999134063717</v>
      </c>
      <c r="BE212" s="2">
        <v>44.2</v>
      </c>
      <c r="BF212" s="2">
        <v>87.488</v>
      </c>
      <c r="BG212" s="2">
        <v>20.748000000000001</v>
      </c>
      <c r="BH212" s="2">
        <v>21.562000000000001</v>
      </c>
      <c r="BI212" s="2">
        <v>-82.265000000000001</v>
      </c>
      <c r="BJ212" s="2">
        <v>-24.923000000000002</v>
      </c>
      <c r="BK212" s="2">
        <v>-86.175290000000004</v>
      </c>
      <c r="BL212" s="2">
        <v>-33.910000000000004</v>
      </c>
    </row>
    <row r="213" spans="30:64" x14ac:dyDescent="0.2">
      <c r="AD213" s="1" t="s">
        <v>399</v>
      </c>
      <c r="AE213" s="1" t="s">
        <v>400</v>
      </c>
      <c r="AF213" s="36" t="e">
        <f ca="1">_xll.BDP($AD213,AF$10)</f>
        <v>#NAME?</v>
      </c>
      <c r="AG213" s="36" t="e">
        <f ca="1">_xll.BDH($AD213,AG$10,$C$5,$C$5,"EQY_FUND_CRNCY=USD")</f>
        <v>#NAME?</v>
      </c>
      <c r="AH213" s="36" t="e">
        <f ca="1">_xll.BDH($AD213,AH$10,$C$5,$C$5,"EQY_FUND_CRNCY=USD")</f>
        <v>#NAME?</v>
      </c>
      <c r="AI213" s="36" t="e">
        <f ca="1">_xll.BDP($AD213,AI$10,"EQY_FUND_CRNCY=USD","FA_ADJUSTED=Y")</f>
        <v>#NAME?</v>
      </c>
      <c r="AJ213" s="36" t="e">
        <f ca="1">_xll.BDP($AD213,AJ$10,"BEST_FPERIOD_OVERRIDE=1TY","EQY_FUND_CRNCY=USD","FA_ADJUSTED=Y")</f>
        <v>#NAME?</v>
      </c>
      <c r="AK213" s="44" t="e">
        <f t="shared" ca="1" si="30"/>
        <v>#NAME?</v>
      </c>
      <c r="AL213" s="36" t="e">
        <f ca="1">_xll.BDP($AD213,AL$10,"EQY_FUND_CRNCY=USD","FA_ADJUSTED=Y")</f>
        <v>#NAME?</v>
      </c>
      <c r="AM213" s="36" t="e">
        <f ca="1">_xll.BDP($AD213,AM$10,"BEST_FPERIOD_OVERRIDE=1TY","EQY_FUND_CRNCY=USD","FA_ADJUSTED=Y")</f>
        <v>#NAME?</v>
      </c>
      <c r="AN213" s="36" t="e">
        <f ca="1">_xll.BDP($AD213,AN$10,"BEST_FPERIOD_OVERRIDE=1TY","EQY_FUND_CRNCY=USD","FA_ADJUSTED=Y")</f>
        <v>#NAME?</v>
      </c>
      <c r="AO213" s="36" t="e">
        <f ca="1">_xll.BDP($AD213,AO$10,"BEST_FPERIOD_OVERRIDE=1TY","EQY_FUND_CRNCY=USD","FA_ADJUSTED=Y")</f>
        <v>#NAME?</v>
      </c>
      <c r="AP213" s="36" t="e">
        <f ca="1">_xll.BDP($AD213,AP$10,"BEST_FPERIOD_OVERRIDE=1TY","EQY_FUND_CRNCY=USD","FA_ADJUSTED=Y")</f>
        <v>#NAME?</v>
      </c>
      <c r="AQ213" s="36" t="e">
        <f ca="1">_xll.BDP($AD213,AQ$10,"EQY_FUND_CRNCY=USD","FA_ADJUSTED=Y")</f>
        <v>#NAME?</v>
      </c>
      <c r="AR213" s="36" t="e">
        <f ca="1">_xll.BDP($AD213,AR$10,"BEST_FPERIOD_OVERRIDE=1TY","EQY_FUND_CRNCY=USD","FA_ADJUSTED=Y")</f>
        <v>#NAME?</v>
      </c>
      <c r="AS213" s="36" t="e">
        <f ca="1">_xll.BDP($AD213,AS$10,"EQY_FUND_CRNCY=USD","FA_ADJUSTED=Y")</f>
        <v>#NAME?</v>
      </c>
      <c r="AT213" s="36" t="e">
        <f ca="1">_xll.BDP($AD213,AT$10,"BEST_FPERIOD_OVERRIDE=1TY","EQY_FUND_CRNCY=USD","FA_ADJUSTED=Y")</f>
        <v>#NAME?</v>
      </c>
      <c r="AV213" s="2" t="s">
        <v>399</v>
      </c>
      <c r="AW213" s="2" t="s">
        <v>400</v>
      </c>
      <c r="AX213" s="2" t="s">
        <v>495</v>
      </c>
      <c r="AY213" s="2">
        <v>193.33240000000001</v>
      </c>
      <c r="AZ213" s="2">
        <v>194.5496</v>
      </c>
      <c r="BA213" s="2">
        <v>77.324254925706967</v>
      </c>
      <c r="BB213" s="2">
        <v>93.373000000000005</v>
      </c>
      <c r="BC213" s="2">
        <v>0.20755124106546718</v>
      </c>
      <c r="BD213" s="2">
        <v>65.752319670119391</v>
      </c>
      <c r="BE213" s="2" t="s">
        <v>480</v>
      </c>
      <c r="BF213" s="2">
        <v>23.226824863907463</v>
      </c>
      <c r="BG213" s="2">
        <v>21.908126817776814</v>
      </c>
      <c r="BH213" s="2">
        <v>12.618812398265399</v>
      </c>
      <c r="BI213" s="2">
        <v>-10.102160110826825</v>
      </c>
      <c r="BJ213" s="2">
        <v>-7.149</v>
      </c>
      <c r="BK213" s="2">
        <v>-21.599914824453627</v>
      </c>
      <c r="BL213" s="2">
        <v>-13.758000000000001</v>
      </c>
    </row>
    <row r="214" spans="30:64" x14ac:dyDescent="0.2">
      <c r="AD214" s="1" t="s">
        <v>401</v>
      </c>
      <c r="AE214" s="1" t="s">
        <v>402</v>
      </c>
      <c r="AF214" s="36" t="e">
        <f ca="1">_xll.BDP($AD214,AF$10)</f>
        <v>#NAME?</v>
      </c>
      <c r="AG214" s="36" t="e">
        <f ca="1">_xll.BDH($AD214,AG$10,$C$5,$C$5,"EQY_FUND_CRNCY=USD")</f>
        <v>#NAME?</v>
      </c>
      <c r="AH214" s="36" t="e">
        <f ca="1">_xll.BDH($AD214,AH$10,$C$5,$C$5,"EQY_FUND_CRNCY=USD")</f>
        <v>#NAME?</v>
      </c>
      <c r="AI214" s="36" t="e">
        <f ca="1">_xll.BDP($AD214,AI$10,"EQY_FUND_CRNCY=USD","FA_ADJUSTED=Y")</f>
        <v>#NAME?</v>
      </c>
      <c r="AJ214" s="36" t="e">
        <f ca="1">_xll.BDP($AD214,AJ$10,"BEST_FPERIOD_OVERRIDE=1TY","EQY_FUND_CRNCY=USD","FA_ADJUSTED=Y")</f>
        <v>#NAME?</v>
      </c>
      <c r="AK214" s="44" t="e">
        <f t="shared" ca="1" si="30"/>
        <v>#NAME?</v>
      </c>
      <c r="AL214" s="36" t="e">
        <f ca="1">_xll.BDP($AD214,AL$10,"EQY_FUND_CRNCY=USD","FA_ADJUSTED=Y")</f>
        <v>#NAME?</v>
      </c>
      <c r="AM214" s="36" t="e">
        <f ca="1">_xll.BDP($AD214,AM$10,"BEST_FPERIOD_OVERRIDE=1TY","EQY_FUND_CRNCY=USD","FA_ADJUSTED=Y")</f>
        <v>#NAME?</v>
      </c>
      <c r="AN214" s="36" t="e">
        <f ca="1">_xll.BDP($AD214,AN$10,"BEST_FPERIOD_OVERRIDE=1TY","EQY_FUND_CRNCY=USD","FA_ADJUSTED=Y")</f>
        <v>#NAME?</v>
      </c>
      <c r="AO214" s="36" t="e">
        <f ca="1">_xll.BDP($AD214,AO$10,"BEST_FPERIOD_OVERRIDE=1TY","EQY_FUND_CRNCY=USD","FA_ADJUSTED=Y")</f>
        <v>#NAME?</v>
      </c>
      <c r="AP214" s="36" t="e">
        <f ca="1">_xll.BDP($AD214,AP$10,"BEST_FPERIOD_OVERRIDE=1TY","EQY_FUND_CRNCY=USD","FA_ADJUSTED=Y")</f>
        <v>#NAME?</v>
      </c>
      <c r="AQ214" s="36" t="e">
        <f ca="1">_xll.BDP($AD214,AQ$10,"EQY_FUND_CRNCY=USD","FA_ADJUSTED=Y")</f>
        <v>#NAME?</v>
      </c>
      <c r="AR214" s="36" t="e">
        <f ca="1">_xll.BDP($AD214,AR$10,"BEST_FPERIOD_OVERRIDE=1TY","EQY_FUND_CRNCY=USD","FA_ADJUSTED=Y")</f>
        <v>#NAME?</v>
      </c>
      <c r="AS214" s="36" t="e">
        <f ca="1">_xll.BDP($AD214,AS$10,"EQY_FUND_CRNCY=USD","FA_ADJUSTED=Y")</f>
        <v>#NAME?</v>
      </c>
      <c r="AT214" s="36" t="e">
        <f ca="1">_xll.BDP($AD214,AT$10,"BEST_FPERIOD_OVERRIDE=1TY","EQY_FUND_CRNCY=USD","FA_ADJUSTED=Y")</f>
        <v>#NAME?</v>
      </c>
      <c r="AV214" s="2" t="s">
        <v>401</v>
      </c>
      <c r="AW214" s="2" t="s">
        <v>402</v>
      </c>
      <c r="AX214" s="2" t="s">
        <v>495</v>
      </c>
      <c r="AY214" s="2">
        <v>193.80619999999999</v>
      </c>
      <c r="AZ214" s="2">
        <v>796.41120000000001</v>
      </c>
      <c r="BA214" s="2">
        <v>226.47071799999998</v>
      </c>
      <c r="BB214" s="2">
        <v>566</v>
      </c>
      <c r="BC214" s="2">
        <v>1.4992193472005511</v>
      </c>
      <c r="BD214" s="2">
        <v>104.50188414001465</v>
      </c>
      <c r="BE214" s="2">
        <v>45.067</v>
      </c>
      <c r="BF214" s="2">
        <v>0</v>
      </c>
      <c r="BG214" s="2" t="s">
        <v>480</v>
      </c>
      <c r="BH214" s="2" t="s">
        <v>480</v>
      </c>
      <c r="BI214" s="2">
        <v>45.785221999999997</v>
      </c>
      <c r="BJ214" s="2">
        <v>127.017</v>
      </c>
      <c r="BK214" s="2">
        <v>-20.271996980000001</v>
      </c>
      <c r="BL214" s="2">
        <v>-34.597999999999999</v>
      </c>
    </row>
    <row r="215" spans="30:64" x14ac:dyDescent="0.2">
      <c r="AD215" s="1" t="s">
        <v>403</v>
      </c>
      <c r="AE215" s="1" t="s">
        <v>404</v>
      </c>
      <c r="AF215" s="36" t="e">
        <f ca="1">_xll.BDP($AD215,AF$10)</f>
        <v>#NAME?</v>
      </c>
      <c r="AG215" s="36" t="e">
        <f ca="1">_xll.BDH($AD215,AG$10,$C$5,$C$5,"EQY_FUND_CRNCY=USD")</f>
        <v>#NAME?</v>
      </c>
      <c r="AH215" s="36" t="e">
        <f ca="1">_xll.BDH($AD215,AH$10,$C$5,$C$5,"EQY_FUND_CRNCY=USD")</f>
        <v>#NAME?</v>
      </c>
      <c r="AI215" s="36" t="e">
        <f ca="1">_xll.BDP($AD215,AI$10,"EQY_FUND_CRNCY=USD","FA_ADJUSTED=Y")</f>
        <v>#NAME?</v>
      </c>
      <c r="AJ215" s="36" t="e">
        <f ca="1">_xll.BDP($AD215,AJ$10,"BEST_FPERIOD_OVERRIDE=1TY","EQY_FUND_CRNCY=USD","FA_ADJUSTED=Y")</f>
        <v>#NAME?</v>
      </c>
      <c r="AK215" s="44" t="e">
        <f t="shared" ca="1" si="30"/>
        <v>#NAME?</v>
      </c>
      <c r="AL215" s="36" t="e">
        <f ca="1">_xll.BDP($AD215,AL$10,"EQY_FUND_CRNCY=USD","FA_ADJUSTED=Y")</f>
        <v>#NAME?</v>
      </c>
      <c r="AM215" s="36" t="e">
        <f ca="1">_xll.BDP($AD215,AM$10,"BEST_FPERIOD_OVERRIDE=1TY","EQY_FUND_CRNCY=USD","FA_ADJUSTED=Y")</f>
        <v>#NAME?</v>
      </c>
      <c r="AN215" s="36" t="e">
        <f ca="1">_xll.BDP($AD215,AN$10,"BEST_FPERIOD_OVERRIDE=1TY","EQY_FUND_CRNCY=USD","FA_ADJUSTED=Y")</f>
        <v>#NAME?</v>
      </c>
      <c r="AO215" s="36" t="e">
        <f ca="1">_xll.BDP($AD215,AO$10,"BEST_FPERIOD_OVERRIDE=1TY","EQY_FUND_CRNCY=USD","FA_ADJUSTED=Y")</f>
        <v>#NAME?</v>
      </c>
      <c r="AP215" s="36" t="e">
        <f ca="1">_xll.BDP($AD215,AP$10,"BEST_FPERIOD_OVERRIDE=1TY","EQY_FUND_CRNCY=USD","FA_ADJUSTED=Y")</f>
        <v>#NAME?</v>
      </c>
      <c r="AQ215" s="36" t="e">
        <f ca="1">_xll.BDP($AD215,AQ$10,"EQY_FUND_CRNCY=USD","FA_ADJUSTED=Y")</f>
        <v>#NAME?</v>
      </c>
      <c r="AR215" s="36" t="e">
        <f ca="1">_xll.BDP($AD215,AR$10,"BEST_FPERIOD_OVERRIDE=1TY","EQY_FUND_CRNCY=USD","FA_ADJUSTED=Y")</f>
        <v>#NAME?</v>
      </c>
      <c r="AS215" s="36" t="e">
        <f ca="1">_xll.BDP($AD215,AS$10,"EQY_FUND_CRNCY=USD","FA_ADJUSTED=Y")</f>
        <v>#NAME?</v>
      </c>
      <c r="AT215" s="36" t="e">
        <f ca="1">_xll.BDP($AD215,AT$10,"BEST_FPERIOD_OVERRIDE=1TY","EQY_FUND_CRNCY=USD","FA_ADJUSTED=Y")</f>
        <v>#NAME?</v>
      </c>
      <c r="AV215" s="2" t="s">
        <v>403</v>
      </c>
      <c r="AW215" s="2" t="s">
        <v>404</v>
      </c>
      <c r="AX215" s="2" t="s">
        <v>506</v>
      </c>
      <c r="AY215" s="2">
        <v>192.5958</v>
      </c>
      <c r="AZ215" s="2">
        <v>200.29679999999999</v>
      </c>
      <c r="BA215" s="2">
        <v>168.36399999999998</v>
      </c>
      <c r="BB215" s="2">
        <v>181.1</v>
      </c>
      <c r="BC215" s="2">
        <v>7.5645624955453794E-2</v>
      </c>
      <c r="BD215" s="2">
        <v>62.756998718261713</v>
      </c>
      <c r="BE215" s="2">
        <v>38.65</v>
      </c>
      <c r="BF215" s="2">
        <v>0</v>
      </c>
      <c r="BG215" s="2" t="s">
        <v>480</v>
      </c>
      <c r="BH215" s="2" t="s">
        <v>480</v>
      </c>
      <c r="BI215" s="2">
        <v>16.504999999999999</v>
      </c>
      <c r="BJ215" s="2">
        <v>24.42</v>
      </c>
      <c r="BK215" s="2">
        <v>2.1417899999999994</v>
      </c>
      <c r="BL215" s="2">
        <v>2.5569999999999999</v>
      </c>
    </row>
    <row r="216" spans="30:64" x14ac:dyDescent="0.2">
      <c r="AD216" s="1" t="s">
        <v>405</v>
      </c>
      <c r="AE216" s="1" t="s">
        <v>406</v>
      </c>
      <c r="AF216" s="36" t="e">
        <f ca="1">_xll.BDP($AD216,AF$10)</f>
        <v>#NAME?</v>
      </c>
      <c r="AG216" s="36" t="e">
        <f ca="1">_xll.BDH($AD216,AG$10,$C$5,$C$5,"EQY_FUND_CRNCY=USD")</f>
        <v>#NAME?</v>
      </c>
      <c r="AH216" s="36" t="e">
        <f ca="1">_xll.BDH($AD216,AH$10,$C$5,$C$5,"EQY_FUND_CRNCY=USD")</f>
        <v>#NAME?</v>
      </c>
      <c r="AI216" s="36" t="e">
        <f ca="1">_xll.BDP($AD216,AI$10,"EQY_FUND_CRNCY=USD","FA_ADJUSTED=Y")</f>
        <v>#NAME?</v>
      </c>
      <c r="AJ216" s="36" t="e">
        <f ca="1">_xll.BDP($AD216,AJ$10,"BEST_FPERIOD_OVERRIDE=1TY","EQY_FUND_CRNCY=USD","FA_ADJUSTED=Y")</f>
        <v>#NAME?</v>
      </c>
      <c r="AK216" s="44" t="e">
        <f t="shared" ca="1" si="30"/>
        <v>#NAME?</v>
      </c>
      <c r="AL216" s="36" t="e">
        <f ca="1">_xll.BDP($AD216,AL$10,"EQY_FUND_CRNCY=USD","FA_ADJUSTED=Y")</f>
        <v>#NAME?</v>
      </c>
      <c r="AM216" s="36" t="e">
        <f ca="1">_xll.BDP($AD216,AM$10,"BEST_FPERIOD_OVERRIDE=1TY","EQY_FUND_CRNCY=USD","FA_ADJUSTED=Y")</f>
        <v>#NAME?</v>
      </c>
      <c r="AN216" s="36" t="e">
        <f ca="1">_xll.BDP($AD216,AN$10,"BEST_FPERIOD_OVERRIDE=1TY","EQY_FUND_CRNCY=USD","FA_ADJUSTED=Y")</f>
        <v>#NAME?</v>
      </c>
      <c r="AO216" s="36" t="e">
        <f ca="1">_xll.BDP($AD216,AO$10,"BEST_FPERIOD_OVERRIDE=1TY","EQY_FUND_CRNCY=USD","FA_ADJUSTED=Y")</f>
        <v>#NAME?</v>
      </c>
      <c r="AP216" s="36" t="e">
        <f ca="1">_xll.BDP($AD216,AP$10,"BEST_FPERIOD_OVERRIDE=1TY","EQY_FUND_CRNCY=USD","FA_ADJUSTED=Y")</f>
        <v>#NAME?</v>
      </c>
      <c r="AQ216" s="36" t="e">
        <f ca="1">_xll.BDP($AD216,AQ$10,"EQY_FUND_CRNCY=USD","FA_ADJUSTED=Y")</f>
        <v>#NAME?</v>
      </c>
      <c r="AR216" s="36" t="e">
        <f ca="1">_xll.BDP($AD216,AR$10,"BEST_FPERIOD_OVERRIDE=1TY","EQY_FUND_CRNCY=USD","FA_ADJUSTED=Y")</f>
        <v>#NAME?</v>
      </c>
      <c r="AS216" s="36" t="e">
        <f ca="1">_xll.BDP($AD216,AS$10,"EQY_FUND_CRNCY=USD","FA_ADJUSTED=Y")</f>
        <v>#NAME?</v>
      </c>
      <c r="AT216" s="36" t="e">
        <f ca="1">_xll.BDP($AD216,AT$10,"BEST_FPERIOD_OVERRIDE=1TY","EQY_FUND_CRNCY=USD","FA_ADJUSTED=Y")</f>
        <v>#NAME?</v>
      </c>
      <c r="AV216" s="2" t="s">
        <v>405</v>
      </c>
      <c r="AW216" s="2" t="s">
        <v>406</v>
      </c>
      <c r="AX216" s="2" t="s">
        <v>506</v>
      </c>
      <c r="AY216" s="2">
        <v>181.02850000000001</v>
      </c>
      <c r="AZ216" s="2">
        <v>162.81110000000001</v>
      </c>
      <c r="BA216" s="2">
        <v>8.5688190662573405</v>
      </c>
      <c r="BB216" s="2">
        <v>67.894999999999996</v>
      </c>
      <c r="BC216" s="2">
        <v>6.923495580313956</v>
      </c>
      <c r="BD216" s="2">
        <v>2.4821392877652002</v>
      </c>
      <c r="BE216" s="2">
        <v>78</v>
      </c>
      <c r="BF216" s="2">
        <v>0</v>
      </c>
      <c r="BG216" s="2" t="s">
        <v>480</v>
      </c>
      <c r="BH216" s="2">
        <v>1.0619080464735536E-2</v>
      </c>
      <c r="BI216" s="2">
        <v>4.4655614782134192</v>
      </c>
      <c r="BJ216" s="2">
        <v>51.715000000000003</v>
      </c>
      <c r="BK216" s="2">
        <v>-3.0786477360037656</v>
      </c>
      <c r="BL216" s="2" t="s">
        <v>480</v>
      </c>
    </row>
    <row r="217" spans="30:64" x14ac:dyDescent="0.2">
      <c r="AD217" s="1" t="s">
        <v>407</v>
      </c>
      <c r="AE217" s="1" t="s">
        <v>408</v>
      </c>
      <c r="AF217" s="36" t="e">
        <f ca="1">_xll.BDP($AD217,AF$10)</f>
        <v>#NAME?</v>
      </c>
      <c r="AG217" s="36" t="e">
        <f ca="1">_xll.BDH($AD217,AG$10,$C$5,$C$5,"EQY_FUND_CRNCY=USD")</f>
        <v>#NAME?</v>
      </c>
      <c r="AH217" s="36" t="e">
        <f ca="1">_xll.BDH($AD217,AH$10,$C$5,$C$5,"EQY_FUND_CRNCY=USD")</f>
        <v>#NAME?</v>
      </c>
      <c r="AI217" s="36" t="e">
        <f ca="1">_xll.BDP($AD217,AI$10,"EQY_FUND_CRNCY=USD","FA_ADJUSTED=Y")</f>
        <v>#NAME?</v>
      </c>
      <c r="AJ217" s="36" t="e">
        <f ca="1">_xll.BDP($AD217,AJ$10,"BEST_FPERIOD_OVERRIDE=1TY","EQY_FUND_CRNCY=USD","FA_ADJUSTED=Y")</f>
        <v>#NAME?</v>
      </c>
      <c r="AK217" s="44" t="e">
        <f t="shared" ca="1" si="30"/>
        <v>#NAME?</v>
      </c>
      <c r="AL217" s="36" t="e">
        <f ca="1">_xll.BDP($AD217,AL$10,"EQY_FUND_CRNCY=USD","FA_ADJUSTED=Y")</f>
        <v>#NAME?</v>
      </c>
      <c r="AM217" s="36" t="e">
        <f ca="1">_xll.BDP($AD217,AM$10,"BEST_FPERIOD_OVERRIDE=1TY","EQY_FUND_CRNCY=USD","FA_ADJUSTED=Y")</f>
        <v>#NAME?</v>
      </c>
      <c r="AN217" s="36" t="e">
        <f ca="1">_xll.BDP($AD217,AN$10,"BEST_FPERIOD_OVERRIDE=1TY","EQY_FUND_CRNCY=USD","FA_ADJUSTED=Y")</f>
        <v>#NAME?</v>
      </c>
      <c r="AO217" s="36" t="e">
        <f ca="1">_xll.BDP($AD217,AO$10,"BEST_FPERIOD_OVERRIDE=1TY","EQY_FUND_CRNCY=USD","FA_ADJUSTED=Y")</f>
        <v>#NAME?</v>
      </c>
      <c r="AP217" s="36" t="e">
        <f ca="1">_xll.BDP($AD217,AP$10,"BEST_FPERIOD_OVERRIDE=1TY","EQY_FUND_CRNCY=USD","FA_ADJUSTED=Y")</f>
        <v>#NAME?</v>
      </c>
      <c r="AQ217" s="36" t="e">
        <f ca="1">_xll.BDP($AD217,AQ$10,"EQY_FUND_CRNCY=USD","FA_ADJUSTED=Y")</f>
        <v>#NAME?</v>
      </c>
      <c r="AR217" s="36" t="e">
        <f ca="1">_xll.BDP($AD217,AR$10,"BEST_FPERIOD_OVERRIDE=1TY","EQY_FUND_CRNCY=USD","FA_ADJUSTED=Y")</f>
        <v>#NAME?</v>
      </c>
      <c r="AS217" s="36" t="e">
        <f ca="1">_xll.BDP($AD217,AS$10,"EQY_FUND_CRNCY=USD","FA_ADJUSTED=Y")</f>
        <v>#NAME?</v>
      </c>
      <c r="AT217" s="36" t="e">
        <f ca="1">_xll.BDP($AD217,AT$10,"BEST_FPERIOD_OVERRIDE=1TY","EQY_FUND_CRNCY=USD","FA_ADJUSTED=Y")</f>
        <v>#NAME?</v>
      </c>
      <c r="AV217" s="2" t="s">
        <v>407</v>
      </c>
      <c r="AW217" s="2" t="s">
        <v>408</v>
      </c>
      <c r="AX217" s="2" t="s">
        <v>506</v>
      </c>
      <c r="AY217" s="2">
        <v>186.72329999999999</v>
      </c>
      <c r="AZ217" s="2">
        <v>275.41230000000002</v>
      </c>
      <c r="BA217" s="2">
        <v>274.86399999999998</v>
      </c>
      <c r="BB217" s="2">
        <v>293.875</v>
      </c>
      <c r="BC217" s="2">
        <v>6.9165114383840764E-2</v>
      </c>
      <c r="BD217" s="2">
        <v>116.03600010681151</v>
      </c>
      <c r="BE217" s="2">
        <v>43.300000000000004</v>
      </c>
      <c r="BF217" s="2">
        <v>0</v>
      </c>
      <c r="BG217" s="2" t="s">
        <v>480</v>
      </c>
      <c r="BH217" s="2" t="s">
        <v>480</v>
      </c>
      <c r="BI217" s="2">
        <v>25.126000000000001</v>
      </c>
      <c r="BJ217" s="2">
        <v>36.853000000000002</v>
      </c>
      <c r="BK217" s="2">
        <v>2.5753330869909998</v>
      </c>
      <c r="BL217" s="2">
        <v>17.645</v>
      </c>
    </row>
    <row r="218" spans="30:64" x14ac:dyDescent="0.2">
      <c r="AD218" s="1" t="s">
        <v>409</v>
      </c>
      <c r="AE218" s="1" t="s">
        <v>410</v>
      </c>
      <c r="AF218" s="36" t="e">
        <f ca="1">_xll.BDP($AD218,AF$10)</f>
        <v>#NAME?</v>
      </c>
      <c r="AG218" s="36" t="e">
        <f ca="1">_xll.BDH($AD218,AG$10,$C$5,$C$5,"EQY_FUND_CRNCY=USD")</f>
        <v>#NAME?</v>
      </c>
      <c r="AH218" s="36" t="e">
        <f ca="1">_xll.BDH($AD218,AH$10,$C$5,$C$5,"EQY_FUND_CRNCY=USD")</f>
        <v>#NAME?</v>
      </c>
      <c r="AI218" s="36" t="e">
        <f ca="1">_xll.BDP($AD218,AI$10,"EQY_FUND_CRNCY=USD","FA_ADJUSTED=Y")</f>
        <v>#NAME?</v>
      </c>
      <c r="AJ218" s="36" t="e">
        <f ca="1">_xll.BDP($AD218,AJ$10,"BEST_FPERIOD_OVERRIDE=1TY","EQY_FUND_CRNCY=USD","FA_ADJUSTED=Y")</f>
        <v>#NAME?</v>
      </c>
      <c r="AK218" s="44" t="e">
        <f t="shared" ca="1" si="30"/>
        <v>#NAME?</v>
      </c>
      <c r="AL218" s="36" t="e">
        <f ca="1">_xll.BDP($AD218,AL$10,"EQY_FUND_CRNCY=USD","FA_ADJUSTED=Y")</f>
        <v>#NAME?</v>
      </c>
      <c r="AM218" s="36" t="e">
        <f ca="1">_xll.BDP($AD218,AM$10,"BEST_FPERIOD_OVERRIDE=1TY","EQY_FUND_CRNCY=USD","FA_ADJUSTED=Y")</f>
        <v>#NAME?</v>
      </c>
      <c r="AN218" s="36" t="e">
        <f ca="1">_xll.BDP($AD218,AN$10,"BEST_FPERIOD_OVERRIDE=1TY","EQY_FUND_CRNCY=USD","FA_ADJUSTED=Y")</f>
        <v>#NAME?</v>
      </c>
      <c r="AO218" s="36" t="e">
        <f ca="1">_xll.BDP($AD218,AO$10,"BEST_FPERIOD_OVERRIDE=1TY","EQY_FUND_CRNCY=USD","FA_ADJUSTED=Y")</f>
        <v>#NAME?</v>
      </c>
      <c r="AP218" s="36" t="e">
        <f ca="1">_xll.BDP($AD218,AP$10,"BEST_FPERIOD_OVERRIDE=1TY","EQY_FUND_CRNCY=USD","FA_ADJUSTED=Y")</f>
        <v>#NAME?</v>
      </c>
      <c r="AQ218" s="36" t="e">
        <f ca="1">_xll.BDP($AD218,AQ$10,"EQY_FUND_CRNCY=USD","FA_ADJUSTED=Y")</f>
        <v>#NAME?</v>
      </c>
      <c r="AR218" s="36" t="e">
        <f ca="1">_xll.BDP($AD218,AR$10,"BEST_FPERIOD_OVERRIDE=1TY","EQY_FUND_CRNCY=USD","FA_ADJUSTED=Y")</f>
        <v>#NAME?</v>
      </c>
      <c r="AS218" s="36" t="e">
        <f ca="1">_xll.BDP($AD218,AS$10,"EQY_FUND_CRNCY=USD","FA_ADJUSTED=Y")</f>
        <v>#NAME?</v>
      </c>
      <c r="AT218" s="36" t="e">
        <f ca="1">_xll.BDP($AD218,AT$10,"BEST_FPERIOD_OVERRIDE=1TY","EQY_FUND_CRNCY=USD","FA_ADJUSTED=Y")</f>
        <v>#NAME?</v>
      </c>
      <c r="AV218" s="2" t="s">
        <v>409</v>
      </c>
      <c r="AW218" s="2" t="s">
        <v>410</v>
      </c>
      <c r="AX218" s="2" t="s">
        <v>495</v>
      </c>
      <c r="AY218" s="2">
        <v>183.29759999999999</v>
      </c>
      <c r="AZ218" s="2">
        <v>124.41030000000001</v>
      </c>
      <c r="BA218" s="2">
        <v>128.101112</v>
      </c>
      <c r="BB218" s="2">
        <v>123</v>
      </c>
      <c r="BC218" s="2">
        <v>-3.982098141349466E-2</v>
      </c>
      <c r="BD218" s="2">
        <v>72.534188598388667</v>
      </c>
      <c r="BE218" s="2">
        <v>61.300000000000004</v>
      </c>
      <c r="BF218" s="2">
        <v>41.944024999999996</v>
      </c>
      <c r="BG218" s="2">
        <v>19.221935999999999</v>
      </c>
      <c r="BH218" s="2">
        <v>36.027413000000003</v>
      </c>
      <c r="BI218" s="2">
        <v>-23.433501</v>
      </c>
      <c r="BJ218" s="2">
        <v>-20.85</v>
      </c>
      <c r="BK218" s="2">
        <v>-50.694046620000002</v>
      </c>
      <c r="BL218" s="2">
        <v>-87.600000000000009</v>
      </c>
    </row>
    <row r="219" spans="30:64" x14ac:dyDescent="0.2">
      <c r="AD219" s="1" t="s">
        <v>411</v>
      </c>
      <c r="AE219" s="1" t="s">
        <v>412</v>
      </c>
      <c r="AF219" s="36" t="e">
        <f ca="1">_xll.BDP($AD219,AF$10)</f>
        <v>#NAME?</v>
      </c>
      <c r="AG219" s="36" t="e">
        <f ca="1">_xll.BDH($AD219,AG$10,$C$5,$C$5,"EQY_FUND_CRNCY=USD")</f>
        <v>#NAME?</v>
      </c>
      <c r="AH219" s="36" t="e">
        <f ca="1">_xll.BDH($AD219,AH$10,$C$5,$C$5,"EQY_FUND_CRNCY=USD")</f>
        <v>#NAME?</v>
      </c>
      <c r="AI219" s="36" t="e">
        <f ca="1">_xll.BDP($AD219,AI$10,"EQY_FUND_CRNCY=USD","FA_ADJUSTED=Y")</f>
        <v>#NAME?</v>
      </c>
      <c r="AJ219" s="36" t="e">
        <f ca="1">_xll.BDP($AD219,AJ$10,"BEST_FPERIOD_OVERRIDE=1TY","EQY_FUND_CRNCY=USD","FA_ADJUSTED=Y")</f>
        <v>#NAME?</v>
      </c>
      <c r="AK219" s="44" t="e">
        <f t="shared" ca="1" si="30"/>
        <v>#NAME?</v>
      </c>
      <c r="AL219" s="36" t="e">
        <f ca="1">_xll.BDP($AD219,AL$10,"EQY_FUND_CRNCY=USD","FA_ADJUSTED=Y")</f>
        <v>#NAME?</v>
      </c>
      <c r="AM219" s="36" t="e">
        <f ca="1">_xll.BDP($AD219,AM$10,"BEST_FPERIOD_OVERRIDE=1TY","EQY_FUND_CRNCY=USD","FA_ADJUSTED=Y")</f>
        <v>#NAME?</v>
      </c>
      <c r="AN219" s="36" t="e">
        <f ca="1">_xll.BDP($AD219,AN$10,"BEST_FPERIOD_OVERRIDE=1TY","EQY_FUND_CRNCY=USD","FA_ADJUSTED=Y")</f>
        <v>#NAME?</v>
      </c>
      <c r="AO219" s="36" t="e">
        <f ca="1">_xll.BDP($AD219,AO$10,"BEST_FPERIOD_OVERRIDE=1TY","EQY_FUND_CRNCY=USD","FA_ADJUSTED=Y")</f>
        <v>#NAME?</v>
      </c>
      <c r="AP219" s="36" t="e">
        <f ca="1">_xll.BDP($AD219,AP$10,"BEST_FPERIOD_OVERRIDE=1TY","EQY_FUND_CRNCY=USD","FA_ADJUSTED=Y")</f>
        <v>#NAME?</v>
      </c>
      <c r="AQ219" s="36" t="e">
        <f ca="1">_xll.BDP($AD219,AQ$10,"EQY_FUND_CRNCY=USD","FA_ADJUSTED=Y")</f>
        <v>#NAME?</v>
      </c>
      <c r="AR219" s="36" t="e">
        <f ca="1">_xll.BDP($AD219,AR$10,"BEST_FPERIOD_OVERRIDE=1TY","EQY_FUND_CRNCY=USD","FA_ADJUSTED=Y")</f>
        <v>#NAME?</v>
      </c>
      <c r="AS219" s="36" t="e">
        <f ca="1">_xll.BDP($AD219,AS$10,"EQY_FUND_CRNCY=USD","FA_ADJUSTED=Y")</f>
        <v>#NAME?</v>
      </c>
      <c r="AT219" s="36" t="e">
        <f ca="1">_xll.BDP($AD219,AT$10,"BEST_FPERIOD_OVERRIDE=1TY","EQY_FUND_CRNCY=USD","FA_ADJUSTED=Y")</f>
        <v>#NAME?</v>
      </c>
      <c r="AV219" s="2" t="s">
        <v>411</v>
      </c>
      <c r="AW219" s="2" t="s">
        <v>412</v>
      </c>
      <c r="AX219" s="2" t="s">
        <v>505</v>
      </c>
      <c r="AY219" s="2">
        <v>174.07480000000001</v>
      </c>
      <c r="AZ219" s="2">
        <v>69.755799999999994</v>
      </c>
      <c r="BA219" s="2">
        <v>120.13199999999999</v>
      </c>
      <c r="BB219" s="2">
        <v>124.5</v>
      </c>
      <c r="BC219" s="2">
        <v>3.6360003995604906E-2</v>
      </c>
      <c r="BD219" s="2">
        <v>61.855000404357909</v>
      </c>
      <c r="BE219" s="2">
        <v>49</v>
      </c>
      <c r="BF219" s="2">
        <v>47.5</v>
      </c>
      <c r="BG219" s="2">
        <v>51.793999999999997</v>
      </c>
      <c r="BH219" s="2">
        <v>55.595999999999997</v>
      </c>
      <c r="BI219" s="2">
        <v>-43.578000000000003</v>
      </c>
      <c r="BJ219" s="2">
        <v>-6.375</v>
      </c>
      <c r="BK219" s="2">
        <v>-75.318597068339997</v>
      </c>
      <c r="BL219" s="2">
        <v>-51.5</v>
      </c>
    </row>
    <row r="220" spans="30:64" x14ac:dyDescent="0.2">
      <c r="AD220" s="1" t="s">
        <v>413</v>
      </c>
      <c r="AE220" s="1" t="s">
        <v>414</v>
      </c>
      <c r="AF220" s="36" t="e">
        <f ca="1">_xll.BDP($AD220,AF$10)</f>
        <v>#NAME?</v>
      </c>
      <c r="AG220" s="36" t="e">
        <f ca="1">_xll.BDH($AD220,AG$10,$C$5,$C$5,"EQY_FUND_CRNCY=USD")</f>
        <v>#NAME?</v>
      </c>
      <c r="AH220" s="36" t="e">
        <f ca="1">_xll.BDH($AD220,AH$10,$C$5,$C$5,"EQY_FUND_CRNCY=USD")</f>
        <v>#NAME?</v>
      </c>
      <c r="AI220" s="36" t="e">
        <f ca="1">_xll.BDP($AD220,AI$10,"EQY_FUND_CRNCY=USD","FA_ADJUSTED=Y")</f>
        <v>#NAME?</v>
      </c>
      <c r="AJ220" s="36" t="e">
        <f ca="1">_xll.BDP($AD220,AJ$10,"BEST_FPERIOD_OVERRIDE=1TY","EQY_FUND_CRNCY=USD","FA_ADJUSTED=Y")</f>
        <v>#NAME?</v>
      </c>
      <c r="AK220" s="44" t="e">
        <f t="shared" ca="1" si="30"/>
        <v>#NAME?</v>
      </c>
      <c r="AL220" s="36" t="e">
        <f ca="1">_xll.BDP($AD220,AL$10,"EQY_FUND_CRNCY=USD","FA_ADJUSTED=Y")</f>
        <v>#NAME?</v>
      </c>
      <c r="AM220" s="36" t="e">
        <f ca="1">_xll.BDP($AD220,AM$10,"BEST_FPERIOD_OVERRIDE=1TY","EQY_FUND_CRNCY=USD","FA_ADJUSTED=Y")</f>
        <v>#NAME?</v>
      </c>
      <c r="AN220" s="36" t="e">
        <f ca="1">_xll.BDP($AD220,AN$10,"BEST_FPERIOD_OVERRIDE=1TY","EQY_FUND_CRNCY=USD","FA_ADJUSTED=Y")</f>
        <v>#NAME?</v>
      </c>
      <c r="AO220" s="36" t="e">
        <f ca="1">_xll.BDP($AD220,AO$10,"BEST_FPERIOD_OVERRIDE=1TY","EQY_FUND_CRNCY=USD","FA_ADJUSTED=Y")</f>
        <v>#NAME?</v>
      </c>
      <c r="AP220" s="36" t="e">
        <f ca="1">_xll.BDP($AD220,AP$10,"BEST_FPERIOD_OVERRIDE=1TY","EQY_FUND_CRNCY=USD","FA_ADJUSTED=Y")</f>
        <v>#NAME?</v>
      </c>
      <c r="AQ220" s="36" t="e">
        <f ca="1">_xll.BDP($AD220,AQ$10,"EQY_FUND_CRNCY=USD","FA_ADJUSTED=Y")</f>
        <v>#NAME?</v>
      </c>
      <c r="AR220" s="36" t="e">
        <f ca="1">_xll.BDP($AD220,AR$10,"BEST_FPERIOD_OVERRIDE=1TY","EQY_FUND_CRNCY=USD","FA_ADJUSTED=Y")</f>
        <v>#NAME?</v>
      </c>
      <c r="AS220" s="36" t="e">
        <f ca="1">_xll.BDP($AD220,AS$10,"EQY_FUND_CRNCY=USD","FA_ADJUSTED=Y")</f>
        <v>#NAME?</v>
      </c>
      <c r="AT220" s="36" t="e">
        <f ca="1">_xll.BDP($AD220,AT$10,"BEST_FPERIOD_OVERRIDE=1TY","EQY_FUND_CRNCY=USD","FA_ADJUSTED=Y")</f>
        <v>#NAME?</v>
      </c>
      <c r="AV220" s="2" t="s">
        <v>413</v>
      </c>
      <c r="AW220" s="2" t="s">
        <v>414</v>
      </c>
      <c r="AX220" s="2" t="s">
        <v>505</v>
      </c>
      <c r="AY220" s="2">
        <v>168.06610000000001</v>
      </c>
      <c r="AZ220" s="2">
        <v>151.4391</v>
      </c>
      <c r="BA220" s="2">
        <v>31.908999999999999</v>
      </c>
      <c r="BB220" s="2">
        <v>38.61</v>
      </c>
      <c r="BC220" s="2">
        <v>0.21000344730326859</v>
      </c>
      <c r="BD220" s="2">
        <v>19.025000007629394</v>
      </c>
      <c r="BE220" s="2">
        <v>70</v>
      </c>
      <c r="BF220" s="2">
        <v>9.8249999999999993</v>
      </c>
      <c r="BG220" s="2">
        <v>15.551</v>
      </c>
      <c r="BH220" s="2">
        <v>7.2859999999999996</v>
      </c>
      <c r="BI220" s="2">
        <v>-12.440999999999999</v>
      </c>
      <c r="BJ220" s="2" t="s">
        <v>480</v>
      </c>
      <c r="BK220" s="2">
        <v>-20.875574530000002</v>
      </c>
      <c r="BL220" s="2">
        <v>-16.77</v>
      </c>
    </row>
    <row r="221" spans="30:64" x14ac:dyDescent="0.2">
      <c r="AD221" s="1" t="s">
        <v>415</v>
      </c>
      <c r="AE221" s="1" t="s">
        <v>416</v>
      </c>
      <c r="AF221" s="36" t="e">
        <f ca="1">_xll.BDP($AD221,AF$10)</f>
        <v>#NAME?</v>
      </c>
      <c r="AG221" s="36" t="e">
        <f ca="1">_xll.BDH($AD221,AG$10,$C$5,$C$5,"EQY_FUND_CRNCY=USD")</f>
        <v>#NAME?</v>
      </c>
      <c r="AH221" s="36" t="e">
        <f ca="1">_xll.BDH($AD221,AH$10,$C$5,$C$5,"EQY_FUND_CRNCY=USD")</f>
        <v>#NAME?</v>
      </c>
      <c r="AI221" s="36" t="e">
        <f ca="1">_xll.BDP($AD221,AI$10,"EQY_FUND_CRNCY=USD","FA_ADJUSTED=Y")</f>
        <v>#NAME?</v>
      </c>
      <c r="AJ221" s="36" t="e">
        <f ca="1">_xll.BDP($AD221,AJ$10,"BEST_FPERIOD_OVERRIDE=1TY","EQY_FUND_CRNCY=USD","FA_ADJUSTED=Y")</f>
        <v>#NAME?</v>
      </c>
      <c r="AK221" s="44" t="e">
        <f t="shared" ca="1" si="30"/>
        <v>#NAME?</v>
      </c>
      <c r="AL221" s="36" t="e">
        <f ca="1">_xll.BDP($AD221,AL$10,"EQY_FUND_CRNCY=USD","FA_ADJUSTED=Y")</f>
        <v>#NAME?</v>
      </c>
      <c r="AM221" s="36" t="e">
        <f ca="1">_xll.BDP($AD221,AM$10,"BEST_FPERIOD_OVERRIDE=1TY","EQY_FUND_CRNCY=USD","FA_ADJUSTED=Y")</f>
        <v>#NAME?</v>
      </c>
      <c r="AN221" s="36" t="e">
        <f ca="1">_xll.BDP($AD221,AN$10,"BEST_FPERIOD_OVERRIDE=1TY","EQY_FUND_CRNCY=USD","FA_ADJUSTED=Y")</f>
        <v>#NAME?</v>
      </c>
      <c r="AO221" s="36" t="e">
        <f ca="1">_xll.BDP($AD221,AO$10,"BEST_FPERIOD_OVERRIDE=1TY","EQY_FUND_CRNCY=USD","FA_ADJUSTED=Y")</f>
        <v>#NAME?</v>
      </c>
      <c r="AP221" s="36" t="e">
        <f ca="1">_xll.BDP($AD221,AP$10,"BEST_FPERIOD_OVERRIDE=1TY","EQY_FUND_CRNCY=USD","FA_ADJUSTED=Y")</f>
        <v>#NAME?</v>
      </c>
      <c r="AQ221" s="36" t="e">
        <f ca="1">_xll.BDP($AD221,AQ$10,"EQY_FUND_CRNCY=USD","FA_ADJUSTED=Y")</f>
        <v>#NAME?</v>
      </c>
      <c r="AR221" s="36" t="e">
        <f ca="1">_xll.BDP($AD221,AR$10,"BEST_FPERIOD_OVERRIDE=1TY","EQY_FUND_CRNCY=USD","FA_ADJUSTED=Y")</f>
        <v>#NAME?</v>
      </c>
      <c r="AS221" s="36" t="e">
        <f ca="1">_xll.BDP($AD221,AS$10,"EQY_FUND_CRNCY=USD","FA_ADJUSTED=Y")</f>
        <v>#NAME?</v>
      </c>
      <c r="AT221" s="36" t="e">
        <f ca="1">_xll.BDP($AD221,AT$10,"BEST_FPERIOD_OVERRIDE=1TY","EQY_FUND_CRNCY=USD","FA_ADJUSTED=Y")</f>
        <v>#NAME?</v>
      </c>
      <c r="AV221" s="2" t="s">
        <v>415</v>
      </c>
      <c r="AW221" s="2" t="s">
        <v>416</v>
      </c>
      <c r="AX221" s="2" t="s">
        <v>506</v>
      </c>
      <c r="AY221" s="2">
        <v>166.60400000000001</v>
      </c>
      <c r="AZ221" s="2">
        <v>144.86320000000001</v>
      </c>
      <c r="BA221" s="2">
        <v>18.75207</v>
      </c>
      <c r="BB221" s="2" t="s">
        <v>480</v>
      </c>
      <c r="BC221" s="2" t="e">
        <v>#VALUE!</v>
      </c>
      <c r="BD221" s="2">
        <v>8.6327999237747193</v>
      </c>
      <c r="BE221" s="2" t="s">
        <v>480</v>
      </c>
      <c r="BF221" s="2">
        <v>0</v>
      </c>
      <c r="BG221" s="2" t="s">
        <v>480</v>
      </c>
      <c r="BH221" s="2" t="s">
        <v>480</v>
      </c>
      <c r="BI221" s="2">
        <v>3.0729509999999998</v>
      </c>
      <c r="BJ221" s="2" t="s">
        <v>480</v>
      </c>
      <c r="BK221" s="2">
        <v>2.181908</v>
      </c>
      <c r="BL221" s="2" t="s">
        <v>480</v>
      </c>
    </row>
    <row r="222" spans="30:64" x14ac:dyDescent="0.2">
      <c r="AD222" s="1"/>
      <c r="AE222" s="1"/>
    </row>
    <row r="223" spans="30:64" x14ac:dyDescent="0.2">
      <c r="AD223" s="1"/>
      <c r="AE223" s="1"/>
    </row>
    <row r="224" spans="30:64" x14ac:dyDescent="0.2">
      <c r="AD224" s="1"/>
      <c r="AE224" s="1"/>
    </row>
    <row r="225" spans="30:31" x14ac:dyDescent="0.2">
      <c r="AD225" s="1"/>
      <c r="AE225" s="1"/>
    </row>
    <row r="226" spans="30:31" x14ac:dyDescent="0.2">
      <c r="AD226" s="1"/>
      <c r="AE226" s="1"/>
    </row>
    <row r="227" spans="30:31" x14ac:dyDescent="0.2">
      <c r="AD227" s="1"/>
      <c r="AE227" s="1"/>
    </row>
    <row r="228" spans="30:31" x14ac:dyDescent="0.2">
      <c r="AD228" s="1"/>
      <c r="AE228" s="1"/>
    </row>
    <row r="229" spans="30:31" x14ac:dyDescent="0.2">
      <c r="AD229" s="1"/>
      <c r="AE229" s="1"/>
    </row>
    <row r="230" spans="30:31" x14ac:dyDescent="0.2">
      <c r="AD230" s="1"/>
      <c r="AE230" s="1"/>
    </row>
    <row r="231" spans="30:31" x14ac:dyDescent="0.2">
      <c r="AD231" s="1"/>
      <c r="AE231" s="1"/>
    </row>
    <row r="232" spans="30:31" x14ac:dyDescent="0.2">
      <c r="AD232" s="1"/>
      <c r="AE232" s="1"/>
    </row>
    <row r="233" spans="30:31" x14ac:dyDescent="0.2">
      <c r="AD233" s="1"/>
      <c r="AE233" s="1"/>
    </row>
    <row r="234" spans="30:31" x14ac:dyDescent="0.2">
      <c r="AD234" s="1"/>
      <c r="AE234" s="1"/>
    </row>
    <row r="235" spans="30:31" x14ac:dyDescent="0.2">
      <c r="AD235" s="1"/>
      <c r="AE235" s="1"/>
    </row>
    <row r="236" spans="30:31" x14ac:dyDescent="0.2">
      <c r="AD236" s="1"/>
      <c r="AE236" s="1"/>
    </row>
    <row r="237" spans="30:31" x14ac:dyDescent="0.2">
      <c r="AD237" s="1"/>
      <c r="AE237" s="1"/>
    </row>
    <row r="238" spans="30:31" x14ac:dyDescent="0.2">
      <c r="AD238" s="1"/>
      <c r="AE238" s="1"/>
    </row>
    <row r="239" spans="30:31" x14ac:dyDescent="0.2">
      <c r="AD239" s="1"/>
      <c r="AE239" s="1"/>
    </row>
    <row r="240" spans="30:31" x14ac:dyDescent="0.2">
      <c r="AD240" s="1"/>
      <c r="AE240" s="1"/>
    </row>
    <row r="241" spans="30:31" x14ac:dyDescent="0.2">
      <c r="AD241" s="1"/>
      <c r="AE241" s="1"/>
    </row>
    <row r="242" spans="30:31" x14ac:dyDescent="0.2">
      <c r="AD242" s="1"/>
      <c r="AE242" s="1"/>
    </row>
    <row r="243" spans="30:31" x14ac:dyDescent="0.2">
      <c r="AD243" s="1"/>
      <c r="AE243" s="1"/>
    </row>
    <row r="244" spans="30:31" x14ac:dyDescent="0.2">
      <c r="AD244" s="1"/>
      <c r="AE244" s="1"/>
    </row>
    <row r="245" spans="30:31" x14ac:dyDescent="0.2">
      <c r="AD245" s="1"/>
      <c r="AE245" s="1"/>
    </row>
    <row r="246" spans="30:31" x14ac:dyDescent="0.2">
      <c r="AD246" s="1"/>
      <c r="AE246" s="1"/>
    </row>
    <row r="247" spans="30:31" x14ac:dyDescent="0.2">
      <c r="AD247" s="1"/>
      <c r="AE247" s="1"/>
    </row>
    <row r="248" spans="30:31" x14ac:dyDescent="0.2">
      <c r="AD248" s="1"/>
      <c r="AE248" s="1"/>
    </row>
    <row r="249" spans="30:31" x14ac:dyDescent="0.2">
      <c r="AD249" s="1"/>
      <c r="AE249" s="1"/>
    </row>
    <row r="250" spans="30:31" x14ac:dyDescent="0.2">
      <c r="AD250" s="1"/>
      <c r="AE250" s="1"/>
    </row>
    <row r="251" spans="30:31" x14ac:dyDescent="0.2">
      <c r="AD251" s="1"/>
      <c r="AE251" s="1"/>
    </row>
    <row r="252" spans="30:31" x14ac:dyDescent="0.2">
      <c r="AD252" s="1"/>
      <c r="AE252" s="1"/>
    </row>
    <row r="253" spans="30:31" x14ac:dyDescent="0.2">
      <c r="AD253" s="1"/>
      <c r="AE253" s="1"/>
    </row>
    <row r="254" spans="30:31" x14ac:dyDescent="0.2">
      <c r="AD254" s="1"/>
      <c r="AE254" s="1"/>
    </row>
    <row r="255" spans="30:31" x14ac:dyDescent="0.2">
      <c r="AD255" s="1"/>
      <c r="AE255" s="1"/>
    </row>
    <row r="256" spans="30:31" x14ac:dyDescent="0.2">
      <c r="AD256" s="1"/>
      <c r="AE256" s="1"/>
    </row>
    <row r="257" spans="30:31" x14ac:dyDescent="0.2">
      <c r="AD257" s="1"/>
      <c r="AE257" s="1"/>
    </row>
    <row r="258" spans="30:31" x14ac:dyDescent="0.2">
      <c r="AD258" s="1"/>
      <c r="AE258" s="1"/>
    </row>
    <row r="259" spans="30:31" x14ac:dyDescent="0.2">
      <c r="AD259" s="1"/>
      <c r="AE259" s="1"/>
    </row>
    <row r="260" spans="30:31" x14ac:dyDescent="0.2">
      <c r="AD260" s="1"/>
      <c r="AE260" s="1"/>
    </row>
    <row r="261" spans="30:31" x14ac:dyDescent="0.2">
      <c r="AD261" s="1"/>
      <c r="AE261" s="1"/>
    </row>
    <row r="262" spans="30:31" x14ac:dyDescent="0.2">
      <c r="AD262" s="1"/>
      <c r="AE262" s="1"/>
    </row>
    <row r="263" spans="30:31" x14ac:dyDescent="0.2">
      <c r="AD263" s="1"/>
      <c r="AE263" s="1"/>
    </row>
    <row r="264" spans="30:31" x14ac:dyDescent="0.2">
      <c r="AD264" s="1"/>
      <c r="AE264" s="1"/>
    </row>
    <row r="265" spans="30:31" x14ac:dyDescent="0.2">
      <c r="AD265" s="1"/>
      <c r="AE265" s="1"/>
    </row>
    <row r="266" spans="30:31" x14ac:dyDescent="0.2">
      <c r="AD266" s="1"/>
      <c r="AE266" s="1"/>
    </row>
    <row r="267" spans="30:31" x14ac:dyDescent="0.2">
      <c r="AD267" s="1"/>
      <c r="AE267" s="1"/>
    </row>
    <row r="268" spans="30:31" x14ac:dyDescent="0.2">
      <c r="AD268" s="1"/>
      <c r="AE268" s="1"/>
    </row>
    <row r="269" spans="30:31" x14ac:dyDescent="0.2">
      <c r="AD269" s="1"/>
      <c r="AE269" s="1"/>
    </row>
    <row r="270" spans="30:31" x14ac:dyDescent="0.2">
      <c r="AD270" s="1"/>
      <c r="AE270" s="1"/>
    </row>
    <row r="271" spans="30:31" x14ac:dyDescent="0.2">
      <c r="AD271" s="1"/>
      <c r="AE271" s="1"/>
    </row>
    <row r="272" spans="30:31" x14ac:dyDescent="0.2">
      <c r="AD272" s="1"/>
      <c r="AE272" s="1"/>
    </row>
    <row r="273" spans="30:31" x14ac:dyDescent="0.2">
      <c r="AD273" s="1"/>
      <c r="AE273" s="1"/>
    </row>
    <row r="274" spans="30:31" x14ac:dyDescent="0.2">
      <c r="AD274" s="1"/>
      <c r="AE274" s="1"/>
    </row>
    <row r="275" spans="30:31" x14ac:dyDescent="0.2">
      <c r="AD275" s="1"/>
      <c r="AE275" s="1"/>
    </row>
    <row r="276" spans="30:31" x14ac:dyDescent="0.2">
      <c r="AD276" s="1"/>
      <c r="AE276" s="1"/>
    </row>
    <row r="277" spans="30:31" x14ac:dyDescent="0.2">
      <c r="AD277" s="1"/>
      <c r="AE277" s="1"/>
    </row>
    <row r="278" spans="30:31" x14ac:dyDescent="0.2">
      <c r="AD278" s="1"/>
      <c r="AE278" s="1"/>
    </row>
    <row r="279" spans="30:31" x14ac:dyDescent="0.2">
      <c r="AD279" s="1"/>
      <c r="AE279" s="1"/>
    </row>
    <row r="280" spans="30:31" x14ac:dyDescent="0.2">
      <c r="AD280" s="1"/>
      <c r="AE280" s="1"/>
    </row>
    <row r="281" spans="30:31" x14ac:dyDescent="0.2">
      <c r="AD281" s="1"/>
      <c r="AE281" s="1"/>
    </row>
    <row r="282" spans="30:31" x14ac:dyDescent="0.2">
      <c r="AD282" s="1"/>
      <c r="AE282" s="1"/>
    </row>
    <row r="283" spans="30:31" x14ac:dyDescent="0.2">
      <c r="AD283" s="1"/>
      <c r="AE283" s="1"/>
    </row>
    <row r="284" spans="30:31" x14ac:dyDescent="0.2">
      <c r="AD284" s="1"/>
      <c r="AE284" s="1"/>
    </row>
    <row r="285" spans="30:31" x14ac:dyDescent="0.2">
      <c r="AD285" s="1"/>
      <c r="AE285" s="1"/>
    </row>
    <row r="286" spans="30:31" x14ac:dyDescent="0.2">
      <c r="AD286" s="1"/>
      <c r="AE286" s="1"/>
    </row>
    <row r="287" spans="30:31" x14ac:dyDescent="0.2">
      <c r="AD287" s="1"/>
      <c r="AE287" s="1"/>
    </row>
    <row r="288" spans="30:31" x14ac:dyDescent="0.2">
      <c r="AD288" s="1"/>
      <c r="AE288" s="1"/>
    </row>
    <row r="289" spans="30:31" x14ac:dyDescent="0.2">
      <c r="AD289" s="1"/>
      <c r="AE289" s="1"/>
    </row>
    <row r="290" spans="30:31" x14ac:dyDescent="0.2">
      <c r="AD290" s="1"/>
      <c r="AE290" s="1"/>
    </row>
    <row r="291" spans="30:31" x14ac:dyDescent="0.2">
      <c r="AD291" s="1"/>
      <c r="AE291" s="1"/>
    </row>
    <row r="292" spans="30:31" x14ac:dyDescent="0.2">
      <c r="AD292" s="1"/>
      <c r="AE292" s="1"/>
    </row>
    <row r="293" spans="30:31" x14ac:dyDescent="0.2">
      <c r="AD293" s="1"/>
      <c r="AE293" s="1"/>
    </row>
    <row r="294" spans="30:31" x14ac:dyDescent="0.2">
      <c r="AD294" s="1"/>
      <c r="AE294" s="1"/>
    </row>
    <row r="295" spans="30:31" x14ac:dyDescent="0.2">
      <c r="AD295" s="1"/>
      <c r="AE295" s="1"/>
    </row>
    <row r="296" spans="30:31" x14ac:dyDescent="0.2">
      <c r="AD296" s="1"/>
      <c r="AE296" s="1"/>
    </row>
    <row r="297" spans="30:31" x14ac:dyDescent="0.2">
      <c r="AD297" s="1"/>
      <c r="AE297" s="1"/>
    </row>
    <row r="298" spans="30:31" x14ac:dyDescent="0.2">
      <c r="AD298" s="1"/>
      <c r="AE298" s="1"/>
    </row>
    <row r="299" spans="30:31" x14ac:dyDescent="0.2">
      <c r="AD299" s="1"/>
      <c r="AE299" s="1"/>
    </row>
    <row r="300" spans="30:31" x14ac:dyDescent="0.2">
      <c r="AD300" s="1"/>
      <c r="AE300" s="1"/>
    </row>
    <row r="301" spans="30:31" x14ac:dyDescent="0.2">
      <c r="AD301" s="1"/>
      <c r="AE301" s="1"/>
    </row>
    <row r="302" spans="30:31" x14ac:dyDescent="0.2">
      <c r="AD302" s="1"/>
      <c r="AE302" s="1"/>
    </row>
    <row r="303" spans="30:31" x14ac:dyDescent="0.2">
      <c r="AD303" s="1"/>
      <c r="AE303" s="1"/>
    </row>
    <row r="304" spans="30:31" x14ac:dyDescent="0.2">
      <c r="AD304" s="1"/>
      <c r="AE304" s="1"/>
    </row>
    <row r="305" spans="30:31" x14ac:dyDescent="0.2">
      <c r="AD305" s="1"/>
      <c r="AE305" s="1"/>
    </row>
    <row r="306" spans="30:31" x14ac:dyDescent="0.2">
      <c r="AD306" s="1"/>
      <c r="AE306" s="1"/>
    </row>
    <row r="307" spans="30:31" x14ac:dyDescent="0.2">
      <c r="AD307" s="1"/>
      <c r="AE307" s="1"/>
    </row>
    <row r="308" spans="30:31" x14ac:dyDescent="0.2">
      <c r="AD308" s="1"/>
      <c r="AE308" s="1"/>
    </row>
    <row r="309" spans="30:31" x14ac:dyDescent="0.2">
      <c r="AD309" s="1"/>
      <c r="AE309" s="1"/>
    </row>
    <row r="310" spans="30:31" x14ac:dyDescent="0.2">
      <c r="AD310" s="1"/>
      <c r="AE310" s="1"/>
    </row>
    <row r="311" spans="30:31" x14ac:dyDescent="0.2">
      <c r="AD311" s="1"/>
      <c r="AE311" s="1"/>
    </row>
    <row r="312" spans="30:31" x14ac:dyDescent="0.2">
      <c r="AD312" s="1"/>
      <c r="AE312" s="1"/>
    </row>
    <row r="313" spans="30:31" x14ac:dyDescent="0.2">
      <c r="AD313" s="1"/>
      <c r="AE313" s="1"/>
    </row>
    <row r="314" spans="30:31" x14ac:dyDescent="0.2">
      <c r="AD314" s="1"/>
      <c r="AE314" s="1"/>
    </row>
    <row r="315" spans="30:31" x14ac:dyDescent="0.2">
      <c r="AD315" s="1"/>
      <c r="AE315" s="1"/>
    </row>
    <row r="316" spans="30:31" x14ac:dyDescent="0.2">
      <c r="AD316" s="1"/>
      <c r="AE316" s="1"/>
    </row>
    <row r="317" spans="30:31" x14ac:dyDescent="0.2">
      <c r="AD317" s="1"/>
      <c r="AE317" s="1"/>
    </row>
    <row r="318" spans="30:31" x14ac:dyDescent="0.2">
      <c r="AD318" s="1"/>
      <c r="AE318" s="1"/>
    </row>
    <row r="319" spans="30:31" x14ac:dyDescent="0.2">
      <c r="AD319" s="1"/>
      <c r="AE319" s="1"/>
    </row>
    <row r="320" spans="30:31" x14ac:dyDescent="0.2">
      <c r="AD320" s="1"/>
      <c r="AE320" s="1"/>
    </row>
    <row r="321" spans="30:31" x14ac:dyDescent="0.2">
      <c r="AD321" s="1"/>
      <c r="AE321" s="1"/>
    </row>
    <row r="322" spans="30:31" x14ac:dyDescent="0.2">
      <c r="AD322" s="1"/>
      <c r="AE322" s="1"/>
    </row>
    <row r="323" spans="30:31" x14ac:dyDescent="0.2">
      <c r="AD323" s="1"/>
      <c r="AE323" s="1"/>
    </row>
    <row r="324" spans="30:31" x14ac:dyDescent="0.2">
      <c r="AD324" s="1"/>
      <c r="AE324" s="1"/>
    </row>
    <row r="325" spans="30:31" x14ac:dyDescent="0.2">
      <c r="AD325" s="1"/>
      <c r="AE325" s="1"/>
    </row>
    <row r="326" spans="30:31" x14ac:dyDescent="0.2">
      <c r="AD326" s="1"/>
      <c r="AE326" s="1"/>
    </row>
    <row r="327" spans="30:31" x14ac:dyDescent="0.2">
      <c r="AD327" s="1"/>
      <c r="AE327" s="1"/>
    </row>
    <row r="328" spans="30:31" x14ac:dyDescent="0.2">
      <c r="AD328" s="1"/>
      <c r="AE328" s="1"/>
    </row>
    <row r="329" spans="30:31" x14ac:dyDescent="0.2">
      <c r="AD329" s="1"/>
      <c r="AE329" s="1"/>
    </row>
    <row r="330" spans="30:31" x14ac:dyDescent="0.2">
      <c r="AD330" s="1"/>
      <c r="AE330" s="1"/>
    </row>
    <row r="331" spans="30:31" x14ac:dyDescent="0.2">
      <c r="AD331" s="1"/>
      <c r="AE331" s="1"/>
    </row>
    <row r="332" spans="30:31" x14ac:dyDescent="0.2">
      <c r="AD332" s="1"/>
      <c r="AE332" s="1"/>
    </row>
    <row r="333" spans="30:31" x14ac:dyDescent="0.2">
      <c r="AD333" s="1"/>
      <c r="AE333" s="1"/>
    </row>
    <row r="334" spans="30:31" x14ac:dyDescent="0.2">
      <c r="AD334" s="1"/>
      <c r="AE334" s="1"/>
    </row>
    <row r="335" spans="30:31" x14ac:dyDescent="0.2">
      <c r="AD335" s="1"/>
      <c r="AE335" s="1"/>
    </row>
    <row r="336" spans="30:31" x14ac:dyDescent="0.2">
      <c r="AD336" s="1"/>
      <c r="AE336" s="1"/>
    </row>
    <row r="337" spans="30:31" x14ac:dyDescent="0.2">
      <c r="AD337" s="1"/>
      <c r="AE337" s="1"/>
    </row>
    <row r="338" spans="30:31" x14ac:dyDescent="0.2">
      <c r="AD338" s="1"/>
      <c r="AE338" s="1"/>
    </row>
    <row r="339" spans="30:31" x14ac:dyDescent="0.2">
      <c r="AD339" s="1"/>
      <c r="AE339" s="1"/>
    </row>
    <row r="340" spans="30:31" x14ac:dyDescent="0.2">
      <c r="AD340" s="1"/>
      <c r="AE340" s="1"/>
    </row>
    <row r="341" spans="30:31" x14ac:dyDescent="0.2">
      <c r="AD341" s="1"/>
      <c r="AE341" s="1"/>
    </row>
    <row r="342" spans="30:31" x14ac:dyDescent="0.2">
      <c r="AD342" s="1"/>
      <c r="AE342" s="1"/>
    </row>
    <row r="343" spans="30:31" x14ac:dyDescent="0.2">
      <c r="AD343" s="1"/>
      <c r="AE343" s="1"/>
    </row>
    <row r="344" spans="30:31" x14ac:dyDescent="0.2">
      <c r="AD344" s="1"/>
      <c r="AE344" s="1"/>
    </row>
    <row r="345" spans="30:31" x14ac:dyDescent="0.2">
      <c r="AD345" s="1"/>
      <c r="AE345" s="1"/>
    </row>
    <row r="346" spans="30:31" x14ac:dyDescent="0.2">
      <c r="AD346" s="1"/>
      <c r="AE346" s="1"/>
    </row>
    <row r="347" spans="30:31" x14ac:dyDescent="0.2">
      <c r="AD347" s="1"/>
      <c r="AE347" s="1"/>
    </row>
    <row r="348" spans="30:31" x14ac:dyDescent="0.2">
      <c r="AD348" s="1"/>
      <c r="AE348" s="1"/>
    </row>
    <row r="349" spans="30:31" x14ac:dyDescent="0.2">
      <c r="AD349" s="1"/>
      <c r="AE349" s="1"/>
    </row>
    <row r="350" spans="30:31" x14ac:dyDescent="0.2">
      <c r="AD350" s="1"/>
      <c r="AE350" s="1"/>
    </row>
    <row r="351" spans="30:31" x14ac:dyDescent="0.2">
      <c r="AD351" s="1"/>
      <c r="AE351" s="1"/>
    </row>
    <row r="352" spans="30:31" x14ac:dyDescent="0.2">
      <c r="AD352" s="1"/>
      <c r="AE352" s="1"/>
    </row>
    <row r="353" spans="30:31" x14ac:dyDescent="0.2">
      <c r="AD353" s="1"/>
      <c r="AE353" s="1"/>
    </row>
    <row r="354" spans="30:31" x14ac:dyDescent="0.2">
      <c r="AD354" s="1"/>
      <c r="AE354" s="1"/>
    </row>
    <row r="355" spans="30:31" x14ac:dyDescent="0.2">
      <c r="AD355" s="1"/>
      <c r="AE355" s="1"/>
    </row>
    <row r="356" spans="30:31" x14ac:dyDescent="0.2">
      <c r="AD356" s="1"/>
      <c r="AE356" s="1"/>
    </row>
    <row r="357" spans="30:31" x14ac:dyDescent="0.2">
      <c r="AD357" s="1"/>
      <c r="AE357" s="1"/>
    </row>
    <row r="358" spans="30:31" x14ac:dyDescent="0.2">
      <c r="AD358" s="1"/>
      <c r="AE358" s="1"/>
    </row>
    <row r="359" spans="30:31" x14ac:dyDescent="0.2">
      <c r="AD359" s="1"/>
      <c r="AE359" s="1"/>
    </row>
    <row r="360" spans="30:31" x14ac:dyDescent="0.2">
      <c r="AD360" s="1"/>
      <c r="AE360" s="1"/>
    </row>
    <row r="361" spans="30:31" x14ac:dyDescent="0.2">
      <c r="AD361" s="1"/>
      <c r="AE361" s="1"/>
    </row>
    <row r="362" spans="30:31" x14ac:dyDescent="0.2">
      <c r="AD362" s="1"/>
      <c r="AE362" s="1"/>
    </row>
    <row r="363" spans="30:31" x14ac:dyDescent="0.2">
      <c r="AD363" s="1"/>
      <c r="AE363" s="1"/>
    </row>
    <row r="364" spans="30:31" x14ac:dyDescent="0.2">
      <c r="AD364" s="1"/>
      <c r="AE364" s="1"/>
    </row>
    <row r="365" spans="30:31" x14ac:dyDescent="0.2">
      <c r="AD365" s="1"/>
      <c r="AE365" s="1"/>
    </row>
    <row r="366" spans="30:31" x14ac:dyDescent="0.2">
      <c r="AD366" s="1"/>
      <c r="AE366" s="1"/>
    </row>
    <row r="367" spans="30:31" x14ac:dyDescent="0.2">
      <c r="AD367" s="1"/>
      <c r="AE367" s="1"/>
    </row>
    <row r="368" spans="30:31" x14ac:dyDescent="0.2">
      <c r="AD368" s="1"/>
      <c r="AE368" s="1"/>
    </row>
    <row r="369" spans="30:31" x14ac:dyDescent="0.2">
      <c r="AD369" s="1"/>
      <c r="AE369" s="1"/>
    </row>
    <row r="370" spans="30:31" x14ac:dyDescent="0.2">
      <c r="AD370" s="1"/>
      <c r="AE370" s="1"/>
    </row>
    <row r="371" spans="30:31" x14ac:dyDescent="0.2">
      <c r="AD371" s="1"/>
      <c r="AE371" s="1"/>
    </row>
    <row r="372" spans="30:31" x14ac:dyDescent="0.2">
      <c r="AD372" s="1"/>
      <c r="AE372" s="1"/>
    </row>
    <row r="373" spans="30:31" x14ac:dyDescent="0.2">
      <c r="AD373" s="1"/>
      <c r="AE373" s="1"/>
    </row>
    <row r="374" spans="30:31" x14ac:dyDescent="0.2">
      <c r="AD374" s="1"/>
      <c r="AE374" s="1"/>
    </row>
    <row r="375" spans="30:31" x14ac:dyDescent="0.2">
      <c r="AD375" s="1"/>
      <c r="AE375" s="1"/>
    </row>
    <row r="376" spans="30:31" x14ac:dyDescent="0.2">
      <c r="AD376" s="1"/>
      <c r="AE376" s="1"/>
    </row>
    <row r="377" spans="30:31" x14ac:dyDescent="0.2">
      <c r="AD377" s="1"/>
      <c r="AE377" s="1"/>
    </row>
    <row r="378" spans="30:31" x14ac:dyDescent="0.2">
      <c r="AD378" s="1"/>
      <c r="AE378" s="1"/>
    </row>
    <row r="379" spans="30:31" x14ac:dyDescent="0.2">
      <c r="AD379" s="1"/>
      <c r="AE379" s="1"/>
    </row>
    <row r="380" spans="30:31" x14ac:dyDescent="0.2">
      <c r="AD380" s="1"/>
      <c r="AE380" s="1"/>
    </row>
    <row r="381" spans="30:31" x14ac:dyDescent="0.2">
      <c r="AD381" s="1"/>
      <c r="AE381" s="1"/>
    </row>
    <row r="382" spans="30:31" x14ac:dyDescent="0.2">
      <c r="AD382" s="1"/>
      <c r="AE382" s="1"/>
    </row>
    <row r="383" spans="30:31" x14ac:dyDescent="0.2">
      <c r="AD383" s="1"/>
      <c r="AE383" s="1"/>
    </row>
    <row r="384" spans="30:31" x14ac:dyDescent="0.2">
      <c r="AD384" s="1"/>
      <c r="AE384" s="1"/>
    </row>
    <row r="385" spans="30:31" x14ac:dyDescent="0.2">
      <c r="AD385" s="1"/>
      <c r="AE385" s="1"/>
    </row>
    <row r="386" spans="30:31" x14ac:dyDescent="0.2">
      <c r="AD386" s="1"/>
      <c r="AE386" s="1"/>
    </row>
    <row r="387" spans="30:31" x14ac:dyDescent="0.2">
      <c r="AD387" s="1"/>
      <c r="AE387" s="1"/>
    </row>
    <row r="388" spans="30:31" x14ac:dyDescent="0.2">
      <c r="AD388" s="1"/>
      <c r="AE388" s="1"/>
    </row>
    <row r="389" spans="30:31" x14ac:dyDescent="0.2">
      <c r="AD389" s="1"/>
      <c r="AE389" s="1"/>
    </row>
    <row r="390" spans="30:31" x14ac:dyDescent="0.2">
      <c r="AD390" s="1"/>
      <c r="AE390" s="1"/>
    </row>
    <row r="391" spans="30:31" x14ac:dyDescent="0.2">
      <c r="AD391" s="1"/>
      <c r="AE391" s="1"/>
    </row>
    <row r="392" spans="30:31" x14ac:dyDescent="0.2">
      <c r="AD392" s="1"/>
      <c r="AE392" s="1"/>
    </row>
    <row r="393" spans="30:31" x14ac:dyDescent="0.2">
      <c r="AD393" s="1"/>
      <c r="AE393" s="1"/>
    </row>
    <row r="394" spans="30:31" x14ac:dyDescent="0.2">
      <c r="AD394" s="1"/>
      <c r="AE394" s="1"/>
    </row>
    <row r="395" spans="30:31" x14ac:dyDescent="0.2">
      <c r="AD395" s="1"/>
      <c r="AE395" s="1"/>
    </row>
    <row r="396" spans="30:31" x14ac:dyDescent="0.2">
      <c r="AD396" s="1"/>
      <c r="AE396" s="1"/>
    </row>
    <row r="397" spans="30:31" x14ac:dyDescent="0.2">
      <c r="AD397" s="1"/>
      <c r="AE397" s="1"/>
    </row>
    <row r="398" spans="30:31" x14ac:dyDescent="0.2">
      <c r="AD398" s="1"/>
      <c r="AE398" s="1"/>
    </row>
    <row r="399" spans="30:31" x14ac:dyDescent="0.2">
      <c r="AD399" s="1"/>
      <c r="AE399" s="1"/>
    </row>
    <row r="400" spans="30:31" x14ac:dyDescent="0.2">
      <c r="AD400" s="1"/>
      <c r="AE400" s="1"/>
    </row>
    <row r="401" spans="30:31" x14ac:dyDescent="0.2">
      <c r="AD401" s="1"/>
      <c r="AE401" s="1"/>
    </row>
    <row r="402" spans="30:31" x14ac:dyDescent="0.2">
      <c r="AD402" s="1"/>
      <c r="AE402" s="1"/>
    </row>
    <row r="403" spans="30:31" x14ac:dyDescent="0.2">
      <c r="AD403" s="1"/>
      <c r="AE403" s="1"/>
    </row>
    <row r="404" spans="30:31" x14ac:dyDescent="0.2">
      <c r="AD404" s="1"/>
      <c r="AE404" s="1"/>
    </row>
    <row r="405" spans="30:31" x14ac:dyDescent="0.2">
      <c r="AD405" s="1"/>
      <c r="AE405" s="1"/>
    </row>
    <row r="406" spans="30:31" x14ac:dyDescent="0.2">
      <c r="AD406" s="1"/>
      <c r="AE406" s="1"/>
    </row>
    <row r="407" spans="30:31" x14ac:dyDescent="0.2">
      <c r="AD407" s="1"/>
      <c r="AE407" s="1"/>
    </row>
    <row r="408" spans="30:31" x14ac:dyDescent="0.2">
      <c r="AD408" s="1"/>
      <c r="AE408" s="1"/>
    </row>
    <row r="409" spans="30:31" x14ac:dyDescent="0.2">
      <c r="AD409" s="1"/>
      <c r="AE409" s="1"/>
    </row>
    <row r="410" spans="30:31" x14ac:dyDescent="0.2">
      <c r="AD410" s="1"/>
      <c r="AE410" s="1"/>
    </row>
    <row r="411" spans="30:31" x14ac:dyDescent="0.2">
      <c r="AD411" s="1"/>
      <c r="AE411" s="1"/>
    </row>
    <row r="412" spans="30:31" x14ac:dyDescent="0.2">
      <c r="AD412" s="1"/>
      <c r="AE412" s="1"/>
    </row>
    <row r="413" spans="30:31" x14ac:dyDescent="0.2">
      <c r="AD413" s="1"/>
      <c r="AE413" s="1"/>
    </row>
    <row r="414" spans="30:31" x14ac:dyDescent="0.2">
      <c r="AD414" s="1"/>
      <c r="AE414" s="1"/>
    </row>
    <row r="415" spans="30:31" x14ac:dyDescent="0.2">
      <c r="AD415" s="1"/>
      <c r="AE415" s="1"/>
    </row>
    <row r="416" spans="30:31" x14ac:dyDescent="0.2">
      <c r="AD416" s="1"/>
      <c r="AE416" s="1"/>
    </row>
    <row r="417" spans="30:31" x14ac:dyDescent="0.2">
      <c r="AD417" s="1"/>
      <c r="AE417" s="1"/>
    </row>
    <row r="418" spans="30:31" x14ac:dyDescent="0.2">
      <c r="AD418" s="1"/>
      <c r="AE418" s="1"/>
    </row>
    <row r="419" spans="30:31" x14ac:dyDescent="0.2">
      <c r="AD419" s="1"/>
      <c r="AE419" s="1"/>
    </row>
    <row r="420" spans="30:31" x14ac:dyDescent="0.2">
      <c r="AD420" s="1"/>
      <c r="AE420" s="1"/>
    </row>
    <row r="421" spans="30:31" x14ac:dyDescent="0.2">
      <c r="AD421" s="1"/>
      <c r="AE421" s="1"/>
    </row>
    <row r="422" spans="30:31" x14ac:dyDescent="0.2">
      <c r="AD422" s="1"/>
      <c r="AE422" s="1"/>
    </row>
    <row r="423" spans="30:31" x14ac:dyDescent="0.2">
      <c r="AD423" s="1"/>
      <c r="AE423" s="1"/>
    </row>
    <row r="424" spans="30:31" x14ac:dyDescent="0.2">
      <c r="AD424" s="1"/>
      <c r="AE424" s="1"/>
    </row>
    <row r="425" spans="30:31" x14ac:dyDescent="0.2">
      <c r="AD425" s="1"/>
      <c r="AE425" s="1"/>
    </row>
    <row r="426" spans="30:31" x14ac:dyDescent="0.2">
      <c r="AD426" s="1"/>
      <c r="AE426" s="1"/>
    </row>
    <row r="427" spans="30:31" x14ac:dyDescent="0.2">
      <c r="AD427" s="1"/>
      <c r="AE427" s="1"/>
    </row>
    <row r="428" spans="30:31" x14ac:dyDescent="0.2">
      <c r="AD428" s="1"/>
      <c r="AE428" s="1"/>
    </row>
    <row r="429" spans="30:31" x14ac:dyDescent="0.2">
      <c r="AD429" s="1"/>
      <c r="AE429" s="1"/>
    </row>
    <row r="430" spans="30:31" x14ac:dyDescent="0.2">
      <c r="AD430" s="1"/>
      <c r="AE430" s="1"/>
    </row>
    <row r="431" spans="30:31" x14ac:dyDescent="0.2">
      <c r="AD431" s="1"/>
      <c r="AE431" s="1"/>
    </row>
    <row r="432" spans="30:31" x14ac:dyDescent="0.2">
      <c r="AD432" s="1"/>
      <c r="AE432" s="1"/>
    </row>
    <row r="433" spans="30:31" x14ac:dyDescent="0.2">
      <c r="AD433" s="1"/>
      <c r="AE433" s="1"/>
    </row>
    <row r="434" spans="30:31" x14ac:dyDescent="0.2">
      <c r="AD434" s="1"/>
      <c r="AE434" s="1"/>
    </row>
    <row r="435" spans="30:31" x14ac:dyDescent="0.2">
      <c r="AD435" s="1"/>
      <c r="AE435" s="1"/>
    </row>
    <row r="436" spans="30:31" x14ac:dyDescent="0.2">
      <c r="AD436" s="1"/>
      <c r="AE436" s="1"/>
    </row>
    <row r="437" spans="30:31" x14ac:dyDescent="0.2">
      <c r="AD437" s="1"/>
      <c r="AE437" s="1"/>
    </row>
    <row r="438" spans="30:31" x14ac:dyDescent="0.2">
      <c r="AD438" s="1"/>
      <c r="AE438" s="1"/>
    </row>
    <row r="439" spans="30:31" x14ac:dyDescent="0.2">
      <c r="AD439" s="1"/>
      <c r="AE439" s="1"/>
    </row>
    <row r="440" spans="30:31" x14ac:dyDescent="0.2">
      <c r="AD440" s="1"/>
      <c r="AE440" s="1"/>
    </row>
    <row r="441" spans="30:31" x14ac:dyDescent="0.2">
      <c r="AD441" s="1"/>
      <c r="AE441" s="1"/>
    </row>
    <row r="442" spans="30:31" x14ac:dyDescent="0.2">
      <c r="AD442" s="1"/>
      <c r="AE442" s="1"/>
    </row>
    <row r="443" spans="30:31" x14ac:dyDescent="0.2">
      <c r="AD443" s="1"/>
      <c r="AE443" s="1"/>
    </row>
    <row r="444" spans="30:31" x14ac:dyDescent="0.2">
      <c r="AD444" s="1"/>
      <c r="AE444" s="1"/>
    </row>
    <row r="445" spans="30:31" x14ac:dyDescent="0.2">
      <c r="AD445" s="1"/>
      <c r="AE445" s="1"/>
    </row>
    <row r="446" spans="30:31" x14ac:dyDescent="0.2">
      <c r="AD446" s="1"/>
      <c r="AE446" s="1"/>
    </row>
    <row r="447" spans="30:31" x14ac:dyDescent="0.2">
      <c r="AD447" s="1"/>
      <c r="AE447" s="1"/>
    </row>
    <row r="448" spans="30:31" x14ac:dyDescent="0.2">
      <c r="AD448" s="1"/>
      <c r="AE448" s="1"/>
    </row>
    <row r="449" spans="30:31" x14ac:dyDescent="0.2">
      <c r="AD449" s="1"/>
      <c r="AE449" s="1"/>
    </row>
    <row r="450" spans="30:31" x14ac:dyDescent="0.2">
      <c r="AD450" s="1"/>
      <c r="AE450" s="1"/>
    </row>
    <row r="451" spans="30:31" x14ac:dyDescent="0.2">
      <c r="AD451" s="1"/>
      <c r="AE451" s="1"/>
    </row>
    <row r="452" spans="30:31" x14ac:dyDescent="0.2">
      <c r="AD452" s="1"/>
      <c r="AE452" s="1"/>
    </row>
    <row r="453" spans="30:31" x14ac:dyDescent="0.2">
      <c r="AD453" s="1"/>
      <c r="AE453" s="1"/>
    </row>
    <row r="454" spans="30:31" x14ac:dyDescent="0.2">
      <c r="AD454" s="1"/>
      <c r="AE454" s="1"/>
    </row>
    <row r="455" spans="30:31" x14ac:dyDescent="0.2">
      <c r="AD455" s="1"/>
      <c r="AE455" s="1"/>
    </row>
    <row r="456" spans="30:31" x14ac:dyDescent="0.2">
      <c r="AD456" s="1"/>
      <c r="AE456" s="1"/>
    </row>
    <row r="457" spans="30:31" x14ac:dyDescent="0.2">
      <c r="AD457" s="1"/>
      <c r="AE457" s="1"/>
    </row>
    <row r="458" spans="30:31" x14ac:dyDescent="0.2">
      <c r="AD458" s="1"/>
      <c r="AE458" s="1"/>
    </row>
    <row r="459" spans="30:31" x14ac:dyDescent="0.2">
      <c r="AD459" s="1"/>
      <c r="AE459" s="1"/>
    </row>
    <row r="460" spans="30:31" x14ac:dyDescent="0.2">
      <c r="AD460" s="1"/>
      <c r="AE460" s="1"/>
    </row>
    <row r="461" spans="30:31" x14ac:dyDescent="0.2">
      <c r="AD461" s="1"/>
      <c r="AE461" s="1"/>
    </row>
    <row r="462" spans="30:31" x14ac:dyDescent="0.2">
      <c r="AD462" s="1"/>
      <c r="AE462" s="1"/>
    </row>
    <row r="463" spans="30:31" x14ac:dyDescent="0.2">
      <c r="AD463" s="1"/>
      <c r="AE463" s="1"/>
    </row>
    <row r="464" spans="30:31" x14ac:dyDescent="0.2">
      <c r="AD464" s="1"/>
      <c r="AE464" s="1"/>
    </row>
    <row r="465" spans="30:31" x14ac:dyDescent="0.2">
      <c r="AD465" s="1"/>
      <c r="AE465" s="1"/>
    </row>
    <row r="466" spans="30:31" x14ac:dyDescent="0.2">
      <c r="AD466" s="1"/>
      <c r="AE466" s="1"/>
    </row>
    <row r="467" spans="30:31" x14ac:dyDescent="0.2">
      <c r="AD467" s="1"/>
      <c r="AE467" s="1"/>
    </row>
    <row r="468" spans="30:31" x14ac:dyDescent="0.2">
      <c r="AD468" s="1"/>
      <c r="AE468" s="1"/>
    </row>
    <row r="469" spans="30:31" x14ac:dyDescent="0.2">
      <c r="AD469" s="1"/>
      <c r="AE469" s="1"/>
    </row>
    <row r="470" spans="30:31" x14ac:dyDescent="0.2">
      <c r="AD470" s="1"/>
      <c r="AE470" s="1"/>
    </row>
    <row r="471" spans="30:31" x14ac:dyDescent="0.2">
      <c r="AD471" s="1"/>
      <c r="AE471" s="1"/>
    </row>
    <row r="472" spans="30:31" x14ac:dyDescent="0.2">
      <c r="AD472" s="1"/>
      <c r="AE472" s="1"/>
    </row>
    <row r="473" spans="30:31" x14ac:dyDescent="0.2">
      <c r="AD473" s="1"/>
      <c r="AE473" s="1"/>
    </row>
    <row r="474" spans="30:31" x14ac:dyDescent="0.2">
      <c r="AD474" s="1"/>
      <c r="AE474" s="1"/>
    </row>
    <row r="475" spans="30:31" x14ac:dyDescent="0.2">
      <c r="AD475" s="1"/>
      <c r="AE475" s="1"/>
    </row>
    <row r="476" spans="30:31" x14ac:dyDescent="0.2">
      <c r="AD476" s="1"/>
      <c r="AE476" s="1"/>
    </row>
    <row r="477" spans="30:31" x14ac:dyDescent="0.2">
      <c r="AD477" s="1"/>
      <c r="AE477" s="1"/>
    </row>
    <row r="478" spans="30:31" x14ac:dyDescent="0.2">
      <c r="AD478" s="1"/>
      <c r="AE478" s="1"/>
    </row>
    <row r="479" spans="30:31" x14ac:dyDescent="0.2">
      <c r="AD479" s="1"/>
      <c r="AE479" s="1"/>
    </row>
    <row r="480" spans="30:31" x14ac:dyDescent="0.2">
      <c r="AD480" s="1"/>
      <c r="AE480" s="1"/>
    </row>
    <row r="481" spans="30:31" x14ac:dyDescent="0.2">
      <c r="AD481" s="1"/>
      <c r="AE481" s="1"/>
    </row>
    <row r="482" spans="30:31" x14ac:dyDescent="0.2">
      <c r="AD482" s="1"/>
      <c r="AE482" s="1"/>
    </row>
    <row r="483" spans="30:31" x14ac:dyDescent="0.2">
      <c r="AD483" s="1"/>
      <c r="AE483" s="1"/>
    </row>
    <row r="484" spans="30:31" x14ac:dyDescent="0.2">
      <c r="AD484" s="1"/>
      <c r="AE484" s="1"/>
    </row>
    <row r="485" spans="30:31" x14ac:dyDescent="0.2">
      <c r="AD485" s="1"/>
      <c r="AE485" s="1"/>
    </row>
    <row r="486" spans="30:31" x14ac:dyDescent="0.2">
      <c r="AD486" s="1"/>
      <c r="AE486" s="1"/>
    </row>
    <row r="487" spans="30:31" x14ac:dyDescent="0.2">
      <c r="AD487" s="1"/>
      <c r="AE487" s="1"/>
    </row>
    <row r="488" spans="30:31" x14ac:dyDescent="0.2">
      <c r="AD488" s="1"/>
      <c r="AE488" s="1"/>
    </row>
    <row r="489" spans="30:31" x14ac:dyDescent="0.2">
      <c r="AD489" s="1"/>
      <c r="AE489" s="1"/>
    </row>
    <row r="490" spans="30:31" x14ac:dyDescent="0.2">
      <c r="AD490" s="1"/>
      <c r="AE490" s="1"/>
    </row>
    <row r="491" spans="30:31" x14ac:dyDescent="0.2">
      <c r="AD491" s="1"/>
      <c r="AE491" s="1"/>
    </row>
    <row r="492" spans="30:31" x14ac:dyDescent="0.2">
      <c r="AD492" s="1"/>
      <c r="AE492" s="1"/>
    </row>
    <row r="493" spans="30:31" x14ac:dyDescent="0.2">
      <c r="AD493" s="1"/>
      <c r="AE493" s="1"/>
    </row>
    <row r="494" spans="30:31" x14ac:dyDescent="0.2">
      <c r="AD494" s="1"/>
      <c r="AE494" s="1"/>
    </row>
    <row r="495" spans="30:31" x14ac:dyDescent="0.2">
      <c r="AD495" s="1"/>
      <c r="AE495" s="1"/>
    </row>
    <row r="496" spans="30:31" x14ac:dyDescent="0.2">
      <c r="AD496" s="1"/>
      <c r="AE496" s="1"/>
    </row>
    <row r="497" spans="30:31" x14ac:dyDescent="0.2">
      <c r="AD497" s="1"/>
      <c r="AE497" s="1"/>
    </row>
    <row r="498" spans="30:31" x14ac:dyDescent="0.2">
      <c r="AD498" s="1"/>
      <c r="AE498" s="1"/>
    </row>
    <row r="499" spans="30:31" x14ac:dyDescent="0.2">
      <c r="AD499" s="1"/>
      <c r="AE499" s="1"/>
    </row>
    <row r="500" spans="30:31" x14ac:dyDescent="0.2">
      <c r="AD500" s="1"/>
      <c r="AE500" s="1"/>
    </row>
    <row r="501" spans="30:31" x14ac:dyDescent="0.2">
      <c r="AD501" s="1"/>
      <c r="AE501" s="1"/>
    </row>
    <row r="502" spans="30:31" x14ac:dyDescent="0.2">
      <c r="AD502" s="1"/>
      <c r="AE502" s="1"/>
    </row>
    <row r="503" spans="30:31" x14ac:dyDescent="0.2">
      <c r="AD503" s="1"/>
      <c r="AE503" s="1"/>
    </row>
    <row r="504" spans="30:31" x14ac:dyDescent="0.2">
      <c r="AD504" s="1"/>
      <c r="AE504" s="1"/>
    </row>
    <row r="505" spans="30:31" x14ac:dyDescent="0.2">
      <c r="AD505" s="1"/>
      <c r="AE505" s="1"/>
    </row>
    <row r="506" spans="30:31" x14ac:dyDescent="0.2">
      <c r="AD506" s="1"/>
      <c r="AE506" s="1"/>
    </row>
  </sheetData>
  <autoFilter ref="AK13:AK50" xr:uid="{00000000-0009-0000-0000-00001E000000}">
    <filterColumn colId="0">
      <customFilters>
        <customFilter operator="greaterThan" val="0.3"/>
      </customFilters>
    </filterColumn>
  </autoFilter>
  <pageMargins left="0.7" right="0.7" top="0.75" bottom="0.75" header="0.3" footer="0.3"/>
  <pageSetup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Model 8</vt:lpstr>
      <vt:lpstr>Model 9</vt:lpstr>
      <vt:lpstr>Model 10</vt:lpstr>
      <vt:lpstr>Model 11</vt:lpstr>
      <vt:lpstr>Model 13</vt:lpstr>
      <vt:lpstr>Model 12</vt:lpstr>
      <vt:lpstr>Model 14</vt:lpstr>
      <vt:lpstr>Model Summaries</vt:lpstr>
      <vt:lpstr>Filtered Output</vt:lpstr>
      <vt:lpstr>Filtered Sample</vt:lpstr>
      <vt:lpstr>Full Sample Output</vt:lpstr>
      <vt:lpstr>Combined Full Sample</vt:lpstr>
      <vt:lpstr>HC (9)</vt:lpstr>
      <vt:lpstr>HC (8)</vt:lpstr>
      <vt:lpstr>HC (7)</vt:lpstr>
      <vt:lpstr>HC (6)</vt:lpstr>
      <vt:lpstr>HC (5)</vt:lpstr>
      <vt:lpstr>HC (4)</vt:lpstr>
      <vt:lpstr>HC (3)</vt:lpstr>
      <vt:lpstr>HC (2)</vt:lpstr>
      <vt:lpstr>126 (3)</vt:lpstr>
      <vt:lpstr>126 (2)</vt:lpstr>
      <vt:lpstr>126</vt:lpstr>
      <vt:lpstr>Full Sample</vt:lpstr>
      <vt:lpstr>Raw (2)</vt:lpstr>
      <vt:lpstr>HC</vt:lpstr>
      <vt:lpstr>Live Data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11959016</dc:creator>
  <cp:lastModifiedBy>David Zhao</cp:lastModifiedBy>
  <dcterms:created xsi:type="dcterms:W3CDTF">2018-09-24T17:12:45Z</dcterms:created>
  <dcterms:modified xsi:type="dcterms:W3CDTF">2018-12-17T23:35:23Z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eyIwIjoiRGF0YSIsIjEiOjAsIjIiOjEsIjMiOjAsIjQiOjEsIjUiOjEsIjYiOjEsIjciOjEsIjgiOjEsIjkiOjEsIjEwIjowLCIxMSI6MH0=</vt:lpwstr>
  </property>
  <property fmtid="{D5CDD505-2E9C-101B-9397-08002B2CF9AE}" pid="3" name="SpreadsheetBuilder_2">
    <vt:lpwstr>eyIwIjoiRGF0YSIsIjEiOjAsIjIiOjEsIjMiOjAsIjQiOjEsIjUiOjEsIjYiOjEsIjciOjEsIjgiOjEsIjkiOjEsIjEwIjowLCIxMSI6MH0=</vt:lpwstr>
  </property>
  <property fmtid="{D5CDD505-2E9C-101B-9397-08002B2CF9AE}" pid="4" name="SpreadsheetBuilder_3">
    <vt:lpwstr>eyIwIjoiSGlzdG9yeSIsIjEiOjAsIjIiOjEsIjMiOjEsIjQiOjEsIjUiOjEsIjYiOjEsIjciOjEsIjgiOjAsIjkiOjEsIjEwIjowLCIxMSI6MX0=</vt:lpwstr>
  </property>
  <property fmtid="{D5CDD505-2E9C-101B-9397-08002B2CF9AE}" pid="5" name="SpreadsheetBuilder_4">
    <vt:lpwstr>eyIwIjoiSGlzdG9yeSIsIjEiOjAsIjIiOjEsIjMiOjEsIjQiOjEsIjUiOjEsIjYiOjEsIjciOjEsIjgiOjAsIjkiOjEsIjEwIjowLCIxMSI6MX0=</vt:lpwstr>
  </property>
  <property fmtid="{D5CDD505-2E9C-101B-9397-08002B2CF9AE}" pid="6" name="SpreadsheetBuilder_5">
    <vt:lpwstr>eyIwIjoiSGlzdG9yeSIsIjEiOjAsIjIiOjEsIjMiOjEsIjQiOjEsIjUiOjEsIjYiOjEsIjciOjEsIjgiOjAsIjkiOjEsIjEwIjowLCIxMSI6MX0=</vt:lpwstr>
  </property>
</Properties>
</file>